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tables/table2.xml" ContentType="application/vnd.openxmlformats-officedocument.spreadsheetml.table+xml"/>
  <Override PartName="/xl/comments4.xml" ContentType="application/vnd.openxmlformats-officedocument.spreadsheetml.comments+xml"/>
  <Override PartName="/xl/drawings/drawing5.xml" ContentType="application/vnd.openxmlformats-officedocument.drawing+xml"/>
  <Override PartName="/xl/tables/table3.xml" ContentType="application/vnd.openxmlformats-officedocument.spreadsheetml.table+xml"/>
  <Override PartName="/xl/drawings/drawing6.xml" ContentType="application/vnd.openxmlformats-officedocument.drawing+xml"/>
  <Override PartName="/xl/tables/table4.xml" ContentType="application/vnd.openxmlformats-officedocument.spreadsheetml.table+xml"/>
  <Override PartName="/xl/drawings/drawing7.xml" ContentType="application/vnd.openxmlformats-officedocument.drawing+xml"/>
  <Override PartName="/xl/tables/table5.xml" ContentType="application/vnd.openxmlformats-officedocument.spreadsheetml.table+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drawings/drawing10.xml" ContentType="application/vnd.openxmlformats-officedocument.drawing+xml"/>
  <Override PartName="/xl/tables/table8.xml" ContentType="application/vnd.openxmlformats-officedocument.spreadsheetml.table+xml"/>
  <Override PartName="/xl/drawings/drawing11.xml" ContentType="application/vnd.openxmlformats-officedocument.drawing+xml"/>
  <Override PartName="/xl/tables/table9.xml" ContentType="application/vnd.openxmlformats-officedocument.spreadsheetml.table+xml"/>
  <Override PartName="/xl/drawings/drawing12.xml" ContentType="application/vnd.openxmlformats-officedocument.drawing+xml"/>
  <Override PartName="/xl/tables/table10.xml" ContentType="application/vnd.openxmlformats-officedocument.spreadsheetml.table+xml"/>
  <Override PartName="/xl/drawings/drawing13.xml" ContentType="application/vnd.openxmlformats-officedocument.drawing+xml"/>
  <Override PartName="/xl/tables/table11.xml" ContentType="application/vnd.openxmlformats-officedocument.spreadsheetml.table+xml"/>
  <Override PartName="/xl/drawings/drawing14.xml" ContentType="application/vnd.openxmlformats-officedocument.drawing+xml"/>
  <Override PartName="/xl/tables/table12.xml" ContentType="application/vnd.openxmlformats-officedocument.spreadsheetml.table+xml"/>
  <Override PartName="/xl/drawings/drawing15.xml" ContentType="application/vnd.openxmlformats-officedocument.drawing+xml"/>
  <Override PartName="/xl/tables/table13.xml" ContentType="application/vnd.openxmlformats-officedocument.spreadsheetml.table+xml"/>
  <Override PartName="/xl/drawings/drawing16.xml" ContentType="application/vnd.openxmlformats-officedocument.drawing+xml"/>
  <Override PartName="/xl/tables/table14.xml" ContentType="application/vnd.openxmlformats-officedocument.spreadsheetml.table+xml"/>
  <Override PartName="/xl/drawings/drawing17.xml" ContentType="application/vnd.openxmlformats-officedocument.drawing+xml"/>
  <Override PartName="/xl/tables/table15.xml" ContentType="application/vnd.openxmlformats-officedocument.spreadsheetml.table+xml"/>
  <Override PartName="/xl/drawings/drawing18.xml" ContentType="application/vnd.openxmlformats-officedocument.drawing+xml"/>
  <Override PartName="/xl/tables/table16.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MdaT\Documents\IT\Digital procurement\New\RFP\"/>
    </mc:Choice>
  </mc:AlternateContent>
  <xr:revisionPtr revIDLastSave="0" documentId="8_{43D8D1FD-4DF8-43EA-A138-6E1F108EA98E}" xr6:coauthVersionLast="47" xr6:coauthVersionMax="47" xr10:uidLastSave="{00000000-0000-0000-0000-000000000000}"/>
  <bookViews>
    <workbookView xWindow="-120" yWindow="-120" windowWidth="20640" windowHeight="11040" firstSheet="11" activeTab="6" xr2:uid="{6B975A2E-C690-4C29-AFFA-C50A8BFE914F}"/>
  </bookViews>
  <sheets>
    <sheet name="TEC Development Guidelines" sheetId="2" r:id="rId1"/>
    <sheet name="Response Guidelines" sheetId="3" r:id="rId2"/>
    <sheet name="Scoring Summary" sheetId="4" r:id="rId3"/>
    <sheet name="Approval Page" sheetId="15" r:id="rId4"/>
    <sheet name="Summary and Gatekeeper Approval" sheetId="40" r:id="rId5"/>
    <sheet name="Non Func. Requirements Approval" sheetId="41" r:id="rId6"/>
    <sheet name="Gatekeepers" sheetId="5" r:id="rId7"/>
    <sheet name="1. Bidder Implementation Cap" sheetId="20" r:id="rId8"/>
    <sheet name="2a. Vendor Master Data Mgmt." sheetId="56" r:id="rId9"/>
    <sheet name="2b. Procurement Mgmt." sheetId="45" r:id="rId10"/>
    <sheet name="2c. Electronic Auction" sheetId="46" r:id="rId11"/>
    <sheet name="2d. Electronic Tendering" sheetId="47" r:id="rId12"/>
    <sheet name="2e. Contract Est. &amp; Admin" sheetId="48" r:id="rId13"/>
    <sheet name="2f. SDL&amp;I" sheetId="49" r:id="rId14"/>
    <sheet name="2g. Document Management" sheetId="50" r:id="rId15"/>
    <sheet name="2h. Architecture Requirements" sheetId="51" r:id="rId16"/>
    <sheet name="2i. Cloud Requirements" sheetId="52" r:id="rId17"/>
    <sheet name="2j. Data Privacy Requirements" sheetId="53" r:id="rId18"/>
    <sheet name="2k. Data Migration" sheetId="54" r:id="rId19"/>
    <sheet name="2l. Security Requirements" sheetId="55" r:id="rId20"/>
    <sheet name="2m Technical Quality Evaluation" sheetId="57" r:id="rId21"/>
    <sheet name="Demo" sheetId="22" r:id="rId22"/>
    <sheet name="Definitions and Abbreviations" sheetId="7" state="hidden" r:id="rId23"/>
  </sheets>
  <externalReferences>
    <externalReference r:id="rId24"/>
  </externalReferences>
  <definedNames>
    <definedName name="_xlnm._FilterDatabase" hidden="1">#REF!</definedName>
    <definedName name="Compliance_Description">[1]!Table2[Score Description]</definedName>
    <definedName name="Compliance_Score">[1]!Table2[Score Ratings]</definedName>
    <definedName name="Conv_actual_date_range">#REF!</definedName>
    <definedName name="Conv_plan_date_range">#REF!</definedName>
    <definedName name="Evidence_Description">[1]!Table4[Description]</definedName>
    <definedName name="Evidence_Score">[1]!Table4[Score]</definedName>
    <definedName name="Excel_BuiltIn__FilterDatabase_5" localSheetId="5">#REF!</definedName>
    <definedName name="Excel_BuiltIn__FilterDatabase_5" localSheetId="4">#REF!</definedName>
    <definedName name="Excel_BuiltIn__FilterDatabase_5">#REF!</definedName>
    <definedName name="Functional_Description">[1]!Table3[Description]</definedName>
    <definedName name="Functional_Score">[1]!Table3[Score]</definedName>
    <definedName name="ImpCosts" localSheetId="5">#REF!</definedName>
    <definedName name="ImpCosts" localSheetId="4">#REF!</definedName>
    <definedName name="ImpCosts">#REF!</definedName>
    <definedName name="Mainframe_actual_date_range">#REF!</definedName>
    <definedName name="Mainframe_plan_date_range">#REF!</definedName>
    <definedName name="Newdev_actual_date_range">#REF!</definedName>
    <definedName name="Newdev_plan_date_range">#REF!</definedName>
    <definedName name="PC_actual_date_range">#REF!</definedName>
    <definedName name="PC_plan_date_range">#REF!</definedName>
    <definedName name="_xlnm.Print_Area" localSheetId="7">'1. Bidder Implementation Cap'!$A$1:$AJ$24</definedName>
    <definedName name="_xlnm.Print_Area" localSheetId="8">'2a. Vendor Master Data Mgmt.'!$A$1:$AK$26</definedName>
    <definedName name="_xlnm.Print_Area" localSheetId="9">'2b. Procurement Mgmt.'!$A$1:$AJ$26</definedName>
    <definedName name="_xlnm.Print_Area" localSheetId="10">'2c. Electronic Auction'!$A$1:$AJ$26</definedName>
    <definedName name="_xlnm.Print_Area" localSheetId="11">'2d. Electronic Tendering'!$A$1:$AJ$26</definedName>
    <definedName name="_xlnm.Print_Area" localSheetId="12">'2e. Contract Est. &amp; Admin'!$A$1:$AJ$26</definedName>
    <definedName name="_xlnm.Print_Area" localSheetId="13">'2f. SDL&amp;I'!$A$1:$AJ$26</definedName>
    <definedName name="_xlnm.Print_Area" localSheetId="14">'2g. Document Management'!$A$1:$AJ$26</definedName>
    <definedName name="_xlnm.Print_Area" localSheetId="15">'2h. Architecture Requirements'!$A$1:$AJ$26</definedName>
    <definedName name="_xlnm.Print_Area" localSheetId="16">'2i. Cloud Requirements'!$A$1:$AJ$26</definedName>
    <definedName name="_xlnm.Print_Area" localSheetId="17">'2j. Data Privacy Requirements'!$A$1:$AJ$25</definedName>
    <definedName name="_xlnm.Print_Area" localSheetId="18">'2k. Data Migration'!$A$1:$AJ$25</definedName>
    <definedName name="_xlnm.Print_Area" localSheetId="19">'2l. Security Requirements'!$A$1:$AJ$25</definedName>
    <definedName name="_xlnm.Print_Area" localSheetId="22">'Definitions and Abbreviations'!$A$1:$D$30</definedName>
    <definedName name="_xlnm.Print_Area" localSheetId="6">Gatekeepers!$A$1:$H$12</definedName>
    <definedName name="_xlnm.Print_Area" localSheetId="5">'Non Func. Requirements Approval'!$B$7:$G$99</definedName>
    <definedName name="_xlnm.Print_Area" localSheetId="1">'Response Guidelines'!$A$1:$L$26</definedName>
    <definedName name="_xlnm.Print_Area" localSheetId="2">'Scoring Summary'!$A$1:$F$32</definedName>
    <definedName name="_xlnm.Print_Area" localSheetId="4">'Summary and Gatekeeper Approval'!$B$7:$G$99</definedName>
    <definedName name="_xlnm.Print_Area" localSheetId="0">'TEC Development Guidelines'!$A$1:$AJ$26</definedName>
    <definedName name="_xlnm.Print_Titles" localSheetId="5">'Non Func. Requirements Approval'!$2:$5</definedName>
    <definedName name="_xlnm.Print_Titles" localSheetId="4">'Summary and Gatekeeper Approval'!$2:$5</definedName>
    <definedName name="Priority">#REF!</definedName>
    <definedName name="Priority_Description">[1]!Table1[Priority Description]</definedName>
    <definedName name="Priority_Score">[1]!Table1[Priority rating]</definedName>
    <definedName name="programme_actual_date_range">#REF!</definedName>
    <definedName name="programme_plan_date_range">#REF!</definedName>
    <definedName name="Serv_actual_date_range">#REF!</definedName>
    <definedName name="Serv_plan_date_range">#REF!</definedName>
    <definedName name="SolFit" localSheetId="5">#REF!</definedName>
    <definedName name="SolFit" localSheetId="4">#REF!</definedName>
    <definedName name="SolFit">#REF!</definedName>
    <definedName name="Solution">#REF!</definedName>
    <definedName name="Testing_actual_date_range">#REF!</definedName>
    <definedName name="Testing_plan_date_range">#REF!</definedName>
    <definedName name="YESNO" localSheetId="5">#REF!</definedName>
    <definedName name="YESNO" localSheetId="4">#REF!</definedName>
    <definedName name="YESN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9" i="4" l="1"/>
  <c r="H115" i="56" l="1" a="1"/>
  <c r="H115" i="56" s="1"/>
  <c r="O115" i="56" a="1"/>
  <c r="O115" i="56" s="1"/>
  <c r="P115" i="56" a="1"/>
  <c r="P115" i="56" s="1"/>
  <c r="Q115" i="56" a="1"/>
  <c r="Q115" i="56" s="1"/>
  <c r="R115" i="56" a="1"/>
  <c r="R115" i="56" s="1"/>
  <c r="S115" i="56" a="1"/>
  <c r="S115" i="56" s="1"/>
  <c r="T115" i="56" a="1"/>
  <c r="T115" i="56" s="1"/>
  <c r="AE115" i="56" s="1" a="1"/>
  <c r="AE115" i="56" s="1"/>
  <c r="U115" i="56" a="1"/>
  <c r="U115" i="56" s="1"/>
  <c r="AF115" i="56" s="1" a="1"/>
  <c r="AF115" i="56" s="1"/>
  <c r="V115" i="56" a="1"/>
  <c r="V115" i="56" s="1"/>
  <c r="AG115" i="56" s="1" a="1"/>
  <c r="AG115" i="56" s="1"/>
  <c r="W115" i="56" a="1"/>
  <c r="W115" i="56" s="1"/>
  <c r="AH115" i="56" s="1" a="1"/>
  <c r="AH115" i="56" s="1"/>
  <c r="X115" i="56" a="1"/>
  <c r="X115" i="56" s="1"/>
  <c r="AI115" i="56" s="1" a="1"/>
  <c r="AI115" i="56" s="1"/>
  <c r="Y115" i="56" a="1"/>
  <c r="Y115" i="56" s="1"/>
  <c r="AJ115" i="56" s="1" a="1"/>
  <c r="AJ115" i="56" s="1"/>
  <c r="H114" i="56" a="1"/>
  <c r="H114" i="56" s="1"/>
  <c r="O114" i="56" a="1"/>
  <c r="O114" i="56" s="1"/>
  <c r="P114" i="56" a="1"/>
  <c r="P114" i="56" s="1"/>
  <c r="Q114" i="56" a="1"/>
  <c r="Q114" i="56" s="1"/>
  <c r="R114" i="56" a="1"/>
  <c r="R114" i="56" s="1"/>
  <c r="S114" i="56" a="1"/>
  <c r="S114" i="56" s="1"/>
  <c r="T114" i="56" a="1"/>
  <c r="T114" i="56" s="1"/>
  <c r="AE114" i="56" s="1" a="1"/>
  <c r="AE114" i="56" s="1"/>
  <c r="U114" i="56" a="1"/>
  <c r="U114" i="56" s="1"/>
  <c r="AF114" i="56" s="1" a="1"/>
  <c r="AF114" i="56" s="1"/>
  <c r="V114" i="56" a="1"/>
  <c r="V114" i="56" s="1"/>
  <c r="AG114" i="56" s="1" a="1"/>
  <c r="AG114" i="56" s="1"/>
  <c r="W114" i="56" a="1"/>
  <c r="W114" i="56" s="1"/>
  <c r="AH114" i="56" s="1" a="1"/>
  <c r="AH114" i="56" s="1"/>
  <c r="X114" i="56" a="1"/>
  <c r="X114" i="56" s="1"/>
  <c r="AI114" i="56" s="1" a="1"/>
  <c r="AI114" i="56" s="1"/>
  <c r="Y114" i="56" a="1"/>
  <c r="Y114" i="56" s="1"/>
  <c r="AJ114" i="56" s="1" a="1"/>
  <c r="AJ114" i="56" s="1"/>
  <c r="H101" i="56" a="1"/>
  <c r="H101" i="56" s="1"/>
  <c r="O101" i="56" a="1"/>
  <c r="O101" i="56" s="1"/>
  <c r="P101" i="56" a="1"/>
  <c r="P101" i="56" s="1"/>
  <c r="Q101" i="56" a="1"/>
  <c r="Q101" i="56" s="1"/>
  <c r="R101" i="56" a="1"/>
  <c r="R101" i="56" s="1"/>
  <c r="S101" i="56" a="1"/>
  <c r="S101" i="56" s="1"/>
  <c r="T101" i="56" a="1"/>
  <c r="T101" i="56" s="1"/>
  <c r="AE101" i="56" s="1" a="1"/>
  <c r="AE101" i="56" s="1"/>
  <c r="U101" i="56" a="1"/>
  <c r="U101" i="56" s="1"/>
  <c r="AF101" i="56" s="1" a="1"/>
  <c r="AF101" i="56" s="1"/>
  <c r="V101" i="56" a="1"/>
  <c r="V101" i="56" s="1"/>
  <c r="AG101" i="56" s="1" a="1"/>
  <c r="AG101" i="56" s="1"/>
  <c r="W101" i="56" a="1"/>
  <c r="W101" i="56" s="1"/>
  <c r="AH101" i="56" s="1" a="1"/>
  <c r="AH101" i="56" s="1"/>
  <c r="X101" i="56" a="1"/>
  <c r="X101" i="56" s="1"/>
  <c r="AI101" i="56" s="1" a="1"/>
  <c r="AI101" i="56" s="1"/>
  <c r="Y101" i="56" a="1"/>
  <c r="Y101" i="56" s="1"/>
  <c r="AJ101" i="56" s="1" a="1"/>
  <c r="AJ101" i="56" s="1"/>
  <c r="H98" i="56" a="1"/>
  <c r="H98" i="56" s="1"/>
  <c r="O98" i="56" a="1"/>
  <c r="O98" i="56" s="1"/>
  <c r="P98" i="56" a="1"/>
  <c r="P98" i="56" s="1"/>
  <c r="Q98" i="56" a="1"/>
  <c r="Q98" i="56" s="1"/>
  <c r="R98" i="56" a="1"/>
  <c r="R98" i="56" s="1"/>
  <c r="S98" i="56" a="1"/>
  <c r="S98" i="56" s="1"/>
  <c r="T98" i="56" a="1"/>
  <c r="T98" i="56" s="1"/>
  <c r="AE98" i="56" s="1" a="1"/>
  <c r="AE98" i="56" s="1"/>
  <c r="U98" i="56" a="1"/>
  <c r="U98" i="56" s="1"/>
  <c r="AF98" i="56" s="1" a="1"/>
  <c r="AF98" i="56" s="1"/>
  <c r="V98" i="56" a="1"/>
  <c r="V98" i="56" s="1"/>
  <c r="AG98" i="56" s="1" a="1"/>
  <c r="AG98" i="56" s="1"/>
  <c r="W98" i="56" a="1"/>
  <c r="W98" i="56" s="1"/>
  <c r="AH98" i="56" s="1" a="1"/>
  <c r="AH98" i="56" s="1"/>
  <c r="X98" i="56" a="1"/>
  <c r="X98" i="56" s="1"/>
  <c r="AI98" i="56" s="1" a="1"/>
  <c r="AI98" i="56" s="1"/>
  <c r="Y98" i="56" a="1"/>
  <c r="Y98" i="56" s="1"/>
  <c r="AJ98" i="56" s="1" a="1"/>
  <c r="AJ98" i="56" s="1"/>
  <c r="H88" i="56" a="1"/>
  <c r="H88" i="56" s="1"/>
  <c r="H89" i="56" a="1"/>
  <c r="H89" i="56" s="1"/>
  <c r="H90" i="56" a="1"/>
  <c r="H90" i="56" s="1"/>
  <c r="H91" i="56" a="1"/>
  <c r="H91" i="56" s="1"/>
  <c r="H92" i="56" a="1"/>
  <c r="H92" i="56" s="1"/>
  <c r="H93" i="56" a="1"/>
  <c r="H93" i="56" s="1"/>
  <c r="H94" i="56" a="1"/>
  <c r="H94" i="56" s="1"/>
  <c r="H95" i="56" a="1"/>
  <c r="H95" i="56"/>
  <c r="H96" i="56" a="1"/>
  <c r="H96" i="56" s="1"/>
  <c r="H97" i="56" a="1"/>
  <c r="H97" i="56" s="1"/>
  <c r="H99" i="56" a="1"/>
  <c r="H99" i="56" s="1"/>
  <c r="H100" i="56" a="1"/>
  <c r="H100" i="56" s="1"/>
  <c r="H102" i="56" a="1"/>
  <c r="H102" i="56" s="1"/>
  <c r="H103" i="56" a="1"/>
  <c r="H103" i="56" s="1"/>
  <c r="H104" i="56" a="1"/>
  <c r="H104" i="56" s="1"/>
  <c r="H105" i="56" a="1"/>
  <c r="H105" i="56" s="1"/>
  <c r="H106" i="56" a="1"/>
  <c r="H106" i="56" s="1"/>
  <c r="H107" i="56" a="1"/>
  <c r="H107" i="56" s="1"/>
  <c r="H108" i="56" a="1"/>
  <c r="H108" i="56" s="1"/>
  <c r="H109" i="56" a="1"/>
  <c r="H109" i="56" s="1"/>
  <c r="H110" i="56" a="1"/>
  <c r="H110" i="56" s="1"/>
  <c r="H111" i="56" a="1"/>
  <c r="H111" i="56" s="1"/>
  <c r="H112" i="56" a="1"/>
  <c r="H112" i="56" s="1"/>
  <c r="H113" i="56" a="1"/>
  <c r="H113" i="56" s="1"/>
  <c r="O88" i="56" a="1"/>
  <c r="O88" i="56" s="1"/>
  <c r="O89" i="56" a="1"/>
  <c r="O89" i="56" s="1"/>
  <c r="O90" i="56" a="1"/>
  <c r="O90" i="56" s="1"/>
  <c r="O91" i="56" a="1"/>
  <c r="O91" i="56" s="1"/>
  <c r="O92" i="56" a="1"/>
  <c r="O92" i="56" s="1"/>
  <c r="O93" i="56" a="1"/>
  <c r="O93" i="56" s="1"/>
  <c r="O94" i="56" a="1"/>
  <c r="O94" i="56" s="1"/>
  <c r="O95" i="56" a="1"/>
  <c r="O95" i="56" s="1"/>
  <c r="O96" i="56" a="1"/>
  <c r="O96" i="56" s="1"/>
  <c r="O97" i="56" a="1"/>
  <c r="O97" i="56" s="1"/>
  <c r="O99" i="56" a="1"/>
  <c r="O99" i="56" s="1"/>
  <c r="O100" i="56" a="1"/>
  <c r="O100" i="56" s="1"/>
  <c r="O102" i="56" a="1"/>
  <c r="O102" i="56" s="1"/>
  <c r="O103" i="56" a="1"/>
  <c r="O103" i="56" s="1"/>
  <c r="O104" i="56" a="1"/>
  <c r="O104" i="56" s="1"/>
  <c r="O105" i="56" a="1"/>
  <c r="O105" i="56" s="1"/>
  <c r="O106" i="56" a="1"/>
  <c r="O106" i="56" s="1"/>
  <c r="O107" i="56" a="1"/>
  <c r="O107" i="56" s="1"/>
  <c r="O108" i="56" a="1"/>
  <c r="O108" i="56" s="1"/>
  <c r="O109" i="56" a="1"/>
  <c r="O109" i="56" s="1"/>
  <c r="O110" i="56" a="1"/>
  <c r="O110" i="56" s="1"/>
  <c r="O111" i="56" a="1"/>
  <c r="O111" i="56" s="1"/>
  <c r="O112" i="56" a="1"/>
  <c r="O112" i="56" s="1"/>
  <c r="O113" i="56" a="1"/>
  <c r="O113" i="56" s="1"/>
  <c r="P88" i="56" a="1"/>
  <c r="P88" i="56" s="1"/>
  <c r="P89" i="56" a="1"/>
  <c r="P89" i="56" s="1"/>
  <c r="P90" i="56" a="1"/>
  <c r="P90" i="56" s="1"/>
  <c r="P91" i="56" a="1"/>
  <c r="P91" i="56" s="1"/>
  <c r="P92" i="56" a="1"/>
  <c r="P92" i="56" s="1"/>
  <c r="P93" i="56" a="1"/>
  <c r="P93" i="56" s="1"/>
  <c r="P94" i="56" a="1"/>
  <c r="P94" i="56" s="1"/>
  <c r="P95" i="56" a="1"/>
  <c r="P95" i="56" s="1"/>
  <c r="P96" i="56" a="1"/>
  <c r="P96" i="56" s="1"/>
  <c r="P97" i="56" a="1"/>
  <c r="P97" i="56" s="1"/>
  <c r="P99" i="56" a="1"/>
  <c r="P99" i="56" s="1"/>
  <c r="P100" i="56" a="1"/>
  <c r="P100" i="56" s="1"/>
  <c r="P102" i="56" a="1"/>
  <c r="P102" i="56" s="1"/>
  <c r="P103" i="56" a="1"/>
  <c r="P103" i="56" s="1"/>
  <c r="P104" i="56" a="1"/>
  <c r="P104" i="56" s="1"/>
  <c r="P105" i="56" a="1"/>
  <c r="P105" i="56" s="1"/>
  <c r="P106" i="56" a="1"/>
  <c r="P106" i="56" s="1"/>
  <c r="P107" i="56" a="1"/>
  <c r="P107" i="56" s="1"/>
  <c r="P108" i="56" a="1"/>
  <c r="P108" i="56" s="1"/>
  <c r="P109" i="56" a="1"/>
  <c r="P109" i="56" s="1"/>
  <c r="P110" i="56" a="1"/>
  <c r="P110" i="56" s="1"/>
  <c r="P111" i="56" a="1"/>
  <c r="P111" i="56" s="1"/>
  <c r="P112" i="56" a="1"/>
  <c r="P112" i="56" s="1"/>
  <c r="P113" i="56" a="1"/>
  <c r="P113" i="56" s="1"/>
  <c r="Q88" i="56" a="1"/>
  <c r="Q88" i="56" s="1"/>
  <c r="Q89" i="56" a="1"/>
  <c r="Q89" i="56" s="1"/>
  <c r="Q90" i="56" a="1"/>
  <c r="Q90" i="56" s="1"/>
  <c r="Q91" i="56" a="1"/>
  <c r="Q91" i="56" s="1"/>
  <c r="Q92" i="56" a="1"/>
  <c r="Q92" i="56" s="1"/>
  <c r="Q93" i="56" a="1"/>
  <c r="Q93" i="56" s="1"/>
  <c r="Q94" i="56" a="1"/>
  <c r="Q94" i="56" s="1"/>
  <c r="Q95" i="56" a="1"/>
  <c r="Q95" i="56" s="1"/>
  <c r="Q96" i="56" a="1"/>
  <c r="Q96" i="56" s="1"/>
  <c r="Q97" i="56" a="1"/>
  <c r="Q97" i="56" s="1"/>
  <c r="Q99" i="56" a="1"/>
  <c r="Q99" i="56" s="1"/>
  <c r="Q100" i="56" a="1"/>
  <c r="Q100" i="56" s="1"/>
  <c r="Q102" i="56" a="1"/>
  <c r="Q102" i="56" s="1"/>
  <c r="Q103" i="56" a="1"/>
  <c r="Q103" i="56" s="1"/>
  <c r="Q104" i="56" a="1"/>
  <c r="Q104" i="56" s="1"/>
  <c r="Q105" i="56" a="1"/>
  <c r="Q105" i="56" s="1"/>
  <c r="Q106" i="56" a="1"/>
  <c r="Q106" i="56" s="1"/>
  <c r="Q107" i="56" a="1"/>
  <c r="Q107" i="56" s="1"/>
  <c r="Q108" i="56" a="1"/>
  <c r="Q108" i="56" s="1"/>
  <c r="Q109" i="56" a="1"/>
  <c r="Q109" i="56" s="1"/>
  <c r="Q110" i="56" a="1"/>
  <c r="Q110" i="56" s="1"/>
  <c r="Q111" i="56" a="1"/>
  <c r="Q111" i="56" s="1"/>
  <c r="Q112" i="56" a="1"/>
  <c r="Q112" i="56" s="1"/>
  <c r="Q113" i="56" a="1"/>
  <c r="Q113" i="56" s="1"/>
  <c r="R88" i="56" a="1"/>
  <c r="R88" i="56" s="1"/>
  <c r="R89" i="56" a="1"/>
  <c r="R89" i="56" s="1"/>
  <c r="R90" i="56" a="1"/>
  <c r="R90" i="56" s="1"/>
  <c r="R91" i="56" a="1"/>
  <c r="R91" i="56" s="1"/>
  <c r="R92" i="56" a="1"/>
  <c r="R92" i="56" s="1"/>
  <c r="R93" i="56" a="1"/>
  <c r="R93" i="56" s="1"/>
  <c r="R94" i="56" a="1"/>
  <c r="R94" i="56" s="1"/>
  <c r="R95" i="56" a="1"/>
  <c r="R95" i="56" s="1"/>
  <c r="R96" i="56" a="1"/>
  <c r="R96" i="56" s="1"/>
  <c r="R97" i="56" a="1"/>
  <c r="R97" i="56" s="1"/>
  <c r="R99" i="56" a="1"/>
  <c r="R99" i="56" s="1"/>
  <c r="R100" i="56" a="1"/>
  <c r="R100" i="56" s="1"/>
  <c r="R102" i="56" a="1"/>
  <c r="R102" i="56" s="1"/>
  <c r="R103" i="56" a="1"/>
  <c r="R103" i="56" s="1"/>
  <c r="R104" i="56" a="1"/>
  <c r="R104" i="56" s="1"/>
  <c r="R105" i="56" a="1"/>
  <c r="R105" i="56" s="1"/>
  <c r="R106" i="56" a="1"/>
  <c r="R106" i="56" s="1"/>
  <c r="R107" i="56" a="1"/>
  <c r="R107" i="56" s="1"/>
  <c r="R108" i="56" a="1"/>
  <c r="R108" i="56" s="1"/>
  <c r="R109" i="56" a="1"/>
  <c r="R109" i="56" s="1"/>
  <c r="R110" i="56" a="1"/>
  <c r="R110" i="56" s="1"/>
  <c r="R111" i="56" a="1"/>
  <c r="R111" i="56" s="1"/>
  <c r="R112" i="56" a="1"/>
  <c r="R112" i="56" s="1"/>
  <c r="R113" i="56" a="1"/>
  <c r="R113" i="56" s="1"/>
  <c r="S88" i="56" a="1"/>
  <c r="S88" i="56" s="1"/>
  <c r="S89" i="56" a="1"/>
  <c r="S89" i="56" s="1"/>
  <c r="S90" i="56" a="1"/>
  <c r="S90" i="56" s="1"/>
  <c r="S91" i="56" a="1"/>
  <c r="S91" i="56" s="1"/>
  <c r="S92" i="56" a="1"/>
  <c r="S92" i="56" s="1"/>
  <c r="S93" i="56" a="1"/>
  <c r="S93" i="56" s="1"/>
  <c r="S94" i="56" a="1"/>
  <c r="S94" i="56" s="1"/>
  <c r="S95" i="56" a="1"/>
  <c r="S95" i="56" s="1"/>
  <c r="S96" i="56" a="1"/>
  <c r="S96" i="56" s="1"/>
  <c r="S97" i="56" a="1"/>
  <c r="S97" i="56" s="1"/>
  <c r="S99" i="56" a="1"/>
  <c r="S99" i="56" s="1"/>
  <c r="S100" i="56" a="1"/>
  <c r="S100" i="56" s="1"/>
  <c r="S102" i="56" a="1"/>
  <c r="S102" i="56" s="1"/>
  <c r="S103" i="56" a="1"/>
  <c r="S103" i="56" s="1"/>
  <c r="S104" i="56" a="1"/>
  <c r="S104" i="56" s="1"/>
  <c r="S105" i="56" a="1"/>
  <c r="S105" i="56" s="1"/>
  <c r="S106" i="56" a="1"/>
  <c r="S106" i="56" s="1"/>
  <c r="S107" i="56" a="1"/>
  <c r="S107" i="56" s="1"/>
  <c r="S108" i="56" a="1"/>
  <c r="S108" i="56" s="1"/>
  <c r="S109" i="56" a="1"/>
  <c r="S109" i="56" s="1"/>
  <c r="S110" i="56" a="1"/>
  <c r="S110" i="56" s="1"/>
  <c r="S111" i="56" a="1"/>
  <c r="S111" i="56" s="1"/>
  <c r="S112" i="56" a="1"/>
  <c r="S112" i="56" s="1"/>
  <c r="S113" i="56" a="1"/>
  <c r="S113" i="56" s="1"/>
  <c r="T88" i="56" a="1"/>
  <c r="T88" i="56" s="1"/>
  <c r="AE88" i="56" s="1" a="1"/>
  <c r="AE88" i="56" s="1"/>
  <c r="T89" i="56" a="1"/>
  <c r="T89" i="56" s="1"/>
  <c r="AE89" i="56" s="1" a="1"/>
  <c r="AE89" i="56" s="1"/>
  <c r="T90" i="56" a="1"/>
  <c r="T90" i="56" s="1"/>
  <c r="AE90" i="56" s="1" a="1"/>
  <c r="AE90" i="56" s="1"/>
  <c r="T91" i="56" a="1"/>
  <c r="T91" i="56" s="1"/>
  <c r="AE91" i="56" s="1" a="1"/>
  <c r="AE91" i="56" s="1"/>
  <c r="T92" i="56" a="1"/>
  <c r="T92" i="56" s="1"/>
  <c r="AE92" i="56" s="1" a="1"/>
  <c r="AE92" i="56" s="1"/>
  <c r="T93" i="56" a="1"/>
  <c r="T93" i="56" s="1"/>
  <c r="AE93" i="56" s="1" a="1"/>
  <c r="AE93" i="56" s="1"/>
  <c r="T94" i="56" a="1"/>
  <c r="T94" i="56" s="1"/>
  <c r="AE94" i="56" s="1" a="1"/>
  <c r="AE94" i="56" s="1"/>
  <c r="T95" i="56" a="1"/>
  <c r="T95" i="56" s="1"/>
  <c r="AE95" i="56" s="1" a="1"/>
  <c r="AE95" i="56" s="1"/>
  <c r="T96" i="56" a="1"/>
  <c r="T96" i="56" s="1"/>
  <c r="AE96" i="56" s="1" a="1"/>
  <c r="AE96" i="56" s="1"/>
  <c r="T97" i="56" a="1"/>
  <c r="T97" i="56" s="1"/>
  <c r="AE97" i="56" s="1" a="1"/>
  <c r="AE97" i="56" s="1"/>
  <c r="T99" i="56" a="1"/>
  <c r="T99" i="56" s="1"/>
  <c r="AE99" i="56" s="1" a="1"/>
  <c r="AE99" i="56" s="1"/>
  <c r="T100" i="56" a="1"/>
  <c r="T100" i="56" s="1"/>
  <c r="AE100" i="56" s="1" a="1"/>
  <c r="AE100" i="56" s="1"/>
  <c r="T102" i="56" a="1"/>
  <c r="T102" i="56" s="1"/>
  <c r="AE102" i="56" s="1" a="1"/>
  <c r="AE102" i="56" s="1"/>
  <c r="T103" i="56" a="1"/>
  <c r="T103" i="56" s="1"/>
  <c r="AE103" i="56" s="1" a="1"/>
  <c r="AE103" i="56" s="1"/>
  <c r="T104" i="56" a="1"/>
  <c r="T104" i="56" s="1"/>
  <c r="AE104" i="56" s="1" a="1"/>
  <c r="AE104" i="56" s="1"/>
  <c r="T105" i="56" a="1"/>
  <c r="T105" i="56" s="1"/>
  <c r="AE105" i="56" s="1" a="1"/>
  <c r="AE105" i="56" s="1"/>
  <c r="T106" i="56" a="1"/>
  <c r="T106" i="56" s="1"/>
  <c r="AE106" i="56" s="1" a="1"/>
  <c r="AE106" i="56" s="1"/>
  <c r="T107" i="56" a="1"/>
  <c r="T107" i="56" s="1"/>
  <c r="AE107" i="56" s="1" a="1"/>
  <c r="AE107" i="56" s="1"/>
  <c r="T108" i="56" a="1"/>
  <c r="T108" i="56" s="1"/>
  <c r="AE108" i="56" s="1" a="1"/>
  <c r="AE108" i="56" s="1"/>
  <c r="T109" i="56" a="1"/>
  <c r="T109" i="56" s="1"/>
  <c r="AE109" i="56" s="1" a="1"/>
  <c r="AE109" i="56" s="1"/>
  <c r="T110" i="56" a="1"/>
  <c r="T110" i="56" s="1"/>
  <c r="AE110" i="56" s="1" a="1"/>
  <c r="AE110" i="56" s="1"/>
  <c r="T111" i="56" a="1"/>
  <c r="T111" i="56" s="1"/>
  <c r="AE111" i="56" s="1" a="1"/>
  <c r="AE111" i="56" s="1"/>
  <c r="T112" i="56" a="1"/>
  <c r="T112" i="56" s="1"/>
  <c r="AE112" i="56" s="1" a="1"/>
  <c r="AE112" i="56" s="1"/>
  <c r="T113" i="56" a="1"/>
  <c r="T113" i="56" s="1"/>
  <c r="AE113" i="56" s="1" a="1"/>
  <c r="AE113" i="56" s="1"/>
  <c r="U88" i="56" a="1"/>
  <c r="U88" i="56" s="1"/>
  <c r="AF88" i="56" s="1" a="1"/>
  <c r="AF88" i="56" s="1"/>
  <c r="U89" i="56" a="1"/>
  <c r="U89" i="56" s="1"/>
  <c r="AF89" i="56" s="1" a="1"/>
  <c r="AF89" i="56" s="1"/>
  <c r="U90" i="56" a="1"/>
  <c r="U90" i="56" s="1"/>
  <c r="AF90" i="56" s="1" a="1"/>
  <c r="AF90" i="56" s="1"/>
  <c r="U91" i="56" a="1"/>
  <c r="U91" i="56" s="1"/>
  <c r="AF91" i="56" s="1" a="1"/>
  <c r="AF91" i="56" s="1"/>
  <c r="U92" i="56" a="1"/>
  <c r="U92" i="56" s="1"/>
  <c r="AF92" i="56" s="1" a="1"/>
  <c r="AF92" i="56" s="1"/>
  <c r="U93" i="56" a="1"/>
  <c r="U93" i="56" s="1"/>
  <c r="AF93" i="56" s="1" a="1"/>
  <c r="AF93" i="56" s="1"/>
  <c r="U94" i="56" a="1"/>
  <c r="U94" i="56" s="1"/>
  <c r="AF94" i="56" s="1" a="1"/>
  <c r="AF94" i="56" s="1"/>
  <c r="U95" i="56" a="1"/>
  <c r="U95" i="56" s="1"/>
  <c r="AF95" i="56" s="1" a="1"/>
  <c r="AF95" i="56" s="1"/>
  <c r="U96" i="56" a="1"/>
  <c r="U96" i="56" s="1"/>
  <c r="AF96" i="56" s="1" a="1"/>
  <c r="AF96" i="56" s="1"/>
  <c r="U97" i="56" a="1"/>
  <c r="U97" i="56" s="1"/>
  <c r="AF97" i="56" s="1" a="1"/>
  <c r="AF97" i="56" s="1"/>
  <c r="U99" i="56" a="1"/>
  <c r="U99" i="56" s="1"/>
  <c r="AF99" i="56" s="1" a="1"/>
  <c r="AF99" i="56" s="1"/>
  <c r="U100" i="56" a="1"/>
  <c r="U100" i="56" s="1"/>
  <c r="AF100" i="56" s="1" a="1"/>
  <c r="AF100" i="56" s="1"/>
  <c r="U102" i="56" a="1"/>
  <c r="U102" i="56" s="1"/>
  <c r="AF102" i="56" s="1" a="1"/>
  <c r="AF102" i="56" s="1"/>
  <c r="U103" i="56" a="1"/>
  <c r="U103" i="56" s="1"/>
  <c r="AF103" i="56" s="1" a="1"/>
  <c r="AF103" i="56" s="1"/>
  <c r="U104" i="56" a="1"/>
  <c r="U104" i="56" s="1"/>
  <c r="AF104" i="56" s="1" a="1"/>
  <c r="AF104" i="56" s="1"/>
  <c r="U105" i="56" a="1"/>
  <c r="U105" i="56" s="1"/>
  <c r="AF105" i="56" s="1" a="1"/>
  <c r="AF105" i="56" s="1"/>
  <c r="U106" i="56" a="1"/>
  <c r="U106" i="56" s="1"/>
  <c r="AF106" i="56" s="1" a="1"/>
  <c r="AF106" i="56" s="1"/>
  <c r="U107" i="56" a="1"/>
  <c r="U107" i="56" s="1"/>
  <c r="AF107" i="56" s="1" a="1"/>
  <c r="AF107" i="56" s="1"/>
  <c r="U108" i="56" a="1"/>
  <c r="U108" i="56" s="1"/>
  <c r="AF108" i="56" s="1" a="1"/>
  <c r="AF108" i="56" s="1"/>
  <c r="U109" i="56" a="1"/>
  <c r="U109" i="56" s="1"/>
  <c r="AF109" i="56" s="1" a="1"/>
  <c r="AF109" i="56" s="1"/>
  <c r="U110" i="56" a="1"/>
  <c r="U110" i="56" s="1"/>
  <c r="AF110" i="56" s="1" a="1"/>
  <c r="AF110" i="56" s="1"/>
  <c r="U111" i="56" a="1"/>
  <c r="U111" i="56" s="1"/>
  <c r="AF111" i="56" s="1" a="1"/>
  <c r="AF111" i="56" s="1"/>
  <c r="U112" i="56" a="1"/>
  <c r="U112" i="56" s="1"/>
  <c r="AF112" i="56" s="1" a="1"/>
  <c r="AF112" i="56" s="1"/>
  <c r="U113" i="56" a="1"/>
  <c r="U113" i="56" s="1"/>
  <c r="AF113" i="56" s="1" a="1"/>
  <c r="AF113" i="56" s="1"/>
  <c r="V88" i="56" a="1"/>
  <c r="V88" i="56" s="1"/>
  <c r="AG88" i="56" s="1" a="1"/>
  <c r="AG88" i="56" s="1"/>
  <c r="V89" i="56" a="1"/>
  <c r="V89" i="56" s="1"/>
  <c r="AG89" i="56" s="1" a="1"/>
  <c r="AG89" i="56" s="1"/>
  <c r="V90" i="56" a="1"/>
  <c r="V90" i="56" s="1"/>
  <c r="AG90" i="56" s="1" a="1"/>
  <c r="AG90" i="56" s="1"/>
  <c r="V91" i="56" a="1"/>
  <c r="V91" i="56" s="1"/>
  <c r="AG91" i="56" s="1" a="1"/>
  <c r="AG91" i="56" s="1"/>
  <c r="V92" i="56" a="1"/>
  <c r="V92" i="56" s="1"/>
  <c r="AG92" i="56" s="1" a="1"/>
  <c r="AG92" i="56" s="1"/>
  <c r="V93" i="56" a="1"/>
  <c r="V93" i="56" s="1"/>
  <c r="AG93" i="56" s="1" a="1"/>
  <c r="AG93" i="56" s="1"/>
  <c r="V94" i="56" a="1"/>
  <c r="V94" i="56" s="1"/>
  <c r="AG94" i="56" s="1" a="1"/>
  <c r="AG94" i="56" s="1"/>
  <c r="V95" i="56" a="1"/>
  <c r="V95" i="56" s="1"/>
  <c r="AG95" i="56" s="1" a="1"/>
  <c r="AG95" i="56" s="1"/>
  <c r="V96" i="56" a="1"/>
  <c r="V96" i="56" s="1"/>
  <c r="AG96" i="56" s="1" a="1"/>
  <c r="AG96" i="56" s="1"/>
  <c r="V97" i="56" a="1"/>
  <c r="V97" i="56" s="1"/>
  <c r="AG97" i="56" s="1" a="1"/>
  <c r="AG97" i="56" s="1"/>
  <c r="V99" i="56" a="1"/>
  <c r="V99" i="56" s="1"/>
  <c r="AG99" i="56" s="1" a="1"/>
  <c r="AG99" i="56" s="1"/>
  <c r="V100" i="56" a="1"/>
  <c r="V100" i="56" s="1"/>
  <c r="AG100" i="56" s="1" a="1"/>
  <c r="AG100" i="56" s="1"/>
  <c r="V102" i="56" a="1"/>
  <c r="V102" i="56" s="1"/>
  <c r="AG102" i="56" s="1" a="1"/>
  <c r="AG102" i="56" s="1"/>
  <c r="V103" i="56" a="1"/>
  <c r="V103" i="56" s="1"/>
  <c r="AG103" i="56" s="1" a="1"/>
  <c r="AG103" i="56" s="1"/>
  <c r="V104" i="56" a="1"/>
  <c r="V104" i="56" s="1"/>
  <c r="AG104" i="56" s="1" a="1"/>
  <c r="AG104" i="56" s="1"/>
  <c r="V105" i="56" a="1"/>
  <c r="V105" i="56" s="1"/>
  <c r="AG105" i="56" s="1" a="1"/>
  <c r="AG105" i="56" s="1"/>
  <c r="V106" i="56" a="1"/>
  <c r="V106" i="56" s="1"/>
  <c r="AG106" i="56" s="1" a="1"/>
  <c r="AG106" i="56" s="1"/>
  <c r="V107" i="56" a="1"/>
  <c r="V107" i="56" s="1"/>
  <c r="AG107" i="56" s="1" a="1"/>
  <c r="AG107" i="56" s="1"/>
  <c r="V108" i="56" a="1"/>
  <c r="V108" i="56" s="1"/>
  <c r="AG108" i="56" s="1" a="1"/>
  <c r="AG108" i="56" s="1"/>
  <c r="V109" i="56" a="1"/>
  <c r="V109" i="56" s="1"/>
  <c r="AG109" i="56" s="1" a="1"/>
  <c r="AG109" i="56" s="1"/>
  <c r="V110" i="56" a="1"/>
  <c r="V110" i="56" s="1"/>
  <c r="AG110" i="56" s="1" a="1"/>
  <c r="AG110" i="56" s="1"/>
  <c r="V111" i="56" a="1"/>
  <c r="V111" i="56" s="1"/>
  <c r="AG111" i="56" s="1" a="1"/>
  <c r="AG111" i="56" s="1"/>
  <c r="V112" i="56" a="1"/>
  <c r="V112" i="56" s="1"/>
  <c r="AG112" i="56" s="1" a="1"/>
  <c r="AG112" i="56" s="1"/>
  <c r="V113" i="56" a="1"/>
  <c r="V113" i="56" s="1"/>
  <c r="AG113" i="56" s="1" a="1"/>
  <c r="AG113" i="56" s="1"/>
  <c r="W88" i="56" a="1"/>
  <c r="W88" i="56" s="1"/>
  <c r="AH88" i="56" s="1" a="1"/>
  <c r="AH88" i="56" s="1"/>
  <c r="W89" i="56" a="1"/>
  <c r="W89" i="56" s="1"/>
  <c r="AH89" i="56" s="1" a="1"/>
  <c r="AH89" i="56" s="1"/>
  <c r="W90" i="56" a="1"/>
  <c r="W90" i="56" s="1"/>
  <c r="AH90" i="56" s="1" a="1"/>
  <c r="AH90" i="56" s="1"/>
  <c r="W91" i="56" a="1"/>
  <c r="W91" i="56" s="1"/>
  <c r="AH91" i="56" s="1" a="1"/>
  <c r="AH91" i="56" s="1"/>
  <c r="W92" i="56" a="1"/>
  <c r="W92" i="56" s="1"/>
  <c r="AH92" i="56" s="1" a="1"/>
  <c r="AH92" i="56" s="1"/>
  <c r="W93" i="56" a="1"/>
  <c r="W93" i="56" s="1"/>
  <c r="AH93" i="56" s="1" a="1"/>
  <c r="AH93" i="56" s="1"/>
  <c r="W94" i="56" a="1"/>
  <c r="W94" i="56" s="1"/>
  <c r="AH94" i="56" s="1" a="1"/>
  <c r="AH94" i="56" s="1"/>
  <c r="W95" i="56" a="1"/>
  <c r="W95" i="56" s="1"/>
  <c r="AH95" i="56" s="1" a="1"/>
  <c r="AH95" i="56" s="1"/>
  <c r="W96" i="56" a="1"/>
  <c r="W96" i="56" s="1"/>
  <c r="AH96" i="56" s="1" a="1"/>
  <c r="AH96" i="56" s="1"/>
  <c r="W97" i="56" a="1"/>
  <c r="W97" i="56" s="1"/>
  <c r="AH97" i="56" s="1" a="1"/>
  <c r="AH97" i="56" s="1"/>
  <c r="W99" i="56" a="1"/>
  <c r="W99" i="56" s="1"/>
  <c r="AH99" i="56" s="1" a="1"/>
  <c r="AH99" i="56" s="1"/>
  <c r="W100" i="56" a="1"/>
  <c r="W100" i="56" s="1"/>
  <c r="AH100" i="56" s="1" a="1"/>
  <c r="AH100" i="56" s="1"/>
  <c r="W102" i="56" a="1"/>
  <c r="W102" i="56" s="1"/>
  <c r="AH102" i="56" s="1" a="1"/>
  <c r="AH102" i="56" s="1"/>
  <c r="W103" i="56" a="1"/>
  <c r="W103" i="56" s="1"/>
  <c r="AH103" i="56" s="1" a="1"/>
  <c r="AH103" i="56" s="1"/>
  <c r="W104" i="56" a="1"/>
  <c r="W104" i="56" s="1"/>
  <c r="AH104" i="56" s="1" a="1"/>
  <c r="AH104" i="56" s="1"/>
  <c r="W105" i="56" a="1"/>
  <c r="W105" i="56" s="1"/>
  <c r="AH105" i="56" s="1" a="1"/>
  <c r="AH105" i="56" s="1"/>
  <c r="W106" i="56" a="1"/>
  <c r="W106" i="56" s="1"/>
  <c r="AH106" i="56" s="1" a="1"/>
  <c r="AH106" i="56" s="1"/>
  <c r="W107" i="56" a="1"/>
  <c r="W107" i="56" s="1"/>
  <c r="AH107" i="56" s="1" a="1"/>
  <c r="AH107" i="56" s="1"/>
  <c r="W108" i="56" a="1"/>
  <c r="W108" i="56" s="1"/>
  <c r="AH108" i="56" s="1" a="1"/>
  <c r="AH108" i="56" s="1"/>
  <c r="W109" i="56" a="1"/>
  <c r="W109" i="56" s="1"/>
  <c r="AH109" i="56" s="1" a="1"/>
  <c r="AH109" i="56" s="1"/>
  <c r="W110" i="56" a="1"/>
  <c r="W110" i="56" s="1"/>
  <c r="AH110" i="56" s="1" a="1"/>
  <c r="AH110" i="56" s="1"/>
  <c r="W111" i="56" a="1"/>
  <c r="W111" i="56" s="1"/>
  <c r="AH111" i="56" s="1" a="1"/>
  <c r="AH111" i="56" s="1"/>
  <c r="W112" i="56" a="1"/>
  <c r="W112" i="56" s="1"/>
  <c r="AH112" i="56" s="1" a="1"/>
  <c r="AH112" i="56" s="1"/>
  <c r="W113" i="56" a="1"/>
  <c r="W113" i="56" s="1"/>
  <c r="AH113" i="56" s="1" a="1"/>
  <c r="AH113" i="56" s="1"/>
  <c r="X88" i="56" a="1"/>
  <c r="X88" i="56" s="1"/>
  <c r="AI88" i="56" s="1" a="1"/>
  <c r="AI88" i="56" s="1"/>
  <c r="X89" i="56" a="1"/>
  <c r="X89" i="56" s="1"/>
  <c r="AI89" i="56" s="1" a="1"/>
  <c r="AI89" i="56" s="1"/>
  <c r="X90" i="56" a="1"/>
  <c r="X90" i="56" s="1"/>
  <c r="AI90" i="56" s="1" a="1"/>
  <c r="AI90" i="56" s="1"/>
  <c r="X91" i="56" a="1"/>
  <c r="X91" i="56" s="1"/>
  <c r="AI91" i="56" s="1" a="1"/>
  <c r="AI91" i="56" s="1"/>
  <c r="X92" i="56" a="1"/>
  <c r="X92" i="56" s="1"/>
  <c r="AI92" i="56" s="1" a="1"/>
  <c r="AI92" i="56" s="1"/>
  <c r="X93" i="56" a="1"/>
  <c r="X93" i="56" s="1"/>
  <c r="AI93" i="56" s="1" a="1"/>
  <c r="AI93" i="56" s="1"/>
  <c r="X94" i="56" a="1"/>
  <c r="X94" i="56" s="1"/>
  <c r="AI94" i="56" s="1" a="1"/>
  <c r="AI94" i="56" s="1"/>
  <c r="X95" i="56" a="1"/>
  <c r="X95" i="56" s="1"/>
  <c r="AI95" i="56" s="1" a="1"/>
  <c r="AI95" i="56" s="1"/>
  <c r="X96" i="56" a="1"/>
  <c r="X96" i="56" s="1"/>
  <c r="AI96" i="56" s="1" a="1"/>
  <c r="AI96" i="56" s="1"/>
  <c r="X97" i="56" a="1"/>
  <c r="X97" i="56" s="1"/>
  <c r="AI97" i="56" s="1" a="1"/>
  <c r="AI97" i="56" s="1"/>
  <c r="X99" i="56" a="1"/>
  <c r="X99" i="56" s="1"/>
  <c r="AI99" i="56" s="1" a="1"/>
  <c r="AI99" i="56" s="1"/>
  <c r="X100" i="56" a="1"/>
  <c r="X100" i="56" s="1"/>
  <c r="AI100" i="56" s="1" a="1"/>
  <c r="AI100" i="56" s="1"/>
  <c r="X102" i="56" a="1"/>
  <c r="X102" i="56" s="1"/>
  <c r="AI102" i="56" s="1" a="1"/>
  <c r="AI102" i="56" s="1"/>
  <c r="X103" i="56" a="1"/>
  <c r="X103" i="56" s="1"/>
  <c r="AI103" i="56" s="1" a="1"/>
  <c r="AI103" i="56" s="1"/>
  <c r="X104" i="56" a="1"/>
  <c r="X104" i="56" s="1"/>
  <c r="AI104" i="56" s="1" a="1"/>
  <c r="AI104" i="56" s="1"/>
  <c r="X105" i="56" a="1"/>
  <c r="X105" i="56" s="1"/>
  <c r="AI105" i="56" s="1" a="1"/>
  <c r="AI105" i="56" s="1"/>
  <c r="X106" i="56" a="1"/>
  <c r="X106" i="56" s="1"/>
  <c r="AI106" i="56" s="1" a="1"/>
  <c r="AI106" i="56" s="1"/>
  <c r="X107" i="56" a="1"/>
  <c r="X107" i="56" s="1"/>
  <c r="AI107" i="56" s="1" a="1"/>
  <c r="AI107" i="56" s="1"/>
  <c r="X108" i="56" a="1"/>
  <c r="X108" i="56" s="1"/>
  <c r="AI108" i="56" s="1" a="1"/>
  <c r="AI108" i="56" s="1"/>
  <c r="X109" i="56" a="1"/>
  <c r="X109" i="56" s="1"/>
  <c r="AI109" i="56" s="1" a="1"/>
  <c r="AI109" i="56" s="1"/>
  <c r="X110" i="56" a="1"/>
  <c r="X110" i="56" s="1"/>
  <c r="AI110" i="56" s="1" a="1"/>
  <c r="AI110" i="56" s="1"/>
  <c r="X111" i="56" a="1"/>
  <c r="X111" i="56" s="1"/>
  <c r="AI111" i="56" s="1" a="1"/>
  <c r="AI111" i="56" s="1"/>
  <c r="X112" i="56" a="1"/>
  <c r="X112" i="56" s="1"/>
  <c r="AI112" i="56" s="1" a="1"/>
  <c r="AI112" i="56" s="1"/>
  <c r="X113" i="56" a="1"/>
  <c r="X113" i="56" s="1"/>
  <c r="AI113" i="56" s="1" a="1"/>
  <c r="AI113" i="56" s="1"/>
  <c r="Y88" i="56" a="1"/>
  <c r="Y88" i="56" s="1"/>
  <c r="AJ88" i="56" s="1" a="1"/>
  <c r="AJ88" i="56" s="1"/>
  <c r="Y89" i="56" a="1"/>
  <c r="Y89" i="56" s="1"/>
  <c r="AJ89" i="56" s="1" a="1"/>
  <c r="AJ89" i="56" s="1"/>
  <c r="Y90" i="56" a="1"/>
  <c r="Y90" i="56" s="1"/>
  <c r="AJ90" i="56" s="1" a="1"/>
  <c r="AJ90" i="56" s="1"/>
  <c r="Y91" i="56" a="1"/>
  <c r="Y91" i="56" s="1"/>
  <c r="AJ91" i="56" s="1" a="1"/>
  <c r="AJ91" i="56" s="1"/>
  <c r="Y92" i="56" a="1"/>
  <c r="Y92" i="56" s="1"/>
  <c r="AJ92" i="56" s="1" a="1"/>
  <c r="AJ92" i="56" s="1"/>
  <c r="Y93" i="56" a="1"/>
  <c r="Y93" i="56" s="1"/>
  <c r="AJ93" i="56" s="1" a="1"/>
  <c r="AJ93" i="56" s="1"/>
  <c r="Y94" i="56" a="1"/>
  <c r="Y94" i="56" s="1"/>
  <c r="AJ94" i="56" s="1" a="1"/>
  <c r="AJ94" i="56" s="1"/>
  <c r="Y95" i="56" a="1"/>
  <c r="Y95" i="56" s="1"/>
  <c r="AJ95" i="56" s="1" a="1"/>
  <c r="AJ95" i="56" s="1"/>
  <c r="Y96" i="56" a="1"/>
  <c r="Y96" i="56" s="1"/>
  <c r="AJ96" i="56" s="1" a="1"/>
  <c r="AJ96" i="56" s="1"/>
  <c r="Y97" i="56" a="1"/>
  <c r="Y97" i="56" s="1"/>
  <c r="AJ97" i="56" s="1" a="1"/>
  <c r="AJ97" i="56" s="1"/>
  <c r="Y99" i="56" a="1"/>
  <c r="Y99" i="56" s="1"/>
  <c r="AJ99" i="56" s="1" a="1"/>
  <c r="AJ99" i="56" s="1"/>
  <c r="Y100" i="56" a="1"/>
  <c r="Y100" i="56" s="1"/>
  <c r="AJ100" i="56" s="1" a="1"/>
  <c r="AJ100" i="56" s="1"/>
  <c r="Y102" i="56" a="1"/>
  <c r="Y102" i="56" s="1"/>
  <c r="AJ102" i="56" s="1" a="1"/>
  <c r="AJ102" i="56" s="1"/>
  <c r="Y103" i="56" a="1"/>
  <c r="Y103" i="56" s="1"/>
  <c r="AJ103" i="56" s="1" a="1"/>
  <c r="AJ103" i="56" s="1"/>
  <c r="Y104" i="56" a="1"/>
  <c r="Y104" i="56" s="1"/>
  <c r="AJ104" i="56" s="1" a="1"/>
  <c r="AJ104" i="56" s="1"/>
  <c r="Y105" i="56" a="1"/>
  <c r="Y105" i="56" s="1"/>
  <c r="AJ105" i="56" s="1" a="1"/>
  <c r="AJ105" i="56" s="1"/>
  <c r="Y106" i="56" a="1"/>
  <c r="Y106" i="56" s="1"/>
  <c r="AJ106" i="56" s="1" a="1"/>
  <c r="AJ106" i="56" s="1"/>
  <c r="Y107" i="56" a="1"/>
  <c r="Y107" i="56" s="1"/>
  <c r="AJ107" i="56" s="1" a="1"/>
  <c r="AJ107" i="56" s="1"/>
  <c r="Y108" i="56" a="1"/>
  <c r="Y108" i="56" s="1"/>
  <c r="AJ108" i="56" s="1" a="1"/>
  <c r="AJ108" i="56" s="1"/>
  <c r="Y109" i="56" a="1"/>
  <c r="Y109" i="56" s="1"/>
  <c r="AJ109" i="56" s="1" a="1"/>
  <c r="AJ109" i="56" s="1"/>
  <c r="Y110" i="56" a="1"/>
  <c r="Y110" i="56" s="1"/>
  <c r="AJ110" i="56" s="1" a="1"/>
  <c r="AJ110" i="56" s="1"/>
  <c r="Y111" i="56" a="1"/>
  <c r="Y111" i="56" s="1"/>
  <c r="AJ111" i="56" s="1" a="1"/>
  <c r="AJ111" i="56" s="1"/>
  <c r="Y112" i="56" a="1"/>
  <c r="Y112" i="56" s="1"/>
  <c r="AJ112" i="56" s="1" a="1"/>
  <c r="AJ112" i="56" s="1"/>
  <c r="Y113" i="56" a="1"/>
  <c r="Y113" i="56" s="1"/>
  <c r="AJ113" i="56" s="1" a="1"/>
  <c r="AJ113" i="56" s="1"/>
  <c r="H87" i="56" a="1"/>
  <c r="H87" i="56" s="1"/>
  <c r="O87" i="56" a="1"/>
  <c r="O87" i="56" s="1"/>
  <c r="P87" i="56" a="1"/>
  <c r="P87" i="56" s="1"/>
  <c r="Q87" i="56" a="1"/>
  <c r="Q87" i="56" s="1"/>
  <c r="R87" i="56" a="1"/>
  <c r="R87" i="56" s="1"/>
  <c r="S87" i="56" a="1"/>
  <c r="S87" i="56" s="1"/>
  <c r="T87" i="56" a="1"/>
  <c r="T87" i="56" s="1"/>
  <c r="AE87" i="56" s="1" a="1"/>
  <c r="AE87" i="56" s="1"/>
  <c r="U87" i="56" a="1"/>
  <c r="U87" i="56" s="1"/>
  <c r="AF87" i="56" s="1" a="1"/>
  <c r="AF87" i="56" s="1"/>
  <c r="V87" i="56" a="1"/>
  <c r="V87" i="56" s="1"/>
  <c r="AG87" i="56" s="1" a="1"/>
  <c r="AG87" i="56" s="1"/>
  <c r="W87" i="56" a="1"/>
  <c r="W87" i="56" s="1"/>
  <c r="AH87" i="56" s="1" a="1"/>
  <c r="AH87" i="56" s="1"/>
  <c r="X87" i="56" a="1"/>
  <c r="X87" i="56" s="1"/>
  <c r="AI87" i="56" s="1" a="1"/>
  <c r="AI87" i="56" s="1"/>
  <c r="Y87" i="56" a="1"/>
  <c r="Y87" i="56" s="1"/>
  <c r="AJ87" i="56" s="1" a="1"/>
  <c r="AJ87" i="56" s="1"/>
  <c r="H86" i="56" a="1"/>
  <c r="H86" i="56" s="1"/>
  <c r="O86" i="56" a="1"/>
  <c r="O86" i="56" s="1"/>
  <c r="P86" i="56" a="1"/>
  <c r="P86" i="56" s="1"/>
  <c r="Q86" i="56" a="1"/>
  <c r="Q86" i="56" s="1"/>
  <c r="R86" i="56" a="1"/>
  <c r="R86" i="56" s="1"/>
  <c r="S86" i="56" a="1"/>
  <c r="S86" i="56" s="1"/>
  <c r="T86" i="56" a="1"/>
  <c r="T86" i="56" s="1"/>
  <c r="AE86" i="56" s="1" a="1"/>
  <c r="AE86" i="56" s="1"/>
  <c r="U86" i="56" a="1"/>
  <c r="U86" i="56" s="1"/>
  <c r="AF86" i="56" s="1" a="1"/>
  <c r="AF86" i="56" s="1"/>
  <c r="V86" i="56" a="1"/>
  <c r="V86" i="56" s="1"/>
  <c r="AG86" i="56" s="1" a="1"/>
  <c r="AG86" i="56" s="1"/>
  <c r="W86" i="56" a="1"/>
  <c r="W86" i="56" s="1"/>
  <c r="AH86" i="56" s="1" a="1"/>
  <c r="AH86" i="56" s="1"/>
  <c r="X86" i="56" a="1"/>
  <c r="X86" i="56" s="1"/>
  <c r="AI86" i="56" s="1" a="1"/>
  <c r="AI86" i="56" s="1"/>
  <c r="Y86" i="56" a="1"/>
  <c r="Y86" i="56" s="1"/>
  <c r="AJ86" i="56" s="1" a="1"/>
  <c r="AJ86" i="56" s="1"/>
  <c r="H85" i="56" a="1"/>
  <c r="H85" i="56" s="1"/>
  <c r="O85" i="56" a="1"/>
  <c r="O85" i="56" s="1"/>
  <c r="P85" i="56" a="1"/>
  <c r="P85" i="56" s="1"/>
  <c r="Q85" i="56" a="1"/>
  <c r="Q85" i="56" s="1"/>
  <c r="R85" i="56" a="1"/>
  <c r="R85" i="56" s="1"/>
  <c r="S85" i="56" a="1"/>
  <c r="S85" i="56" s="1"/>
  <c r="T85" i="56" a="1"/>
  <c r="T85" i="56" s="1"/>
  <c r="AE85" i="56" s="1" a="1"/>
  <c r="AE85" i="56" s="1"/>
  <c r="U85" i="56" a="1"/>
  <c r="U85" i="56" s="1"/>
  <c r="AF85" i="56" s="1" a="1"/>
  <c r="AF85" i="56" s="1"/>
  <c r="V85" i="56" a="1"/>
  <c r="V85" i="56" s="1"/>
  <c r="AG85" i="56" s="1" a="1"/>
  <c r="AG85" i="56" s="1"/>
  <c r="W85" i="56" a="1"/>
  <c r="W85" i="56" s="1"/>
  <c r="AH85" i="56" s="1" a="1"/>
  <c r="AH85" i="56" s="1"/>
  <c r="X85" i="56" a="1"/>
  <c r="X85" i="56" s="1"/>
  <c r="AI85" i="56" s="1" a="1"/>
  <c r="AI85" i="56" s="1"/>
  <c r="Y85" i="56" a="1"/>
  <c r="Y85" i="56" s="1"/>
  <c r="AJ85" i="56" s="1" a="1"/>
  <c r="AJ85" i="56" s="1"/>
  <c r="H84" i="56" a="1"/>
  <c r="H84" i="56" s="1"/>
  <c r="O84" i="56" a="1"/>
  <c r="O84" i="56" s="1"/>
  <c r="P84" i="56" a="1"/>
  <c r="P84" i="56" s="1"/>
  <c r="Q84" i="56" a="1"/>
  <c r="Q84" i="56" s="1"/>
  <c r="R84" i="56" a="1"/>
  <c r="R84" i="56" s="1"/>
  <c r="S84" i="56" a="1"/>
  <c r="S84" i="56" s="1"/>
  <c r="T84" i="56" a="1"/>
  <c r="T84" i="56" s="1"/>
  <c r="AE84" i="56" s="1" a="1"/>
  <c r="AE84" i="56" s="1"/>
  <c r="U84" i="56" a="1"/>
  <c r="U84" i="56" s="1"/>
  <c r="AF84" i="56" s="1" a="1"/>
  <c r="AF84" i="56" s="1"/>
  <c r="V84" i="56" a="1"/>
  <c r="V84" i="56" s="1"/>
  <c r="AG84" i="56" s="1" a="1"/>
  <c r="AG84" i="56" s="1"/>
  <c r="W84" i="56" a="1"/>
  <c r="W84" i="56" s="1"/>
  <c r="AH84" i="56" s="1" a="1"/>
  <c r="AH84" i="56" s="1"/>
  <c r="X84" i="56" a="1"/>
  <c r="X84" i="56" s="1"/>
  <c r="AI84" i="56" s="1" a="1"/>
  <c r="AI84" i="56" s="1"/>
  <c r="Y84" i="56" a="1"/>
  <c r="Y84" i="56" s="1"/>
  <c r="AJ84" i="56" s="1" a="1"/>
  <c r="AJ84" i="56" s="1"/>
  <c r="H83" i="56" a="1"/>
  <c r="H83" i="56" s="1"/>
  <c r="O83" i="56" a="1"/>
  <c r="O83" i="56" s="1"/>
  <c r="P83" i="56" a="1"/>
  <c r="P83" i="56" s="1"/>
  <c r="Q83" i="56" a="1"/>
  <c r="Q83" i="56" s="1"/>
  <c r="R83" i="56" a="1"/>
  <c r="R83" i="56" s="1"/>
  <c r="S83" i="56" a="1"/>
  <c r="S83" i="56" s="1"/>
  <c r="T83" i="56" a="1"/>
  <c r="T83" i="56" s="1"/>
  <c r="AE83" i="56" s="1" a="1"/>
  <c r="AE83" i="56" s="1"/>
  <c r="U83" i="56" a="1"/>
  <c r="U83" i="56" s="1"/>
  <c r="AF83" i="56" s="1" a="1"/>
  <c r="AF83" i="56" s="1"/>
  <c r="V83" i="56" a="1"/>
  <c r="V83" i="56" s="1"/>
  <c r="AG83" i="56" s="1" a="1"/>
  <c r="AG83" i="56" s="1"/>
  <c r="W83" i="56" a="1"/>
  <c r="W83" i="56" s="1"/>
  <c r="AH83" i="56" s="1" a="1"/>
  <c r="AH83" i="56" s="1"/>
  <c r="X83" i="56" a="1"/>
  <c r="X83" i="56" s="1"/>
  <c r="AI83" i="56" s="1" a="1"/>
  <c r="AI83" i="56" s="1"/>
  <c r="Y83" i="56" a="1"/>
  <c r="Y83" i="56" s="1"/>
  <c r="AJ83" i="56" s="1" a="1"/>
  <c r="AJ83" i="56" s="1"/>
  <c r="H82" i="56" a="1"/>
  <c r="H82" i="56" s="1"/>
  <c r="O82" i="56" a="1"/>
  <c r="O82" i="56" s="1"/>
  <c r="P82" i="56" a="1"/>
  <c r="P82" i="56" s="1"/>
  <c r="Q82" i="56" a="1"/>
  <c r="Q82" i="56" s="1"/>
  <c r="R82" i="56" a="1"/>
  <c r="R82" i="56" s="1"/>
  <c r="S82" i="56" a="1"/>
  <c r="S82" i="56" s="1"/>
  <c r="T82" i="56" a="1"/>
  <c r="T82" i="56" s="1"/>
  <c r="AE82" i="56" s="1" a="1"/>
  <c r="AE82" i="56" s="1"/>
  <c r="U82" i="56" a="1"/>
  <c r="U82" i="56" s="1"/>
  <c r="AF82" i="56" s="1" a="1"/>
  <c r="AF82" i="56" s="1"/>
  <c r="V82" i="56" a="1"/>
  <c r="V82" i="56" s="1"/>
  <c r="AG82" i="56" s="1" a="1"/>
  <c r="AG82" i="56" s="1"/>
  <c r="W82" i="56" a="1"/>
  <c r="W82" i="56" s="1"/>
  <c r="AH82" i="56" s="1" a="1"/>
  <c r="AH82" i="56" s="1"/>
  <c r="X82" i="56" a="1"/>
  <c r="X82" i="56" s="1"/>
  <c r="AI82" i="56" s="1" a="1"/>
  <c r="AI82" i="56" s="1"/>
  <c r="Y82" i="56" a="1"/>
  <c r="Y82" i="56" s="1"/>
  <c r="AJ82" i="56" s="1" a="1"/>
  <c r="AJ82" i="56" s="1"/>
  <c r="H81" i="56" a="1"/>
  <c r="H81" i="56" s="1"/>
  <c r="O81" i="56" a="1"/>
  <c r="O81" i="56" s="1"/>
  <c r="P81" i="56" a="1"/>
  <c r="P81" i="56" s="1"/>
  <c r="Q81" i="56" a="1"/>
  <c r="Q81" i="56" s="1"/>
  <c r="R81" i="56" a="1"/>
  <c r="R81" i="56" s="1"/>
  <c r="S81" i="56" a="1"/>
  <c r="S81" i="56" s="1"/>
  <c r="T81" i="56" a="1"/>
  <c r="T81" i="56" s="1"/>
  <c r="AE81" i="56" s="1" a="1"/>
  <c r="AE81" i="56" s="1"/>
  <c r="U81" i="56" a="1"/>
  <c r="U81" i="56" s="1"/>
  <c r="AF81" i="56" s="1" a="1"/>
  <c r="AF81" i="56" s="1"/>
  <c r="V81" i="56" a="1"/>
  <c r="V81" i="56" s="1"/>
  <c r="AG81" i="56" s="1" a="1"/>
  <c r="AG81" i="56" s="1"/>
  <c r="W81" i="56" a="1"/>
  <c r="W81" i="56" s="1"/>
  <c r="AH81" i="56" s="1" a="1"/>
  <c r="AH81" i="56" s="1"/>
  <c r="X81" i="56" a="1"/>
  <c r="X81" i="56" s="1"/>
  <c r="AI81" i="56" s="1" a="1"/>
  <c r="AI81" i="56" s="1"/>
  <c r="Y81" i="56" a="1"/>
  <c r="Y81" i="56" s="1"/>
  <c r="AJ81" i="56" s="1" a="1"/>
  <c r="AJ81" i="56" s="1"/>
  <c r="H74" i="56" a="1"/>
  <c r="H74" i="56" s="1"/>
  <c r="H75" i="56" a="1"/>
  <c r="H75" i="56" s="1"/>
  <c r="H76" i="56" a="1"/>
  <c r="H76" i="56" s="1"/>
  <c r="H77" i="56" a="1"/>
  <c r="H77" i="56" s="1"/>
  <c r="H78" i="56" a="1"/>
  <c r="H78" i="56" s="1"/>
  <c r="H79" i="56" a="1"/>
  <c r="H79" i="56" s="1"/>
  <c r="H80" i="56" a="1"/>
  <c r="H80" i="56" s="1"/>
  <c r="O74" i="56" a="1"/>
  <c r="O74" i="56" s="1"/>
  <c r="O75" i="56" a="1"/>
  <c r="O75" i="56" s="1"/>
  <c r="O76" i="56" a="1"/>
  <c r="O76" i="56" s="1"/>
  <c r="O77" i="56" a="1"/>
  <c r="O77" i="56" s="1"/>
  <c r="O78" i="56" a="1"/>
  <c r="O78" i="56" s="1"/>
  <c r="O79" i="56" a="1"/>
  <c r="O79" i="56" s="1"/>
  <c r="O80" i="56" a="1"/>
  <c r="O80" i="56" s="1"/>
  <c r="P74" i="56" a="1"/>
  <c r="P74" i="56" s="1"/>
  <c r="P75" i="56" a="1"/>
  <c r="P75" i="56" s="1"/>
  <c r="P76" i="56" a="1"/>
  <c r="P76" i="56" s="1"/>
  <c r="P77" i="56" a="1"/>
  <c r="P77" i="56" s="1"/>
  <c r="P78" i="56" a="1"/>
  <c r="P78" i="56" s="1"/>
  <c r="P79" i="56" a="1"/>
  <c r="P79" i="56" s="1"/>
  <c r="P80" i="56" a="1"/>
  <c r="P80" i="56" s="1"/>
  <c r="Q74" i="56" a="1"/>
  <c r="Q74" i="56" s="1"/>
  <c r="Q75" i="56" a="1"/>
  <c r="Q75" i="56" s="1"/>
  <c r="Q76" i="56" a="1"/>
  <c r="Q76" i="56" s="1"/>
  <c r="Q77" i="56" a="1"/>
  <c r="Q77" i="56" s="1"/>
  <c r="Q78" i="56" a="1"/>
  <c r="Q78" i="56" s="1"/>
  <c r="Q79" i="56" a="1"/>
  <c r="Q79" i="56" s="1"/>
  <c r="Q80" i="56" a="1"/>
  <c r="Q80" i="56" s="1"/>
  <c r="R74" i="56" a="1"/>
  <c r="R74" i="56" s="1"/>
  <c r="R75" i="56" a="1"/>
  <c r="R75" i="56" s="1"/>
  <c r="R76" i="56" a="1"/>
  <c r="R76" i="56" s="1"/>
  <c r="R77" i="56" a="1"/>
  <c r="R77" i="56" s="1"/>
  <c r="R78" i="56" a="1"/>
  <c r="R78" i="56" s="1"/>
  <c r="R79" i="56" a="1"/>
  <c r="R79" i="56" s="1"/>
  <c r="R80" i="56" a="1"/>
  <c r="R80" i="56" s="1"/>
  <c r="S74" i="56" a="1"/>
  <c r="S74" i="56" s="1"/>
  <c r="S75" i="56" a="1"/>
  <c r="S75" i="56" s="1"/>
  <c r="S76" i="56" a="1"/>
  <c r="S76" i="56" s="1"/>
  <c r="S77" i="56" a="1"/>
  <c r="S77" i="56" s="1"/>
  <c r="S78" i="56" a="1"/>
  <c r="S78" i="56" s="1"/>
  <c r="S79" i="56" a="1"/>
  <c r="S79" i="56" s="1"/>
  <c r="S80" i="56" a="1"/>
  <c r="S80" i="56" s="1"/>
  <c r="T74" i="56" a="1"/>
  <c r="T74" i="56" s="1"/>
  <c r="AE74" i="56" s="1" a="1"/>
  <c r="AE74" i="56" s="1"/>
  <c r="T75" i="56" a="1"/>
  <c r="T75" i="56" s="1"/>
  <c r="AE75" i="56" s="1" a="1"/>
  <c r="AE75" i="56" s="1"/>
  <c r="T76" i="56" a="1"/>
  <c r="T76" i="56" s="1"/>
  <c r="AE76" i="56" s="1" a="1"/>
  <c r="AE76" i="56" s="1"/>
  <c r="T77" i="56" a="1"/>
  <c r="T77" i="56" s="1"/>
  <c r="AE77" i="56" s="1" a="1"/>
  <c r="AE77" i="56" s="1"/>
  <c r="T78" i="56" a="1"/>
  <c r="T78" i="56" s="1"/>
  <c r="AE78" i="56" s="1" a="1"/>
  <c r="AE78" i="56" s="1"/>
  <c r="T79" i="56" a="1"/>
  <c r="T79" i="56" s="1"/>
  <c r="AE79" i="56" s="1" a="1"/>
  <c r="AE79" i="56" s="1"/>
  <c r="T80" i="56" a="1"/>
  <c r="T80" i="56" s="1"/>
  <c r="AE80" i="56" s="1" a="1"/>
  <c r="AE80" i="56" s="1"/>
  <c r="U74" i="56" a="1"/>
  <c r="U74" i="56" s="1"/>
  <c r="AF74" i="56" s="1" a="1"/>
  <c r="AF74" i="56" s="1"/>
  <c r="U75" i="56" a="1"/>
  <c r="U75" i="56" s="1"/>
  <c r="AF75" i="56" s="1" a="1"/>
  <c r="AF75" i="56" s="1"/>
  <c r="U76" i="56" a="1"/>
  <c r="U76" i="56" s="1"/>
  <c r="AF76" i="56" s="1" a="1"/>
  <c r="AF76" i="56" s="1"/>
  <c r="U77" i="56" a="1"/>
  <c r="U77" i="56" s="1"/>
  <c r="AF77" i="56" s="1" a="1"/>
  <c r="AF77" i="56" s="1"/>
  <c r="U78" i="56" a="1"/>
  <c r="U78" i="56" s="1"/>
  <c r="AF78" i="56" s="1" a="1"/>
  <c r="AF78" i="56" s="1"/>
  <c r="U79" i="56" a="1"/>
  <c r="U79" i="56" s="1"/>
  <c r="AF79" i="56" s="1" a="1"/>
  <c r="AF79" i="56" s="1"/>
  <c r="U80" i="56" a="1"/>
  <c r="U80" i="56" s="1"/>
  <c r="AF80" i="56" s="1" a="1"/>
  <c r="AF80" i="56" s="1"/>
  <c r="V74" i="56" a="1"/>
  <c r="V74" i="56" s="1"/>
  <c r="AG74" i="56" s="1" a="1"/>
  <c r="AG74" i="56" s="1"/>
  <c r="V75" i="56" a="1"/>
  <c r="V75" i="56" s="1"/>
  <c r="AG75" i="56" s="1" a="1"/>
  <c r="AG75" i="56" s="1"/>
  <c r="V76" i="56" a="1"/>
  <c r="V76" i="56" s="1"/>
  <c r="AG76" i="56" s="1" a="1"/>
  <c r="AG76" i="56" s="1"/>
  <c r="V77" i="56" a="1"/>
  <c r="V77" i="56" s="1"/>
  <c r="AG77" i="56" s="1" a="1"/>
  <c r="AG77" i="56" s="1"/>
  <c r="V78" i="56" a="1"/>
  <c r="V78" i="56" s="1"/>
  <c r="AG78" i="56" s="1" a="1"/>
  <c r="AG78" i="56" s="1"/>
  <c r="V79" i="56" a="1"/>
  <c r="V79" i="56" s="1"/>
  <c r="AG79" i="56" s="1" a="1"/>
  <c r="AG79" i="56" s="1"/>
  <c r="V80" i="56" a="1"/>
  <c r="V80" i="56" s="1"/>
  <c r="AG80" i="56" s="1" a="1"/>
  <c r="AG80" i="56" s="1"/>
  <c r="W74" i="56" a="1"/>
  <c r="W74" i="56" s="1"/>
  <c r="AH74" i="56" s="1" a="1"/>
  <c r="AH74" i="56" s="1"/>
  <c r="W75" i="56" a="1"/>
  <c r="W75" i="56" s="1"/>
  <c r="AH75" i="56" s="1" a="1"/>
  <c r="AH75" i="56" s="1"/>
  <c r="W76" i="56" a="1"/>
  <c r="W76" i="56" s="1"/>
  <c r="AH76" i="56" s="1" a="1"/>
  <c r="AH76" i="56" s="1"/>
  <c r="W77" i="56" a="1"/>
  <c r="W77" i="56" s="1"/>
  <c r="AH77" i="56" s="1" a="1"/>
  <c r="AH77" i="56" s="1"/>
  <c r="W78" i="56" a="1"/>
  <c r="W78" i="56" s="1"/>
  <c r="AH78" i="56" s="1" a="1"/>
  <c r="AH78" i="56" s="1"/>
  <c r="W79" i="56" a="1"/>
  <c r="W79" i="56" s="1"/>
  <c r="AH79" i="56" s="1" a="1"/>
  <c r="AH79" i="56" s="1"/>
  <c r="W80" i="56" a="1"/>
  <c r="W80" i="56" s="1"/>
  <c r="AH80" i="56" s="1" a="1"/>
  <c r="AH80" i="56" s="1"/>
  <c r="X74" i="56" a="1"/>
  <c r="X74" i="56" s="1"/>
  <c r="AI74" i="56" s="1" a="1"/>
  <c r="AI74" i="56" s="1"/>
  <c r="X75" i="56" a="1"/>
  <c r="X75" i="56" s="1"/>
  <c r="AI75" i="56" s="1" a="1"/>
  <c r="AI75" i="56" s="1"/>
  <c r="X76" i="56" a="1"/>
  <c r="X76" i="56" s="1"/>
  <c r="AI76" i="56" s="1" a="1"/>
  <c r="AI76" i="56" s="1"/>
  <c r="X77" i="56" a="1"/>
  <c r="X77" i="56" s="1"/>
  <c r="AI77" i="56" s="1" a="1"/>
  <c r="AI77" i="56" s="1"/>
  <c r="X78" i="56" a="1"/>
  <c r="X78" i="56" s="1"/>
  <c r="AI78" i="56" s="1" a="1"/>
  <c r="AI78" i="56" s="1"/>
  <c r="X79" i="56" a="1"/>
  <c r="X79" i="56" s="1"/>
  <c r="AI79" i="56" s="1" a="1"/>
  <c r="AI79" i="56" s="1"/>
  <c r="X80" i="56" a="1"/>
  <c r="X80" i="56" s="1"/>
  <c r="AI80" i="56" s="1" a="1"/>
  <c r="AI80" i="56" s="1"/>
  <c r="Y74" i="56" a="1"/>
  <c r="Y74" i="56" s="1"/>
  <c r="AJ74" i="56" s="1" a="1"/>
  <c r="AJ74" i="56" s="1"/>
  <c r="Y75" i="56" a="1"/>
  <c r="Y75" i="56" s="1"/>
  <c r="AJ75" i="56" s="1" a="1"/>
  <c r="AJ75" i="56" s="1"/>
  <c r="Y76" i="56" a="1"/>
  <c r="Y76" i="56" s="1"/>
  <c r="AJ76" i="56" s="1" a="1"/>
  <c r="AJ76" i="56" s="1"/>
  <c r="Y77" i="56" a="1"/>
  <c r="Y77" i="56" s="1"/>
  <c r="AJ77" i="56" s="1" a="1"/>
  <c r="AJ77" i="56" s="1"/>
  <c r="Y78" i="56" a="1"/>
  <c r="Y78" i="56" s="1"/>
  <c r="AJ78" i="56" s="1" a="1"/>
  <c r="AJ78" i="56" s="1"/>
  <c r="Y79" i="56" a="1"/>
  <c r="Y79" i="56" s="1"/>
  <c r="AJ79" i="56" s="1" a="1"/>
  <c r="AJ79" i="56" s="1"/>
  <c r="Y80" i="56" a="1"/>
  <c r="Y80" i="56" s="1"/>
  <c r="AJ80" i="56" s="1" a="1"/>
  <c r="AJ80" i="56" s="1"/>
  <c r="H71" i="56" a="1"/>
  <c r="H71" i="56" s="1"/>
  <c r="H72" i="56" a="1"/>
  <c r="H72" i="56" s="1"/>
  <c r="H73" i="56" a="1"/>
  <c r="H73" i="56" s="1"/>
  <c r="O71" i="56" a="1"/>
  <c r="O71" i="56" s="1"/>
  <c r="O72" i="56" a="1"/>
  <c r="O72" i="56" s="1"/>
  <c r="O73" i="56" a="1"/>
  <c r="O73" i="56" s="1"/>
  <c r="P71" i="56" a="1"/>
  <c r="P71" i="56" s="1"/>
  <c r="P72" i="56" a="1"/>
  <c r="P72" i="56" s="1"/>
  <c r="P73" i="56" a="1"/>
  <c r="P73" i="56" s="1"/>
  <c r="Q71" i="56" a="1"/>
  <c r="Q71" i="56" s="1"/>
  <c r="Q72" i="56" a="1"/>
  <c r="Q72" i="56" s="1"/>
  <c r="Q73" i="56" a="1"/>
  <c r="Q73" i="56" s="1"/>
  <c r="R71" i="56" a="1"/>
  <c r="R71" i="56" s="1"/>
  <c r="R72" i="56" a="1"/>
  <c r="R72" i="56" s="1"/>
  <c r="R73" i="56" a="1"/>
  <c r="R73" i="56" s="1"/>
  <c r="S71" i="56" a="1"/>
  <c r="S71" i="56" s="1"/>
  <c r="S72" i="56" a="1"/>
  <c r="S72" i="56" s="1"/>
  <c r="S73" i="56" a="1"/>
  <c r="S73" i="56" s="1"/>
  <c r="T71" i="56" a="1"/>
  <c r="T71" i="56" s="1"/>
  <c r="AE71" i="56" s="1" a="1"/>
  <c r="AE71" i="56" s="1"/>
  <c r="T72" i="56" a="1"/>
  <c r="T72" i="56" s="1"/>
  <c r="AE72" i="56" s="1" a="1"/>
  <c r="AE72" i="56" s="1"/>
  <c r="T73" i="56" a="1"/>
  <c r="T73" i="56" s="1"/>
  <c r="AE73" i="56" s="1" a="1"/>
  <c r="AE73" i="56" s="1"/>
  <c r="U71" i="56" a="1"/>
  <c r="U71" i="56" s="1"/>
  <c r="AF71" i="56" s="1" a="1"/>
  <c r="AF71" i="56" s="1"/>
  <c r="U72" i="56" a="1"/>
  <c r="U72" i="56" s="1"/>
  <c r="AF72" i="56" s="1" a="1"/>
  <c r="AF72" i="56" s="1"/>
  <c r="U73" i="56" a="1"/>
  <c r="U73" i="56" s="1"/>
  <c r="AF73" i="56" s="1" a="1"/>
  <c r="AF73" i="56" s="1"/>
  <c r="V71" i="56" a="1"/>
  <c r="V71" i="56" s="1"/>
  <c r="AG71" i="56" s="1" a="1"/>
  <c r="AG71" i="56" s="1"/>
  <c r="V72" i="56" a="1"/>
  <c r="V72" i="56" s="1"/>
  <c r="AG72" i="56" s="1" a="1"/>
  <c r="AG72" i="56" s="1"/>
  <c r="V73" i="56" a="1"/>
  <c r="V73" i="56" s="1"/>
  <c r="AG73" i="56" s="1" a="1"/>
  <c r="AG73" i="56" s="1"/>
  <c r="W71" i="56" a="1"/>
  <c r="W71" i="56" s="1"/>
  <c r="AH71" i="56" s="1" a="1"/>
  <c r="AH71" i="56" s="1"/>
  <c r="W72" i="56" a="1"/>
  <c r="W72" i="56" s="1"/>
  <c r="AH72" i="56" s="1" a="1"/>
  <c r="AH72" i="56" s="1"/>
  <c r="W73" i="56" a="1"/>
  <c r="W73" i="56" s="1"/>
  <c r="AH73" i="56" s="1" a="1"/>
  <c r="AH73" i="56" s="1"/>
  <c r="X71" i="56" a="1"/>
  <c r="X71" i="56" s="1"/>
  <c r="AI71" i="56" s="1" a="1"/>
  <c r="AI71" i="56" s="1"/>
  <c r="X72" i="56" a="1"/>
  <c r="X72" i="56" s="1"/>
  <c r="AI72" i="56" s="1" a="1"/>
  <c r="AI72" i="56" s="1"/>
  <c r="X73" i="56" a="1"/>
  <c r="X73" i="56" s="1"/>
  <c r="AI73" i="56" s="1" a="1"/>
  <c r="AI73" i="56" s="1"/>
  <c r="Y71" i="56" a="1"/>
  <c r="Y71" i="56" s="1"/>
  <c r="AJ71" i="56" s="1" a="1"/>
  <c r="AJ71" i="56" s="1"/>
  <c r="Y72" i="56" a="1"/>
  <c r="Y72" i="56" s="1"/>
  <c r="AJ72" i="56" s="1" a="1"/>
  <c r="AJ72" i="56" s="1"/>
  <c r="Y73" i="56" a="1"/>
  <c r="Y73" i="56" s="1"/>
  <c r="AJ73" i="56" s="1" a="1"/>
  <c r="AJ73" i="56" s="1"/>
  <c r="H69" i="56" a="1"/>
  <c r="H69" i="56" s="1"/>
  <c r="H70" i="56" a="1"/>
  <c r="H70" i="56" s="1"/>
  <c r="O69" i="56" a="1"/>
  <c r="O69" i="56" s="1"/>
  <c r="O70" i="56" a="1"/>
  <c r="O70" i="56" s="1"/>
  <c r="P69" i="56" a="1"/>
  <c r="P69" i="56" s="1"/>
  <c r="P70" i="56" a="1"/>
  <c r="P70" i="56" s="1"/>
  <c r="Q69" i="56" a="1"/>
  <c r="Q69" i="56" s="1"/>
  <c r="Q70" i="56" a="1"/>
  <c r="Q70" i="56" s="1"/>
  <c r="R69" i="56" a="1"/>
  <c r="R69" i="56" s="1"/>
  <c r="R70" i="56" a="1"/>
  <c r="R70" i="56" s="1"/>
  <c r="S69" i="56" a="1"/>
  <c r="S69" i="56" s="1"/>
  <c r="S70" i="56" a="1"/>
  <c r="S70" i="56" s="1"/>
  <c r="T69" i="56" a="1"/>
  <c r="T69" i="56" s="1"/>
  <c r="AE69" i="56" s="1" a="1"/>
  <c r="AE69" i="56" s="1"/>
  <c r="T70" i="56" a="1"/>
  <c r="T70" i="56" s="1"/>
  <c r="AE70" i="56" s="1" a="1"/>
  <c r="AE70" i="56" s="1"/>
  <c r="U69" i="56" a="1"/>
  <c r="U69" i="56" s="1"/>
  <c r="AF69" i="56" s="1" a="1"/>
  <c r="AF69" i="56" s="1"/>
  <c r="U70" i="56" a="1"/>
  <c r="U70" i="56" s="1"/>
  <c r="AF70" i="56" s="1" a="1"/>
  <c r="AF70" i="56" s="1"/>
  <c r="V69" i="56" a="1"/>
  <c r="V69" i="56" s="1"/>
  <c r="AG69" i="56" s="1" a="1"/>
  <c r="AG69" i="56" s="1"/>
  <c r="V70" i="56" a="1"/>
  <c r="V70" i="56" s="1"/>
  <c r="AG70" i="56" s="1" a="1"/>
  <c r="AG70" i="56" s="1"/>
  <c r="W69" i="56" a="1"/>
  <c r="W69" i="56" s="1"/>
  <c r="AH69" i="56" s="1" a="1"/>
  <c r="AH69" i="56" s="1"/>
  <c r="W70" i="56" a="1"/>
  <c r="W70" i="56" s="1"/>
  <c r="AH70" i="56" s="1" a="1"/>
  <c r="AH70" i="56" s="1"/>
  <c r="X69" i="56" a="1"/>
  <c r="X69" i="56" s="1"/>
  <c r="AI69" i="56" s="1" a="1"/>
  <c r="AI69" i="56" s="1"/>
  <c r="X70" i="56" a="1"/>
  <c r="X70" i="56" s="1"/>
  <c r="AI70" i="56" s="1" a="1"/>
  <c r="AI70" i="56" s="1"/>
  <c r="Y69" i="56" a="1"/>
  <c r="Y69" i="56" s="1"/>
  <c r="AJ69" i="56" s="1" a="1"/>
  <c r="AJ69" i="56" s="1"/>
  <c r="Y70" i="56" a="1"/>
  <c r="Y70" i="56" s="1"/>
  <c r="AJ70" i="56" s="1" a="1"/>
  <c r="AJ70" i="56" s="1"/>
  <c r="H68" i="56" a="1"/>
  <c r="H68" i="56" s="1"/>
  <c r="O68" i="56" a="1"/>
  <c r="O68" i="56" s="1"/>
  <c r="P68" i="56" a="1"/>
  <c r="P68" i="56" s="1"/>
  <c r="Q68" i="56" a="1"/>
  <c r="Q68" i="56" s="1"/>
  <c r="R68" i="56" a="1"/>
  <c r="R68" i="56" s="1"/>
  <c r="S68" i="56" a="1"/>
  <c r="S68" i="56" s="1"/>
  <c r="T68" i="56" a="1"/>
  <c r="T68" i="56" s="1"/>
  <c r="AE68" i="56" s="1" a="1"/>
  <c r="AE68" i="56" s="1"/>
  <c r="U68" i="56" a="1"/>
  <c r="U68" i="56" s="1"/>
  <c r="AF68" i="56" s="1" a="1"/>
  <c r="AF68" i="56" s="1"/>
  <c r="V68" i="56" a="1"/>
  <c r="V68" i="56" s="1"/>
  <c r="AG68" i="56" s="1" a="1"/>
  <c r="AG68" i="56" s="1"/>
  <c r="W68" i="56" a="1"/>
  <c r="W68" i="56" s="1"/>
  <c r="AH68" i="56" s="1" a="1"/>
  <c r="AH68" i="56" s="1"/>
  <c r="X68" i="56" a="1"/>
  <c r="X68" i="56" s="1"/>
  <c r="AI68" i="56" s="1" a="1"/>
  <c r="AI68" i="56" s="1"/>
  <c r="Y68" i="56" a="1"/>
  <c r="Y68" i="56" s="1"/>
  <c r="AJ68" i="56" s="1" a="1"/>
  <c r="AJ68" i="56" s="1"/>
  <c r="H67" i="56" a="1"/>
  <c r="H67" i="56" s="1"/>
  <c r="O67" i="56" a="1"/>
  <c r="O67" i="56" s="1"/>
  <c r="P67" i="56" a="1"/>
  <c r="P67" i="56" s="1"/>
  <c r="Q67" i="56" a="1"/>
  <c r="Q67" i="56" s="1"/>
  <c r="R67" i="56" a="1"/>
  <c r="R67" i="56" s="1"/>
  <c r="S67" i="56" a="1"/>
  <c r="S67" i="56" s="1"/>
  <c r="T67" i="56" a="1"/>
  <c r="T67" i="56" s="1"/>
  <c r="AE67" i="56" s="1" a="1"/>
  <c r="AE67" i="56" s="1"/>
  <c r="U67" i="56" a="1"/>
  <c r="U67" i="56" s="1"/>
  <c r="AF67" i="56" s="1" a="1"/>
  <c r="AF67" i="56" s="1"/>
  <c r="V67" i="56" a="1"/>
  <c r="V67" i="56" s="1"/>
  <c r="AG67" i="56" s="1" a="1"/>
  <c r="AG67" i="56" s="1"/>
  <c r="W67" i="56" a="1"/>
  <c r="W67" i="56" s="1"/>
  <c r="AH67" i="56" s="1" a="1"/>
  <c r="AH67" i="56" s="1"/>
  <c r="X67" i="56" a="1"/>
  <c r="X67" i="56" s="1"/>
  <c r="AI67" i="56" s="1" a="1"/>
  <c r="AI67" i="56" s="1"/>
  <c r="Y67" i="56" a="1"/>
  <c r="Y67" i="56" s="1"/>
  <c r="AJ67" i="56" s="1" a="1"/>
  <c r="AJ67" i="56" s="1"/>
  <c r="H66" i="56" a="1"/>
  <c r="H66" i="56" s="1"/>
  <c r="O66" i="56" a="1"/>
  <c r="O66" i="56" s="1"/>
  <c r="P66" i="56" a="1"/>
  <c r="P66" i="56" s="1"/>
  <c r="Q66" i="56" a="1"/>
  <c r="Q66" i="56" s="1"/>
  <c r="R66" i="56" a="1"/>
  <c r="R66" i="56" s="1"/>
  <c r="S66" i="56" a="1"/>
  <c r="S66" i="56" s="1"/>
  <c r="T66" i="56" a="1"/>
  <c r="T66" i="56" s="1"/>
  <c r="AE66" i="56" s="1" a="1"/>
  <c r="AE66" i="56" s="1"/>
  <c r="U66" i="56" a="1"/>
  <c r="U66" i="56" s="1"/>
  <c r="AF66" i="56" s="1" a="1"/>
  <c r="AF66" i="56" s="1"/>
  <c r="V66" i="56" a="1"/>
  <c r="V66" i="56" s="1"/>
  <c r="AG66" i="56" s="1" a="1"/>
  <c r="AG66" i="56" s="1"/>
  <c r="W66" i="56" a="1"/>
  <c r="W66" i="56" s="1"/>
  <c r="AH66" i="56" s="1" a="1"/>
  <c r="AH66" i="56" s="1"/>
  <c r="X66" i="56" a="1"/>
  <c r="X66" i="56" s="1"/>
  <c r="AI66" i="56" s="1" a="1"/>
  <c r="AI66" i="56" s="1"/>
  <c r="Y66" i="56" a="1"/>
  <c r="Y66" i="56" s="1"/>
  <c r="AJ66" i="56" s="1" a="1"/>
  <c r="AJ66" i="56" s="1"/>
  <c r="H65" i="56" a="1"/>
  <c r="H65" i="56" s="1"/>
  <c r="O65" i="56" a="1"/>
  <c r="O65" i="56" s="1"/>
  <c r="P65" i="56" a="1"/>
  <c r="P65" i="56" s="1"/>
  <c r="Q65" i="56" a="1"/>
  <c r="Q65" i="56" s="1"/>
  <c r="R65" i="56" a="1"/>
  <c r="R65" i="56" s="1"/>
  <c r="S65" i="56" a="1"/>
  <c r="S65" i="56" s="1"/>
  <c r="T65" i="56" a="1"/>
  <c r="T65" i="56" s="1"/>
  <c r="AE65" i="56" s="1" a="1"/>
  <c r="AE65" i="56" s="1"/>
  <c r="U65" i="56" a="1"/>
  <c r="U65" i="56" s="1"/>
  <c r="AF65" i="56" s="1" a="1"/>
  <c r="AF65" i="56" s="1"/>
  <c r="V65" i="56" a="1"/>
  <c r="V65" i="56" s="1"/>
  <c r="AG65" i="56" s="1" a="1"/>
  <c r="AG65" i="56" s="1"/>
  <c r="W65" i="56" a="1"/>
  <c r="W65" i="56" s="1"/>
  <c r="AH65" i="56" s="1" a="1"/>
  <c r="AH65" i="56" s="1"/>
  <c r="X65" i="56" a="1"/>
  <c r="X65" i="56" s="1"/>
  <c r="AI65" i="56" s="1" a="1"/>
  <c r="AI65" i="56" s="1"/>
  <c r="Y65" i="56" a="1"/>
  <c r="Y65" i="56" s="1"/>
  <c r="AJ65" i="56" s="1" a="1"/>
  <c r="AJ65" i="56" s="1"/>
  <c r="H64" i="56" a="1"/>
  <c r="H64" i="56" s="1"/>
  <c r="O64" i="56" a="1"/>
  <c r="O64" i="56" s="1"/>
  <c r="P64" i="56" a="1"/>
  <c r="P64" i="56" s="1"/>
  <c r="Q64" i="56" a="1"/>
  <c r="Q64" i="56" s="1"/>
  <c r="R64" i="56" a="1"/>
  <c r="R64" i="56" s="1"/>
  <c r="S64" i="56" a="1"/>
  <c r="S64" i="56" s="1"/>
  <c r="T64" i="56" a="1"/>
  <c r="T64" i="56" s="1"/>
  <c r="AE64" i="56" s="1" a="1"/>
  <c r="AE64" i="56" s="1"/>
  <c r="U64" i="56" a="1"/>
  <c r="U64" i="56" s="1"/>
  <c r="AF64" i="56" s="1" a="1"/>
  <c r="AF64" i="56" s="1"/>
  <c r="V64" i="56" a="1"/>
  <c r="V64" i="56" s="1"/>
  <c r="AG64" i="56" s="1" a="1"/>
  <c r="AG64" i="56" s="1"/>
  <c r="W64" i="56" a="1"/>
  <c r="W64" i="56" s="1"/>
  <c r="AH64" i="56" s="1" a="1"/>
  <c r="AH64" i="56" s="1"/>
  <c r="X64" i="56" a="1"/>
  <c r="X64" i="56" s="1"/>
  <c r="AI64" i="56" s="1" a="1"/>
  <c r="AI64" i="56" s="1"/>
  <c r="Y64" i="56" a="1"/>
  <c r="Y64" i="56" s="1"/>
  <c r="AJ64" i="56" s="1" a="1"/>
  <c r="AJ64" i="56" s="1"/>
  <c r="H63" i="56" a="1"/>
  <c r="H63" i="56" s="1"/>
  <c r="O63" i="56" a="1"/>
  <c r="O63" i="56" s="1"/>
  <c r="P63" i="56" a="1"/>
  <c r="P63" i="56" s="1"/>
  <c r="Q63" i="56" a="1"/>
  <c r="Q63" i="56" s="1"/>
  <c r="R63" i="56" a="1"/>
  <c r="R63" i="56" s="1"/>
  <c r="S63" i="56" a="1"/>
  <c r="S63" i="56" s="1"/>
  <c r="T63" i="56" a="1"/>
  <c r="T63" i="56" s="1"/>
  <c r="AE63" i="56" s="1" a="1"/>
  <c r="AE63" i="56" s="1"/>
  <c r="U63" i="56" a="1"/>
  <c r="U63" i="56" s="1"/>
  <c r="AF63" i="56" s="1" a="1"/>
  <c r="AF63" i="56" s="1"/>
  <c r="V63" i="56" a="1"/>
  <c r="V63" i="56" s="1"/>
  <c r="AG63" i="56" s="1" a="1"/>
  <c r="AG63" i="56" s="1"/>
  <c r="W63" i="56" a="1"/>
  <c r="W63" i="56" s="1"/>
  <c r="AH63" i="56" s="1" a="1"/>
  <c r="AH63" i="56" s="1"/>
  <c r="X63" i="56" a="1"/>
  <c r="X63" i="56" s="1"/>
  <c r="AI63" i="56" s="1" a="1"/>
  <c r="AI63" i="56" s="1"/>
  <c r="Y63" i="56" a="1"/>
  <c r="Y63" i="56" s="1"/>
  <c r="AJ63" i="56" s="1" a="1"/>
  <c r="AJ63" i="56" s="1"/>
  <c r="H62" i="56" a="1"/>
  <c r="H62" i="56" s="1"/>
  <c r="O62" i="56" a="1"/>
  <c r="O62" i="56" s="1"/>
  <c r="P62" i="56" a="1"/>
  <c r="P62" i="56" s="1"/>
  <c r="Q62" i="56" a="1"/>
  <c r="Q62" i="56" s="1"/>
  <c r="R62" i="56" a="1"/>
  <c r="R62" i="56" s="1"/>
  <c r="S62" i="56" a="1"/>
  <c r="S62" i="56" s="1"/>
  <c r="T62" i="56" a="1"/>
  <c r="T62" i="56" s="1"/>
  <c r="AE62" i="56" s="1" a="1"/>
  <c r="AE62" i="56" s="1"/>
  <c r="U62" i="56" a="1"/>
  <c r="U62" i="56" s="1"/>
  <c r="AF62" i="56" s="1" a="1"/>
  <c r="AF62" i="56" s="1"/>
  <c r="V62" i="56" a="1"/>
  <c r="V62" i="56" s="1"/>
  <c r="AG62" i="56" s="1" a="1"/>
  <c r="AG62" i="56" s="1"/>
  <c r="W62" i="56" a="1"/>
  <c r="W62" i="56" s="1"/>
  <c r="AH62" i="56" s="1" a="1"/>
  <c r="AH62" i="56" s="1"/>
  <c r="X62" i="56" a="1"/>
  <c r="X62" i="56" s="1"/>
  <c r="AI62" i="56" s="1" a="1"/>
  <c r="AI62" i="56" s="1"/>
  <c r="Y62" i="56" a="1"/>
  <c r="Y62" i="56" s="1"/>
  <c r="AJ62" i="56" s="1" a="1"/>
  <c r="AJ62" i="56" s="1"/>
  <c r="H61" i="56" a="1"/>
  <c r="H61" i="56" s="1"/>
  <c r="O61" i="56" a="1"/>
  <c r="O61" i="56" s="1"/>
  <c r="P61" i="56" a="1"/>
  <c r="P61" i="56" s="1"/>
  <c r="Q61" i="56" a="1"/>
  <c r="Q61" i="56" s="1"/>
  <c r="R61" i="56" a="1"/>
  <c r="R61" i="56" s="1"/>
  <c r="S61" i="56" a="1"/>
  <c r="S61" i="56" s="1"/>
  <c r="T61" i="56" a="1"/>
  <c r="T61" i="56" s="1"/>
  <c r="AE61" i="56" s="1" a="1"/>
  <c r="AE61" i="56" s="1"/>
  <c r="U61" i="56" a="1"/>
  <c r="U61" i="56" s="1"/>
  <c r="AF61" i="56" s="1" a="1"/>
  <c r="AF61" i="56" s="1"/>
  <c r="V61" i="56" a="1"/>
  <c r="V61" i="56" s="1"/>
  <c r="AG61" i="56" s="1" a="1"/>
  <c r="AG61" i="56" s="1"/>
  <c r="W61" i="56" a="1"/>
  <c r="W61" i="56" s="1"/>
  <c r="AH61" i="56" s="1" a="1"/>
  <c r="AH61" i="56" s="1"/>
  <c r="X61" i="56" a="1"/>
  <c r="X61" i="56" s="1"/>
  <c r="AI61" i="56" s="1" a="1"/>
  <c r="AI61" i="56" s="1"/>
  <c r="Y61" i="56" a="1"/>
  <c r="Y61" i="56" s="1"/>
  <c r="AJ61" i="56" s="1" a="1"/>
  <c r="AJ61" i="56" s="1"/>
  <c r="H60" i="56" a="1"/>
  <c r="H60" i="56" s="1"/>
  <c r="O60" i="56" a="1"/>
  <c r="O60" i="56" s="1"/>
  <c r="P60" i="56" a="1"/>
  <c r="P60" i="56" s="1"/>
  <c r="Q60" i="56" a="1"/>
  <c r="Q60" i="56" s="1"/>
  <c r="R60" i="56" a="1"/>
  <c r="R60" i="56" s="1"/>
  <c r="S60" i="56" a="1"/>
  <c r="S60" i="56" s="1"/>
  <c r="T60" i="56" a="1"/>
  <c r="T60" i="56" s="1"/>
  <c r="AE60" i="56" s="1" a="1"/>
  <c r="AE60" i="56" s="1"/>
  <c r="U60" i="56" a="1"/>
  <c r="U60" i="56" s="1"/>
  <c r="AF60" i="56" s="1" a="1"/>
  <c r="AF60" i="56" s="1"/>
  <c r="V60" i="56" a="1"/>
  <c r="V60" i="56" s="1"/>
  <c r="AG60" i="56" s="1" a="1"/>
  <c r="AG60" i="56" s="1"/>
  <c r="W60" i="56" a="1"/>
  <c r="W60" i="56" s="1"/>
  <c r="AH60" i="56" s="1" a="1"/>
  <c r="AH60" i="56" s="1"/>
  <c r="X60" i="56" a="1"/>
  <c r="X60" i="56" s="1"/>
  <c r="AI60" i="56" s="1" a="1"/>
  <c r="AI60" i="56" s="1"/>
  <c r="Y60" i="56" a="1"/>
  <c r="Y60" i="56" s="1"/>
  <c r="AJ60" i="56" s="1" a="1"/>
  <c r="AJ60" i="56" s="1"/>
  <c r="H59" i="56" a="1"/>
  <c r="H59" i="56" s="1"/>
  <c r="O59" i="56" a="1"/>
  <c r="O59" i="56" s="1"/>
  <c r="P59" i="56" a="1"/>
  <c r="P59" i="56" s="1"/>
  <c r="Q59" i="56" a="1"/>
  <c r="Q59" i="56" s="1"/>
  <c r="R59" i="56" a="1"/>
  <c r="R59" i="56" s="1"/>
  <c r="S59" i="56" a="1"/>
  <c r="S59" i="56" s="1"/>
  <c r="T59" i="56" a="1"/>
  <c r="T59" i="56" s="1"/>
  <c r="AE59" i="56" s="1" a="1"/>
  <c r="AE59" i="56" s="1"/>
  <c r="U59" i="56" a="1"/>
  <c r="U59" i="56" s="1"/>
  <c r="AF59" i="56" s="1" a="1"/>
  <c r="AF59" i="56" s="1"/>
  <c r="V59" i="56" a="1"/>
  <c r="V59" i="56" s="1"/>
  <c r="AG59" i="56" s="1" a="1"/>
  <c r="AG59" i="56" s="1"/>
  <c r="W59" i="56" a="1"/>
  <c r="W59" i="56" s="1"/>
  <c r="AH59" i="56" s="1" a="1"/>
  <c r="AH59" i="56" s="1"/>
  <c r="X59" i="56" a="1"/>
  <c r="X59" i="56" s="1"/>
  <c r="AI59" i="56" s="1" a="1"/>
  <c r="AI59" i="56" s="1"/>
  <c r="Y59" i="56" a="1"/>
  <c r="Y59" i="56" s="1"/>
  <c r="AJ59" i="56" s="1" a="1"/>
  <c r="AJ59" i="56" s="1"/>
  <c r="H58" i="56" a="1"/>
  <c r="H58" i="56" s="1"/>
  <c r="O58" i="56" a="1"/>
  <c r="O58" i="56" s="1"/>
  <c r="P58" i="56" a="1"/>
  <c r="P58" i="56" s="1"/>
  <c r="Q58" i="56" a="1"/>
  <c r="Q58" i="56" s="1"/>
  <c r="R58" i="56" a="1"/>
  <c r="R58" i="56" s="1"/>
  <c r="S58" i="56" a="1"/>
  <c r="S58" i="56" s="1"/>
  <c r="T58" i="56" a="1"/>
  <c r="T58" i="56" s="1"/>
  <c r="AE58" i="56" s="1" a="1"/>
  <c r="AE58" i="56" s="1"/>
  <c r="U58" i="56" a="1"/>
  <c r="U58" i="56" s="1"/>
  <c r="AF58" i="56" s="1" a="1"/>
  <c r="AF58" i="56" s="1"/>
  <c r="V58" i="56" a="1"/>
  <c r="V58" i="56" s="1"/>
  <c r="AG58" i="56" s="1" a="1"/>
  <c r="AG58" i="56" s="1"/>
  <c r="W58" i="56" a="1"/>
  <c r="W58" i="56" s="1"/>
  <c r="AH58" i="56" s="1" a="1"/>
  <c r="AH58" i="56" s="1"/>
  <c r="X58" i="56" a="1"/>
  <c r="X58" i="56" s="1"/>
  <c r="AI58" i="56" s="1" a="1"/>
  <c r="AI58" i="56" s="1"/>
  <c r="Y58" i="56" a="1"/>
  <c r="Y58" i="56" s="1"/>
  <c r="AJ58" i="56" s="1" a="1"/>
  <c r="AJ58" i="56" s="1"/>
  <c r="H57" i="56" a="1"/>
  <c r="H57" i="56" s="1"/>
  <c r="O57" i="56" a="1"/>
  <c r="O57" i="56" s="1"/>
  <c r="P57" i="56" a="1"/>
  <c r="P57" i="56" s="1"/>
  <c r="Q57" i="56" a="1"/>
  <c r="Q57" i="56" s="1"/>
  <c r="R57" i="56" a="1"/>
  <c r="R57" i="56" s="1"/>
  <c r="S57" i="56" a="1"/>
  <c r="S57" i="56" s="1"/>
  <c r="T57" i="56" a="1"/>
  <c r="T57" i="56" s="1"/>
  <c r="AE57" i="56" s="1" a="1"/>
  <c r="AE57" i="56" s="1"/>
  <c r="U57" i="56" a="1"/>
  <c r="U57" i="56" s="1"/>
  <c r="AF57" i="56" s="1" a="1"/>
  <c r="AF57" i="56" s="1"/>
  <c r="V57" i="56" a="1"/>
  <c r="V57" i="56" s="1"/>
  <c r="AG57" i="56" s="1" a="1"/>
  <c r="AG57" i="56" s="1"/>
  <c r="W57" i="56" a="1"/>
  <c r="W57" i="56" s="1"/>
  <c r="AH57" i="56" s="1" a="1"/>
  <c r="AH57" i="56" s="1"/>
  <c r="X57" i="56" a="1"/>
  <c r="X57" i="56" s="1"/>
  <c r="AI57" i="56" s="1" a="1"/>
  <c r="AI57" i="56" s="1"/>
  <c r="Y57" i="56" a="1"/>
  <c r="Y57" i="56" s="1"/>
  <c r="AJ57" i="56" s="1" a="1"/>
  <c r="AJ57" i="56" s="1"/>
  <c r="H56" i="56" a="1"/>
  <c r="H56" i="56" s="1"/>
  <c r="O56" i="56" a="1"/>
  <c r="O56" i="56" s="1"/>
  <c r="P56" i="56" a="1"/>
  <c r="P56" i="56" s="1"/>
  <c r="Q56" i="56" a="1"/>
  <c r="Q56" i="56" s="1"/>
  <c r="R56" i="56" a="1"/>
  <c r="R56" i="56" s="1"/>
  <c r="S56" i="56" a="1"/>
  <c r="S56" i="56" s="1"/>
  <c r="T56" i="56" a="1"/>
  <c r="T56" i="56" s="1"/>
  <c r="AE56" i="56" s="1" a="1"/>
  <c r="AE56" i="56" s="1"/>
  <c r="U56" i="56" a="1"/>
  <c r="U56" i="56" s="1"/>
  <c r="AF56" i="56" s="1" a="1"/>
  <c r="AF56" i="56" s="1"/>
  <c r="V56" i="56" a="1"/>
  <c r="V56" i="56" s="1"/>
  <c r="AG56" i="56" s="1" a="1"/>
  <c r="AG56" i="56" s="1"/>
  <c r="W56" i="56" a="1"/>
  <c r="W56" i="56" s="1"/>
  <c r="AH56" i="56" s="1" a="1"/>
  <c r="AH56" i="56" s="1"/>
  <c r="X56" i="56" a="1"/>
  <c r="X56" i="56" s="1"/>
  <c r="AI56" i="56" s="1" a="1"/>
  <c r="AI56" i="56" s="1"/>
  <c r="Y56" i="56" a="1"/>
  <c r="Y56" i="56" s="1"/>
  <c r="AJ56" i="56" s="1" a="1"/>
  <c r="AJ56" i="56" s="1"/>
  <c r="H55" i="56" a="1"/>
  <c r="H55" i="56" s="1"/>
  <c r="O55" i="56" a="1"/>
  <c r="O55" i="56" s="1"/>
  <c r="P55" i="56" a="1"/>
  <c r="P55" i="56" s="1"/>
  <c r="Q55" i="56" a="1"/>
  <c r="Q55" i="56" s="1"/>
  <c r="R55" i="56" a="1"/>
  <c r="R55" i="56" s="1"/>
  <c r="S55" i="56" a="1"/>
  <c r="S55" i="56" s="1"/>
  <c r="T55" i="56" a="1"/>
  <c r="T55" i="56" s="1"/>
  <c r="AE55" i="56" s="1" a="1"/>
  <c r="AE55" i="56" s="1"/>
  <c r="U55" i="56" a="1"/>
  <c r="U55" i="56" s="1"/>
  <c r="AF55" i="56" s="1" a="1"/>
  <c r="AF55" i="56" s="1"/>
  <c r="V55" i="56" a="1"/>
  <c r="V55" i="56" s="1"/>
  <c r="AG55" i="56" s="1" a="1"/>
  <c r="AG55" i="56" s="1"/>
  <c r="W55" i="56" a="1"/>
  <c r="W55" i="56" s="1"/>
  <c r="AH55" i="56" s="1" a="1"/>
  <c r="AH55" i="56" s="1"/>
  <c r="X55" i="56" a="1"/>
  <c r="X55" i="56" s="1"/>
  <c r="AI55" i="56" s="1" a="1"/>
  <c r="AI55" i="56" s="1"/>
  <c r="Y55" i="56" a="1"/>
  <c r="Y55" i="56" s="1"/>
  <c r="AJ55" i="56" s="1" a="1"/>
  <c r="AJ55" i="56" s="1"/>
  <c r="H54" i="56" a="1"/>
  <c r="H54" i="56" s="1"/>
  <c r="O54" i="56" a="1"/>
  <c r="O54" i="56" s="1"/>
  <c r="P54" i="56" a="1"/>
  <c r="P54" i="56" s="1"/>
  <c r="Q54" i="56" a="1"/>
  <c r="Q54" i="56" s="1"/>
  <c r="R54" i="56" a="1"/>
  <c r="R54" i="56" s="1"/>
  <c r="S54" i="56" a="1"/>
  <c r="S54" i="56" s="1"/>
  <c r="T54" i="56" a="1"/>
  <c r="T54" i="56" s="1"/>
  <c r="AE54" i="56" s="1" a="1"/>
  <c r="AE54" i="56" s="1"/>
  <c r="U54" i="56" a="1"/>
  <c r="U54" i="56" s="1"/>
  <c r="AF54" i="56" s="1" a="1"/>
  <c r="AF54" i="56" s="1"/>
  <c r="V54" i="56" a="1"/>
  <c r="V54" i="56" s="1"/>
  <c r="AG54" i="56" s="1" a="1"/>
  <c r="AG54" i="56" s="1"/>
  <c r="W54" i="56" a="1"/>
  <c r="W54" i="56" s="1"/>
  <c r="AH54" i="56" s="1" a="1"/>
  <c r="AH54" i="56" s="1"/>
  <c r="X54" i="56" a="1"/>
  <c r="X54" i="56" s="1"/>
  <c r="AI54" i="56" s="1" a="1"/>
  <c r="AI54" i="56" s="1"/>
  <c r="Y54" i="56" a="1"/>
  <c r="Y54" i="56" s="1"/>
  <c r="AJ54" i="56" s="1" a="1"/>
  <c r="AJ54" i="56" s="1"/>
  <c r="H53" i="56" a="1"/>
  <c r="H53" i="56" s="1"/>
  <c r="O53" i="56" a="1"/>
  <c r="O53" i="56" s="1"/>
  <c r="P53" i="56" a="1"/>
  <c r="P53" i="56" s="1"/>
  <c r="Q53" i="56" a="1"/>
  <c r="Q53" i="56" s="1"/>
  <c r="R53" i="56" a="1"/>
  <c r="R53" i="56" s="1"/>
  <c r="S53" i="56" a="1"/>
  <c r="S53" i="56" s="1"/>
  <c r="T53" i="56" a="1"/>
  <c r="T53" i="56" s="1"/>
  <c r="AE53" i="56" s="1" a="1"/>
  <c r="AE53" i="56" s="1"/>
  <c r="U53" i="56" a="1"/>
  <c r="U53" i="56" s="1"/>
  <c r="AF53" i="56" s="1" a="1"/>
  <c r="AF53" i="56" s="1"/>
  <c r="V53" i="56" a="1"/>
  <c r="V53" i="56" s="1"/>
  <c r="AG53" i="56" s="1" a="1"/>
  <c r="AG53" i="56" s="1"/>
  <c r="W53" i="56" a="1"/>
  <c r="W53" i="56" s="1"/>
  <c r="AH53" i="56" s="1" a="1"/>
  <c r="AH53" i="56" s="1"/>
  <c r="X53" i="56" a="1"/>
  <c r="X53" i="56" s="1"/>
  <c r="AI53" i="56" s="1" a="1"/>
  <c r="AI53" i="56" s="1"/>
  <c r="Y53" i="56" a="1"/>
  <c r="Y53" i="56" s="1"/>
  <c r="AJ53" i="56" s="1" a="1"/>
  <c r="AJ53" i="56" s="1"/>
  <c r="H52" i="56" a="1"/>
  <c r="H52" i="56" s="1"/>
  <c r="O52" i="56" a="1"/>
  <c r="O52" i="56" s="1"/>
  <c r="P52" i="56" a="1"/>
  <c r="P52" i="56" s="1"/>
  <c r="Q52" i="56" a="1"/>
  <c r="Q52" i="56" s="1"/>
  <c r="R52" i="56" a="1"/>
  <c r="R52" i="56" s="1"/>
  <c r="S52" i="56" a="1"/>
  <c r="S52" i="56" s="1"/>
  <c r="T52" i="56" a="1"/>
  <c r="T52" i="56" s="1"/>
  <c r="AE52" i="56" s="1" a="1"/>
  <c r="AE52" i="56" s="1"/>
  <c r="U52" i="56" a="1"/>
  <c r="U52" i="56" s="1"/>
  <c r="AF52" i="56" s="1" a="1"/>
  <c r="AF52" i="56" s="1"/>
  <c r="V52" i="56" a="1"/>
  <c r="V52" i="56" s="1"/>
  <c r="AG52" i="56" s="1" a="1"/>
  <c r="AG52" i="56" s="1"/>
  <c r="W52" i="56" a="1"/>
  <c r="W52" i="56" s="1"/>
  <c r="AH52" i="56" s="1" a="1"/>
  <c r="AH52" i="56" s="1"/>
  <c r="X52" i="56" a="1"/>
  <c r="X52" i="56" s="1"/>
  <c r="AI52" i="56" s="1" a="1"/>
  <c r="AI52" i="56" s="1"/>
  <c r="Y52" i="56" a="1"/>
  <c r="Y52" i="56" s="1"/>
  <c r="AJ52" i="56" s="1" a="1"/>
  <c r="AJ52" i="56" s="1"/>
  <c r="H51" i="56" a="1"/>
  <c r="H51" i="56" s="1"/>
  <c r="O51" i="56" a="1"/>
  <c r="O51" i="56" s="1"/>
  <c r="P51" i="56" a="1"/>
  <c r="P51" i="56" s="1"/>
  <c r="Q51" i="56" a="1"/>
  <c r="Q51" i="56" s="1"/>
  <c r="R51" i="56" a="1"/>
  <c r="R51" i="56" s="1"/>
  <c r="S51" i="56" a="1"/>
  <c r="S51" i="56" s="1"/>
  <c r="T51" i="56" a="1"/>
  <c r="T51" i="56" s="1"/>
  <c r="AE51" i="56" s="1" a="1"/>
  <c r="AE51" i="56" s="1"/>
  <c r="U51" i="56" a="1"/>
  <c r="U51" i="56" s="1"/>
  <c r="AF51" i="56" s="1" a="1"/>
  <c r="AF51" i="56" s="1"/>
  <c r="V51" i="56" a="1"/>
  <c r="V51" i="56" s="1"/>
  <c r="AG51" i="56" s="1" a="1"/>
  <c r="AG51" i="56" s="1"/>
  <c r="W51" i="56" a="1"/>
  <c r="W51" i="56" s="1"/>
  <c r="AH51" i="56" s="1" a="1"/>
  <c r="AH51" i="56" s="1"/>
  <c r="X51" i="56" a="1"/>
  <c r="X51" i="56" s="1"/>
  <c r="AI51" i="56" s="1" a="1"/>
  <c r="AI51" i="56" s="1"/>
  <c r="Y51" i="56" a="1"/>
  <c r="Y51" i="56" s="1"/>
  <c r="AJ51" i="56" s="1" a="1"/>
  <c r="AJ51" i="56" s="1"/>
  <c r="H50" i="56" a="1"/>
  <c r="H50" i="56" s="1"/>
  <c r="O50" i="56" a="1"/>
  <c r="O50" i="56" s="1"/>
  <c r="P50" i="56" a="1"/>
  <c r="P50" i="56" s="1"/>
  <c r="Q50" i="56" a="1"/>
  <c r="Q50" i="56" s="1"/>
  <c r="R50" i="56" a="1"/>
  <c r="R50" i="56" s="1"/>
  <c r="S50" i="56" a="1"/>
  <c r="S50" i="56" s="1"/>
  <c r="T50" i="56" a="1"/>
  <c r="T50" i="56" s="1"/>
  <c r="AE50" i="56" s="1" a="1"/>
  <c r="AE50" i="56" s="1"/>
  <c r="U50" i="56" a="1"/>
  <c r="U50" i="56" s="1"/>
  <c r="AF50" i="56" s="1" a="1"/>
  <c r="AF50" i="56" s="1"/>
  <c r="V50" i="56" a="1"/>
  <c r="V50" i="56" s="1"/>
  <c r="AG50" i="56" s="1" a="1"/>
  <c r="AG50" i="56" s="1"/>
  <c r="W50" i="56" a="1"/>
  <c r="W50" i="56" s="1"/>
  <c r="AH50" i="56" s="1" a="1"/>
  <c r="AH50" i="56" s="1"/>
  <c r="X50" i="56" a="1"/>
  <c r="X50" i="56" s="1"/>
  <c r="AI50" i="56" s="1" a="1"/>
  <c r="AI50" i="56" s="1"/>
  <c r="Y50" i="56" a="1"/>
  <c r="Y50" i="56" s="1"/>
  <c r="AJ50" i="56" s="1" a="1"/>
  <c r="AJ50" i="56" s="1"/>
  <c r="H49" i="56" a="1"/>
  <c r="H49" i="56" s="1"/>
  <c r="O49" i="56" a="1"/>
  <c r="O49" i="56" s="1"/>
  <c r="P49" i="56" a="1"/>
  <c r="P49" i="56" s="1"/>
  <c r="Q49" i="56" a="1"/>
  <c r="Q49" i="56" s="1"/>
  <c r="R49" i="56" a="1"/>
  <c r="R49" i="56" s="1"/>
  <c r="S49" i="56" a="1"/>
  <c r="S49" i="56" s="1"/>
  <c r="T49" i="56" a="1"/>
  <c r="T49" i="56" s="1"/>
  <c r="AE49" i="56" s="1" a="1"/>
  <c r="AE49" i="56" s="1"/>
  <c r="U49" i="56" a="1"/>
  <c r="U49" i="56" s="1"/>
  <c r="AF49" i="56" s="1" a="1"/>
  <c r="AF49" i="56" s="1"/>
  <c r="V49" i="56" a="1"/>
  <c r="V49" i="56" s="1"/>
  <c r="AG49" i="56" s="1" a="1"/>
  <c r="AG49" i="56" s="1"/>
  <c r="W49" i="56" a="1"/>
  <c r="W49" i="56" s="1"/>
  <c r="AH49" i="56" s="1" a="1"/>
  <c r="AH49" i="56" s="1"/>
  <c r="X49" i="56" a="1"/>
  <c r="X49" i="56" s="1"/>
  <c r="AI49" i="56" s="1" a="1"/>
  <c r="AI49" i="56" s="1"/>
  <c r="Y49" i="56" a="1"/>
  <c r="Y49" i="56" s="1"/>
  <c r="AJ49" i="56" s="1" a="1"/>
  <c r="AJ49" i="56" s="1"/>
  <c r="H44" i="56" a="1"/>
  <c r="H44" i="56" s="1"/>
  <c r="O44" i="56" a="1"/>
  <c r="O44" i="56" s="1"/>
  <c r="P44" i="56" a="1"/>
  <c r="P44" i="56" s="1"/>
  <c r="Q44" i="56" a="1"/>
  <c r="Q44" i="56" s="1"/>
  <c r="R44" i="56" a="1"/>
  <c r="R44" i="56" s="1"/>
  <c r="S44" i="56" a="1"/>
  <c r="S44" i="56" s="1"/>
  <c r="T44" i="56" a="1"/>
  <c r="T44" i="56" s="1"/>
  <c r="AE44" i="56" s="1" a="1"/>
  <c r="AE44" i="56" s="1"/>
  <c r="U44" i="56" a="1"/>
  <c r="U44" i="56" s="1"/>
  <c r="AF44" i="56" s="1" a="1"/>
  <c r="AF44" i="56" s="1"/>
  <c r="V44" i="56" a="1"/>
  <c r="V44" i="56" s="1"/>
  <c r="AG44" i="56" s="1" a="1"/>
  <c r="AG44" i="56" s="1"/>
  <c r="W44" i="56" a="1"/>
  <c r="W44" i="56" s="1"/>
  <c r="AH44" i="56" s="1" a="1"/>
  <c r="AH44" i="56" s="1"/>
  <c r="X44" i="56" a="1"/>
  <c r="X44" i="56" s="1"/>
  <c r="AI44" i="56" s="1" a="1"/>
  <c r="AI44" i="56" s="1"/>
  <c r="Y44" i="56" a="1"/>
  <c r="Y44" i="56" s="1"/>
  <c r="AJ44" i="56" s="1" a="1"/>
  <c r="AJ44" i="56" s="1"/>
  <c r="H45" i="56" a="1"/>
  <c r="H45" i="56" s="1"/>
  <c r="O45" i="56" a="1"/>
  <c r="O45" i="56" s="1"/>
  <c r="P45" i="56" a="1"/>
  <c r="P45" i="56" s="1"/>
  <c r="Q45" i="56" a="1"/>
  <c r="Q45" i="56" s="1"/>
  <c r="R45" i="56" a="1"/>
  <c r="R45" i="56" s="1"/>
  <c r="S45" i="56" a="1"/>
  <c r="S45" i="56" s="1"/>
  <c r="T45" i="56" a="1"/>
  <c r="T45" i="56" s="1"/>
  <c r="AE45" i="56" s="1" a="1"/>
  <c r="AE45" i="56" s="1"/>
  <c r="U45" i="56" a="1"/>
  <c r="U45" i="56" s="1"/>
  <c r="AF45" i="56" s="1" a="1"/>
  <c r="AF45" i="56" s="1"/>
  <c r="V45" i="56" a="1"/>
  <c r="V45" i="56" s="1"/>
  <c r="AG45" i="56" s="1" a="1"/>
  <c r="AG45" i="56" s="1"/>
  <c r="W45" i="56" a="1"/>
  <c r="W45" i="56" s="1"/>
  <c r="AH45" i="56" s="1" a="1"/>
  <c r="AH45" i="56" s="1"/>
  <c r="X45" i="56" a="1"/>
  <c r="X45" i="56" s="1"/>
  <c r="AI45" i="56" s="1" a="1"/>
  <c r="AI45" i="56" s="1"/>
  <c r="Y45" i="56" a="1"/>
  <c r="Y45" i="56" s="1"/>
  <c r="AJ45" i="56" s="1" a="1"/>
  <c r="AJ45" i="56" s="1"/>
  <c r="H46" i="56" a="1"/>
  <c r="H46" i="56" s="1"/>
  <c r="O46" i="56" a="1"/>
  <c r="O46" i="56" s="1"/>
  <c r="P46" i="56" a="1"/>
  <c r="P46" i="56" s="1"/>
  <c r="Q46" i="56" a="1"/>
  <c r="Q46" i="56" s="1"/>
  <c r="R46" i="56" a="1"/>
  <c r="R46" i="56" s="1"/>
  <c r="S46" i="56" a="1"/>
  <c r="S46" i="56" s="1"/>
  <c r="T46" i="56" a="1"/>
  <c r="T46" i="56" s="1"/>
  <c r="AE46" i="56" s="1" a="1"/>
  <c r="AE46" i="56" s="1"/>
  <c r="U46" i="56" a="1"/>
  <c r="U46" i="56" s="1"/>
  <c r="AF46" i="56" s="1" a="1"/>
  <c r="AF46" i="56" s="1"/>
  <c r="V46" i="56" a="1"/>
  <c r="V46" i="56" s="1"/>
  <c r="AG46" i="56" s="1" a="1"/>
  <c r="AG46" i="56" s="1"/>
  <c r="W46" i="56" a="1"/>
  <c r="W46" i="56" s="1"/>
  <c r="AH46" i="56" s="1" a="1"/>
  <c r="AH46" i="56" s="1"/>
  <c r="X46" i="56" a="1"/>
  <c r="X46" i="56" s="1"/>
  <c r="AI46" i="56" s="1" a="1"/>
  <c r="AI46" i="56" s="1"/>
  <c r="Y46" i="56" a="1"/>
  <c r="Y46" i="56" s="1"/>
  <c r="AJ46" i="56" s="1" a="1"/>
  <c r="AJ46" i="56" s="1"/>
  <c r="H47" i="56" a="1"/>
  <c r="H47" i="56" s="1"/>
  <c r="O47" i="56" a="1"/>
  <c r="O47" i="56" s="1"/>
  <c r="P47" i="56" a="1"/>
  <c r="P47" i="56" s="1"/>
  <c r="Q47" i="56" a="1"/>
  <c r="Q47" i="56" s="1"/>
  <c r="R47" i="56" a="1"/>
  <c r="R47" i="56" s="1"/>
  <c r="S47" i="56" a="1"/>
  <c r="S47" i="56" s="1"/>
  <c r="T47" i="56" a="1"/>
  <c r="T47" i="56" s="1"/>
  <c r="AE47" i="56" s="1" a="1"/>
  <c r="AE47" i="56" s="1"/>
  <c r="U47" i="56" a="1"/>
  <c r="U47" i="56" s="1"/>
  <c r="AF47" i="56" s="1" a="1"/>
  <c r="AF47" i="56" s="1"/>
  <c r="V47" i="56" a="1"/>
  <c r="V47" i="56" s="1"/>
  <c r="AG47" i="56" s="1" a="1"/>
  <c r="AG47" i="56" s="1"/>
  <c r="W47" i="56" a="1"/>
  <c r="W47" i="56" s="1"/>
  <c r="AH47" i="56" s="1" a="1"/>
  <c r="AH47" i="56" s="1"/>
  <c r="X47" i="56" a="1"/>
  <c r="X47" i="56" s="1"/>
  <c r="AI47" i="56" s="1" a="1"/>
  <c r="AI47" i="56" s="1"/>
  <c r="Y47" i="56" a="1"/>
  <c r="Y47" i="56" s="1"/>
  <c r="AJ47" i="56" s="1" a="1"/>
  <c r="AJ47" i="56" s="1"/>
  <c r="O48" i="56" a="1"/>
  <c r="O48" i="56" s="1"/>
  <c r="P48" i="56" a="1"/>
  <c r="P48" i="56" s="1"/>
  <c r="Q48" i="56" a="1"/>
  <c r="Q48" i="56" s="1"/>
  <c r="R48" i="56" a="1"/>
  <c r="R48" i="56" s="1"/>
  <c r="S48" i="56" a="1"/>
  <c r="S48" i="56" s="1"/>
  <c r="T48" i="56" a="1"/>
  <c r="T48" i="56" s="1"/>
  <c r="U48" i="56" a="1"/>
  <c r="U48" i="56" s="1"/>
  <c r="V48" i="56" a="1"/>
  <c r="V48" i="56" s="1"/>
  <c r="AG48" i="56" s="1" a="1"/>
  <c r="AG48" i="56" s="1"/>
  <c r="W48" i="56" a="1"/>
  <c r="W48" i="56" s="1"/>
  <c r="AH48" i="56" s="1" a="1"/>
  <c r="AH48" i="56" s="1"/>
  <c r="X48" i="56" a="1"/>
  <c r="X48" i="56" s="1"/>
  <c r="AI48" i="56" s="1" a="1"/>
  <c r="AI48" i="56" s="1"/>
  <c r="Y48" i="56" a="1"/>
  <c r="Y48" i="56" s="1"/>
  <c r="AJ48" i="56" s="1" a="1"/>
  <c r="AJ48" i="56" s="1"/>
  <c r="H48" i="56" a="1"/>
  <c r="H48" i="56" s="1"/>
  <c r="Y43" i="56" a="1"/>
  <c r="Y43" i="56" s="1"/>
  <c r="AJ43" i="56" s="1" a="1"/>
  <c r="AJ43" i="56" s="1"/>
  <c r="X43" i="56" a="1"/>
  <c r="X43" i="56" s="1"/>
  <c r="AI43" i="56" s="1" a="1"/>
  <c r="AI43" i="56" s="1"/>
  <c r="W43" i="56" a="1"/>
  <c r="W43" i="56" s="1"/>
  <c r="AH43" i="56" s="1" a="1"/>
  <c r="AH43" i="56" s="1"/>
  <c r="V43" i="56" a="1"/>
  <c r="V43" i="56" s="1"/>
  <c r="AG43" i="56" s="1" a="1"/>
  <c r="AG43" i="56" s="1"/>
  <c r="U43" i="56" a="1"/>
  <c r="U43" i="56" s="1"/>
  <c r="AF43" i="56" s="1" a="1"/>
  <c r="AF43" i="56" s="1"/>
  <c r="T43" i="56" a="1"/>
  <c r="T43" i="56" s="1"/>
  <c r="AE43" i="56" s="1" a="1"/>
  <c r="AE43" i="56" s="1"/>
  <c r="S43" i="56" a="1"/>
  <c r="S43" i="56" s="1"/>
  <c r="R43" i="56" a="1"/>
  <c r="R43" i="56" s="1"/>
  <c r="Q43" i="56" a="1"/>
  <c r="Q43" i="56" s="1"/>
  <c r="P43" i="56" a="1"/>
  <c r="P43" i="56" s="1"/>
  <c r="O43" i="56" a="1"/>
  <c r="O43" i="56" s="1"/>
  <c r="H43" i="56" a="1"/>
  <c r="H43" i="56" s="1"/>
  <c r="Y42" i="56" a="1"/>
  <c r="Y42" i="56" s="1"/>
  <c r="AJ42" i="56" s="1" a="1"/>
  <c r="AJ42" i="56" s="1"/>
  <c r="X42" i="56" a="1"/>
  <c r="X42" i="56" s="1"/>
  <c r="AI42" i="56" s="1" a="1"/>
  <c r="AI42" i="56" s="1"/>
  <c r="W42" i="56" a="1"/>
  <c r="W42" i="56" s="1"/>
  <c r="AH42" i="56" s="1" a="1"/>
  <c r="AH42" i="56" s="1"/>
  <c r="V42" i="56" a="1"/>
  <c r="V42" i="56" s="1"/>
  <c r="AG42" i="56" s="1" a="1"/>
  <c r="AG42" i="56" s="1"/>
  <c r="U42" i="56" a="1"/>
  <c r="U42" i="56" s="1"/>
  <c r="AF42" i="56" s="1" a="1"/>
  <c r="AF42" i="56" s="1"/>
  <c r="T42" i="56" a="1"/>
  <c r="T42" i="56" s="1"/>
  <c r="AE42" i="56" s="1" a="1"/>
  <c r="AE42" i="56" s="1"/>
  <c r="S42" i="56" a="1"/>
  <c r="S42" i="56" s="1"/>
  <c r="R42" i="56" a="1"/>
  <c r="R42" i="56" s="1"/>
  <c r="Q42" i="56" a="1"/>
  <c r="Q42" i="56" s="1"/>
  <c r="P42" i="56" a="1"/>
  <c r="P42" i="56" s="1"/>
  <c r="O42" i="56" a="1"/>
  <c r="O42" i="56" s="1"/>
  <c r="H42" i="56" a="1"/>
  <c r="H42" i="56" s="1"/>
  <c r="Y41" i="56" a="1"/>
  <c r="Y41" i="56" s="1"/>
  <c r="AJ41" i="56" s="1" a="1"/>
  <c r="AJ41" i="56" s="1"/>
  <c r="X41" i="56" a="1"/>
  <c r="X41" i="56" s="1"/>
  <c r="AI41" i="56" s="1" a="1"/>
  <c r="AI41" i="56" s="1"/>
  <c r="W41" i="56" a="1"/>
  <c r="W41" i="56" s="1"/>
  <c r="AH41" i="56" s="1" a="1"/>
  <c r="AH41" i="56" s="1"/>
  <c r="V41" i="56" a="1"/>
  <c r="V41" i="56" s="1"/>
  <c r="AG41" i="56" s="1" a="1"/>
  <c r="AG41" i="56" s="1"/>
  <c r="U41" i="56" a="1"/>
  <c r="U41" i="56" s="1"/>
  <c r="AF41" i="56" s="1" a="1"/>
  <c r="AF41" i="56" s="1"/>
  <c r="T41" i="56" a="1"/>
  <c r="T41" i="56" s="1"/>
  <c r="AE41" i="56" s="1" a="1"/>
  <c r="AE41" i="56" s="1"/>
  <c r="S41" i="56" a="1"/>
  <c r="S41" i="56" s="1"/>
  <c r="R41" i="56" a="1"/>
  <c r="R41" i="56" s="1"/>
  <c r="Q41" i="56" a="1"/>
  <c r="Q41" i="56" s="1"/>
  <c r="P41" i="56" a="1"/>
  <c r="P41" i="56" s="1"/>
  <c r="O41" i="56" a="1"/>
  <c r="O41" i="56" s="1"/>
  <c r="H41" i="56" a="1"/>
  <c r="H41" i="56" s="1"/>
  <c r="Y40" i="56" a="1"/>
  <c r="Y40" i="56" s="1"/>
  <c r="AJ40" i="56" s="1" a="1"/>
  <c r="AJ40" i="56" s="1"/>
  <c r="X40" i="56" a="1"/>
  <c r="X40" i="56" s="1"/>
  <c r="AI40" i="56" s="1" a="1"/>
  <c r="AI40" i="56" s="1"/>
  <c r="W40" i="56" a="1"/>
  <c r="W40" i="56" s="1"/>
  <c r="AH40" i="56" s="1" a="1"/>
  <c r="AH40" i="56" s="1"/>
  <c r="V40" i="56" a="1"/>
  <c r="V40" i="56" s="1"/>
  <c r="AG40" i="56" s="1" a="1"/>
  <c r="AG40" i="56" s="1"/>
  <c r="U40" i="56" a="1"/>
  <c r="U40" i="56" s="1"/>
  <c r="AF40" i="56" s="1" a="1"/>
  <c r="AF40" i="56" s="1"/>
  <c r="T40" i="56" a="1"/>
  <c r="T40" i="56" s="1"/>
  <c r="AE40" i="56" s="1" a="1"/>
  <c r="AE40" i="56" s="1"/>
  <c r="S40" i="56" a="1"/>
  <c r="S40" i="56" s="1"/>
  <c r="R40" i="56" a="1"/>
  <c r="R40" i="56" s="1"/>
  <c r="Q40" i="56" a="1"/>
  <c r="Q40" i="56" s="1"/>
  <c r="P40" i="56" a="1"/>
  <c r="P40" i="56" s="1"/>
  <c r="O40" i="56" a="1"/>
  <c r="O40" i="56" s="1"/>
  <c r="H40" i="56" a="1"/>
  <c r="H40" i="56" s="1"/>
  <c r="Y39" i="56" a="1"/>
  <c r="Y39" i="56" s="1"/>
  <c r="AJ39" i="56" s="1" a="1"/>
  <c r="AJ39" i="56" s="1"/>
  <c r="X39" i="56" a="1"/>
  <c r="X39" i="56" s="1"/>
  <c r="AI39" i="56" s="1" a="1"/>
  <c r="AI39" i="56" s="1"/>
  <c r="W39" i="56" a="1"/>
  <c r="W39" i="56" s="1"/>
  <c r="AH39" i="56" s="1" a="1"/>
  <c r="AH39" i="56" s="1"/>
  <c r="V39" i="56" a="1"/>
  <c r="V39" i="56" s="1"/>
  <c r="AG39" i="56" s="1" a="1"/>
  <c r="AG39" i="56" s="1"/>
  <c r="U39" i="56" a="1"/>
  <c r="U39" i="56" s="1"/>
  <c r="AF39" i="56" s="1" a="1"/>
  <c r="AF39" i="56" s="1"/>
  <c r="T39" i="56" a="1"/>
  <c r="T39" i="56" s="1"/>
  <c r="AE39" i="56" s="1" a="1"/>
  <c r="AE39" i="56" s="1"/>
  <c r="S39" i="56" a="1"/>
  <c r="S39" i="56" s="1"/>
  <c r="R39" i="56" a="1"/>
  <c r="R39" i="56" s="1"/>
  <c r="Q39" i="56" a="1"/>
  <c r="Q39" i="56" s="1"/>
  <c r="P39" i="56" a="1"/>
  <c r="P39" i="56" s="1"/>
  <c r="O39" i="56" a="1"/>
  <c r="O39" i="56" s="1"/>
  <c r="H39" i="56" a="1"/>
  <c r="H39" i="56" s="1"/>
  <c r="Y38" i="56" a="1"/>
  <c r="Y38" i="56" s="1"/>
  <c r="AJ38" i="56" s="1" a="1"/>
  <c r="AJ38" i="56" s="1"/>
  <c r="X38" i="56" a="1"/>
  <c r="X38" i="56" s="1"/>
  <c r="AI38" i="56" s="1" a="1"/>
  <c r="AI38" i="56" s="1"/>
  <c r="W38" i="56" a="1"/>
  <c r="W38" i="56" s="1"/>
  <c r="AH38" i="56" s="1" a="1"/>
  <c r="AH38" i="56" s="1"/>
  <c r="V38" i="56" a="1"/>
  <c r="V38" i="56" s="1"/>
  <c r="AG38" i="56" s="1" a="1"/>
  <c r="AG38" i="56" s="1"/>
  <c r="U38" i="56" a="1"/>
  <c r="U38" i="56" s="1"/>
  <c r="AF38" i="56" s="1" a="1"/>
  <c r="AF38" i="56" s="1"/>
  <c r="T38" i="56" a="1"/>
  <c r="T38" i="56" s="1"/>
  <c r="AE38" i="56" s="1" a="1"/>
  <c r="AE38" i="56" s="1"/>
  <c r="S38" i="56" a="1"/>
  <c r="S38" i="56" s="1"/>
  <c r="R38" i="56" a="1"/>
  <c r="R38" i="56" s="1"/>
  <c r="Q38" i="56" a="1"/>
  <c r="Q38" i="56" s="1"/>
  <c r="P38" i="56" a="1"/>
  <c r="P38" i="56" s="1"/>
  <c r="O38" i="56" a="1"/>
  <c r="O38" i="56" s="1"/>
  <c r="H38" i="56" a="1"/>
  <c r="H38" i="56" s="1"/>
  <c r="Y37" i="56" a="1"/>
  <c r="Y37" i="56" s="1"/>
  <c r="AJ37" i="56" s="1" a="1"/>
  <c r="AJ37" i="56" s="1"/>
  <c r="X37" i="56" a="1"/>
  <c r="X37" i="56" s="1"/>
  <c r="AI37" i="56" s="1" a="1"/>
  <c r="AI37" i="56" s="1"/>
  <c r="W37" i="56" a="1"/>
  <c r="W37" i="56" s="1"/>
  <c r="AH37" i="56" s="1" a="1"/>
  <c r="AH37" i="56" s="1"/>
  <c r="V37" i="56" a="1"/>
  <c r="V37" i="56" s="1"/>
  <c r="AG37" i="56" s="1" a="1"/>
  <c r="AG37" i="56" s="1"/>
  <c r="U37" i="56" a="1"/>
  <c r="U37" i="56" s="1"/>
  <c r="AF37" i="56" s="1" a="1"/>
  <c r="AF37" i="56" s="1"/>
  <c r="T37" i="56" a="1"/>
  <c r="T37" i="56" s="1"/>
  <c r="AE37" i="56" s="1" a="1"/>
  <c r="AE37" i="56" s="1"/>
  <c r="S37" i="56" a="1"/>
  <c r="S37" i="56" s="1"/>
  <c r="R37" i="56" a="1"/>
  <c r="R37" i="56" s="1"/>
  <c r="Q37" i="56" a="1"/>
  <c r="Q37" i="56" s="1"/>
  <c r="P37" i="56" a="1"/>
  <c r="P37" i="56" s="1"/>
  <c r="O37" i="56" a="1"/>
  <c r="O37" i="56" s="1"/>
  <c r="H37" i="56" a="1"/>
  <c r="H37" i="56" s="1"/>
  <c r="Y36" i="56" a="1"/>
  <c r="Y36" i="56" s="1"/>
  <c r="AJ36" i="56" s="1" a="1"/>
  <c r="AJ36" i="56" s="1"/>
  <c r="X36" i="56" a="1"/>
  <c r="X36" i="56" s="1"/>
  <c r="AI36" i="56" s="1" a="1"/>
  <c r="AI36" i="56" s="1"/>
  <c r="W36" i="56" a="1"/>
  <c r="W36" i="56" s="1"/>
  <c r="AH36" i="56" s="1" a="1"/>
  <c r="AH36" i="56" s="1"/>
  <c r="V36" i="56" a="1"/>
  <c r="V36" i="56" s="1"/>
  <c r="AG36" i="56" s="1" a="1"/>
  <c r="AG36" i="56" s="1"/>
  <c r="U36" i="56" a="1"/>
  <c r="U36" i="56" s="1"/>
  <c r="AF36" i="56" s="1" a="1"/>
  <c r="AF36" i="56" s="1"/>
  <c r="T36" i="56" a="1"/>
  <c r="T36" i="56" s="1"/>
  <c r="AE36" i="56" s="1" a="1"/>
  <c r="AE36" i="56" s="1"/>
  <c r="S36" i="56" a="1"/>
  <c r="S36" i="56" s="1"/>
  <c r="R36" i="56" a="1"/>
  <c r="R36" i="56" s="1"/>
  <c r="Q36" i="56" a="1"/>
  <c r="Q36" i="56" s="1"/>
  <c r="P36" i="56" a="1"/>
  <c r="P36" i="56" s="1"/>
  <c r="O36" i="56" a="1"/>
  <c r="O36" i="56" s="1"/>
  <c r="H36" i="56" a="1"/>
  <c r="H36" i="56" s="1"/>
  <c r="Y35" i="56" a="1"/>
  <c r="Y35" i="56" s="1"/>
  <c r="AJ35" i="56" s="1" a="1"/>
  <c r="AJ35" i="56" s="1"/>
  <c r="X35" i="56" a="1"/>
  <c r="X35" i="56" s="1"/>
  <c r="AI35" i="56" s="1" a="1"/>
  <c r="AI35" i="56" s="1"/>
  <c r="W35" i="56" a="1"/>
  <c r="W35" i="56" s="1"/>
  <c r="AH35" i="56" s="1" a="1"/>
  <c r="AH35" i="56" s="1"/>
  <c r="V35" i="56" a="1"/>
  <c r="V35" i="56" s="1"/>
  <c r="AG35" i="56" s="1" a="1"/>
  <c r="AG35" i="56" s="1"/>
  <c r="U35" i="56" a="1"/>
  <c r="U35" i="56" s="1"/>
  <c r="AF35" i="56" s="1" a="1"/>
  <c r="AF35" i="56" s="1"/>
  <c r="T35" i="56" a="1"/>
  <c r="T35" i="56" s="1"/>
  <c r="AE35" i="56" s="1" a="1"/>
  <c r="AE35" i="56" s="1"/>
  <c r="S35" i="56" a="1"/>
  <c r="S35" i="56" s="1"/>
  <c r="R35" i="56" a="1"/>
  <c r="R35" i="56" s="1"/>
  <c r="Q35" i="56" a="1"/>
  <c r="Q35" i="56" s="1"/>
  <c r="P35" i="56" a="1"/>
  <c r="P35" i="56" s="1"/>
  <c r="O35" i="56" a="1"/>
  <c r="O35" i="56" s="1"/>
  <c r="H35" i="56" a="1"/>
  <c r="H35" i="56" s="1"/>
  <c r="Y34" i="56" a="1"/>
  <c r="Y34" i="56" s="1"/>
  <c r="AJ34" i="56" s="1" a="1"/>
  <c r="AJ34" i="56" s="1"/>
  <c r="X34" i="56" a="1"/>
  <c r="X34" i="56" s="1"/>
  <c r="AI34" i="56" s="1" a="1"/>
  <c r="AI34" i="56" s="1"/>
  <c r="W34" i="56" a="1"/>
  <c r="W34" i="56" s="1"/>
  <c r="AH34" i="56" s="1" a="1"/>
  <c r="AH34" i="56" s="1"/>
  <c r="V34" i="56" a="1"/>
  <c r="V34" i="56" s="1"/>
  <c r="AG34" i="56" s="1" a="1"/>
  <c r="AG34" i="56" s="1"/>
  <c r="U34" i="56" a="1"/>
  <c r="U34" i="56" s="1"/>
  <c r="AF34" i="56" s="1" a="1"/>
  <c r="AF34" i="56" s="1"/>
  <c r="T34" i="56" a="1"/>
  <c r="T34" i="56" s="1"/>
  <c r="AE34" i="56" s="1" a="1"/>
  <c r="AE34" i="56" s="1"/>
  <c r="S34" i="56" a="1"/>
  <c r="S34" i="56" s="1"/>
  <c r="R34" i="56" a="1"/>
  <c r="R34" i="56" s="1"/>
  <c r="Q34" i="56" a="1"/>
  <c r="Q34" i="56" s="1"/>
  <c r="P34" i="56" a="1"/>
  <c r="P34" i="56" s="1"/>
  <c r="O34" i="56" a="1"/>
  <c r="O34" i="56" s="1"/>
  <c r="H34" i="56" a="1"/>
  <c r="H34" i="56" s="1"/>
  <c r="Y33" i="56" a="1"/>
  <c r="Y33" i="56" s="1"/>
  <c r="AJ33" i="56" s="1" a="1"/>
  <c r="AJ33" i="56" s="1"/>
  <c r="X33" i="56" a="1"/>
  <c r="X33" i="56" s="1"/>
  <c r="AI33" i="56" s="1" a="1"/>
  <c r="AI33" i="56" s="1"/>
  <c r="W33" i="56" a="1"/>
  <c r="W33" i="56" s="1"/>
  <c r="AH33" i="56" s="1" a="1"/>
  <c r="AH33" i="56" s="1"/>
  <c r="V33" i="56" a="1"/>
  <c r="V33" i="56" s="1"/>
  <c r="AG33" i="56" s="1" a="1"/>
  <c r="AG33" i="56" s="1"/>
  <c r="U33" i="56" a="1"/>
  <c r="U33" i="56" s="1"/>
  <c r="AF33" i="56" s="1" a="1"/>
  <c r="AF33" i="56" s="1"/>
  <c r="T33" i="56" a="1"/>
  <c r="T33" i="56" s="1"/>
  <c r="AE33" i="56" s="1" a="1"/>
  <c r="AE33" i="56" s="1"/>
  <c r="S33" i="56" a="1"/>
  <c r="S33" i="56" s="1"/>
  <c r="R33" i="56" a="1"/>
  <c r="R33" i="56" s="1"/>
  <c r="Q33" i="56" a="1"/>
  <c r="Q33" i="56" s="1"/>
  <c r="P33" i="56" a="1"/>
  <c r="P33" i="56" s="1"/>
  <c r="O33" i="56" a="1"/>
  <c r="O33" i="56" s="1"/>
  <c r="H33" i="56" a="1"/>
  <c r="H33" i="56" s="1"/>
  <c r="Y32" i="56" a="1"/>
  <c r="Y32" i="56" s="1"/>
  <c r="AJ32" i="56" s="1" a="1"/>
  <c r="AJ32" i="56" s="1"/>
  <c r="X32" i="56" a="1"/>
  <c r="X32" i="56" s="1"/>
  <c r="AI32" i="56" s="1" a="1"/>
  <c r="AI32" i="56" s="1"/>
  <c r="W32" i="56" a="1"/>
  <c r="W32" i="56" s="1"/>
  <c r="AH32" i="56" s="1" a="1"/>
  <c r="AH32" i="56" s="1"/>
  <c r="V32" i="56" a="1"/>
  <c r="V32" i="56" s="1"/>
  <c r="AG32" i="56" s="1" a="1"/>
  <c r="AG32" i="56" s="1"/>
  <c r="U32" i="56" a="1"/>
  <c r="U32" i="56" s="1"/>
  <c r="AF32" i="56" s="1" a="1"/>
  <c r="AF32" i="56" s="1"/>
  <c r="T32" i="56" a="1"/>
  <c r="T32" i="56" s="1"/>
  <c r="AE32" i="56" s="1" a="1"/>
  <c r="AE32" i="56" s="1"/>
  <c r="S32" i="56" a="1"/>
  <c r="S32" i="56" s="1"/>
  <c r="R32" i="56" a="1"/>
  <c r="R32" i="56" s="1"/>
  <c r="Q32" i="56" a="1"/>
  <c r="Q32" i="56" s="1"/>
  <c r="P32" i="56" a="1"/>
  <c r="P32" i="56" s="1"/>
  <c r="O32" i="56" a="1"/>
  <c r="O32" i="56" s="1"/>
  <c r="H32" i="56" a="1"/>
  <c r="H32" i="56" s="1"/>
  <c r="Y31" i="56" a="1"/>
  <c r="Y31" i="56" s="1"/>
  <c r="AJ31" i="56" s="1" a="1"/>
  <c r="AJ31" i="56" s="1"/>
  <c r="X31" i="56" a="1"/>
  <c r="X31" i="56" s="1"/>
  <c r="AI31" i="56" s="1" a="1"/>
  <c r="AI31" i="56" s="1"/>
  <c r="W31" i="56" a="1"/>
  <c r="W31" i="56" s="1"/>
  <c r="AH31" i="56" s="1" a="1"/>
  <c r="AH31" i="56" s="1"/>
  <c r="V31" i="56" a="1"/>
  <c r="V31" i="56" s="1"/>
  <c r="AG31" i="56" s="1" a="1"/>
  <c r="AG31" i="56" s="1"/>
  <c r="U31" i="56" a="1"/>
  <c r="U31" i="56" s="1"/>
  <c r="AF31" i="56" s="1" a="1"/>
  <c r="AF31" i="56" s="1"/>
  <c r="T31" i="56" a="1"/>
  <c r="T31" i="56" s="1"/>
  <c r="AE31" i="56" s="1" a="1"/>
  <c r="AE31" i="56" s="1"/>
  <c r="S31" i="56" a="1"/>
  <c r="S31" i="56" s="1"/>
  <c r="R31" i="56" a="1"/>
  <c r="R31" i="56" s="1"/>
  <c r="Q31" i="56" a="1"/>
  <c r="Q31" i="56" s="1"/>
  <c r="P31" i="56" a="1"/>
  <c r="P31" i="56" s="1"/>
  <c r="O31" i="56" a="1"/>
  <c r="O31" i="56" s="1"/>
  <c r="H31" i="56" a="1"/>
  <c r="H31" i="56" s="1"/>
  <c r="Y30" i="56" a="1"/>
  <c r="Y30" i="56" s="1"/>
  <c r="AJ30" i="56" s="1" a="1"/>
  <c r="AJ30" i="56" s="1"/>
  <c r="X30" i="56" a="1"/>
  <c r="X30" i="56" s="1"/>
  <c r="AI30" i="56" s="1" a="1"/>
  <c r="AI30" i="56" s="1"/>
  <c r="W30" i="56" a="1"/>
  <c r="W30" i="56" s="1"/>
  <c r="AH30" i="56" s="1" a="1"/>
  <c r="AH30" i="56" s="1"/>
  <c r="V30" i="56" a="1"/>
  <c r="V30" i="56" s="1"/>
  <c r="AG30" i="56" s="1" a="1"/>
  <c r="AG30" i="56" s="1"/>
  <c r="U30" i="56" a="1"/>
  <c r="U30" i="56" s="1"/>
  <c r="AF30" i="56" s="1" a="1"/>
  <c r="AF30" i="56" s="1"/>
  <c r="T30" i="56" a="1"/>
  <c r="T30" i="56" s="1"/>
  <c r="AE30" i="56" s="1" a="1"/>
  <c r="AE30" i="56" s="1"/>
  <c r="S30" i="56" a="1"/>
  <c r="S30" i="56" s="1"/>
  <c r="R30" i="56" a="1"/>
  <c r="R30" i="56" s="1"/>
  <c r="Q30" i="56" a="1"/>
  <c r="Q30" i="56" s="1"/>
  <c r="P30" i="56" a="1"/>
  <c r="P30" i="56" s="1"/>
  <c r="O30" i="56" a="1"/>
  <c r="O30" i="56" s="1"/>
  <c r="H30" i="56" a="1"/>
  <c r="H30" i="56" s="1"/>
  <c r="Y29" i="56" a="1"/>
  <c r="Y29" i="56" s="1"/>
  <c r="AJ29" i="56" s="1" a="1"/>
  <c r="AJ29" i="56" s="1"/>
  <c r="X29" i="56" a="1"/>
  <c r="X29" i="56" s="1"/>
  <c r="AI29" i="56" s="1" a="1"/>
  <c r="AI29" i="56" s="1"/>
  <c r="W29" i="56" a="1"/>
  <c r="W29" i="56" s="1"/>
  <c r="AH29" i="56" s="1" a="1"/>
  <c r="AH29" i="56" s="1"/>
  <c r="V29" i="56" a="1"/>
  <c r="V29" i="56" s="1"/>
  <c r="AG29" i="56" s="1" a="1"/>
  <c r="AG29" i="56" s="1"/>
  <c r="U29" i="56" a="1"/>
  <c r="U29" i="56" s="1"/>
  <c r="AF29" i="56" s="1" a="1"/>
  <c r="AF29" i="56" s="1"/>
  <c r="T29" i="56" a="1"/>
  <c r="T29" i="56" s="1"/>
  <c r="AE29" i="56" s="1" a="1"/>
  <c r="AE29" i="56" s="1"/>
  <c r="S29" i="56" a="1"/>
  <c r="S29" i="56" s="1"/>
  <c r="R29" i="56" a="1"/>
  <c r="R29" i="56" s="1"/>
  <c r="Q29" i="56" a="1"/>
  <c r="Q29" i="56" s="1"/>
  <c r="P29" i="56" a="1"/>
  <c r="P29" i="56" s="1"/>
  <c r="O29" i="56" a="1"/>
  <c r="O29" i="56" s="1"/>
  <c r="H29" i="56" a="1"/>
  <c r="H29" i="56" s="1"/>
  <c r="Y28" i="56" a="1"/>
  <c r="Y28" i="56" s="1"/>
  <c r="AJ28" i="56" s="1" a="1"/>
  <c r="AJ28" i="56" s="1"/>
  <c r="X28" i="56" a="1"/>
  <c r="X28" i="56" s="1"/>
  <c r="AI28" i="56" s="1" a="1"/>
  <c r="AI28" i="56" s="1"/>
  <c r="W28" i="56" a="1"/>
  <c r="W28" i="56" s="1"/>
  <c r="AH28" i="56" s="1" a="1"/>
  <c r="AH28" i="56" s="1"/>
  <c r="V28" i="56" a="1"/>
  <c r="V28" i="56" s="1"/>
  <c r="AG28" i="56" s="1" a="1"/>
  <c r="AG28" i="56" s="1"/>
  <c r="U28" i="56" a="1"/>
  <c r="U28" i="56" s="1"/>
  <c r="AF28" i="56" s="1" a="1"/>
  <c r="AF28" i="56" s="1"/>
  <c r="T28" i="56" a="1"/>
  <c r="T28" i="56" s="1"/>
  <c r="AE28" i="56" s="1" a="1"/>
  <c r="AE28" i="56" s="1"/>
  <c r="S28" i="56" a="1"/>
  <c r="S28" i="56" s="1"/>
  <c r="R28" i="56" a="1"/>
  <c r="R28" i="56" s="1"/>
  <c r="Q28" i="56" a="1"/>
  <c r="Q28" i="56" s="1"/>
  <c r="P28" i="56" a="1"/>
  <c r="P28" i="56" s="1"/>
  <c r="O28" i="56" a="1"/>
  <c r="O28" i="56" s="1"/>
  <c r="H28" i="56" a="1"/>
  <c r="H28" i="56" s="1"/>
  <c r="Y27" i="56" a="1"/>
  <c r="Y27" i="56" s="1"/>
  <c r="AJ27" i="56" s="1" a="1"/>
  <c r="AJ27" i="56" s="1"/>
  <c r="X27" i="56" a="1"/>
  <c r="X27" i="56" s="1"/>
  <c r="AI27" i="56" s="1" a="1"/>
  <c r="AI27" i="56" s="1"/>
  <c r="W27" i="56" a="1"/>
  <c r="W27" i="56" s="1"/>
  <c r="AH27" i="56" s="1" a="1"/>
  <c r="AH27" i="56" s="1"/>
  <c r="V27" i="56" a="1"/>
  <c r="V27" i="56" s="1"/>
  <c r="AG27" i="56" s="1" a="1"/>
  <c r="AG27" i="56" s="1"/>
  <c r="U27" i="56" a="1"/>
  <c r="U27" i="56" s="1"/>
  <c r="AF27" i="56" s="1" a="1"/>
  <c r="AF27" i="56" s="1"/>
  <c r="T27" i="56" a="1"/>
  <c r="T27" i="56" s="1"/>
  <c r="AE27" i="56" s="1" a="1"/>
  <c r="AE27" i="56" s="1"/>
  <c r="S27" i="56" a="1"/>
  <c r="S27" i="56" s="1"/>
  <c r="R27" i="56" a="1"/>
  <c r="R27" i="56" s="1"/>
  <c r="Q27" i="56" a="1"/>
  <c r="Q27" i="56" s="1"/>
  <c r="P27" i="56" a="1"/>
  <c r="P27" i="56" s="1"/>
  <c r="O27" i="56" a="1"/>
  <c r="O27" i="56" s="1"/>
  <c r="H27" i="56" a="1"/>
  <c r="H27" i="56" s="1"/>
  <c r="Y26" i="56" a="1"/>
  <c r="Y26" i="56" s="1"/>
  <c r="AJ26" i="56" s="1" a="1"/>
  <c r="AJ26" i="56" s="1"/>
  <c r="X26" i="56" a="1"/>
  <c r="X26" i="56" s="1"/>
  <c r="AI26" i="56" s="1" a="1"/>
  <c r="AI26" i="56" s="1"/>
  <c r="W26" i="56" a="1"/>
  <c r="W26" i="56" s="1"/>
  <c r="AH26" i="56" s="1" a="1"/>
  <c r="AH26" i="56" s="1"/>
  <c r="V26" i="56" a="1"/>
  <c r="V26" i="56" s="1"/>
  <c r="AG26" i="56" s="1" a="1"/>
  <c r="AG26" i="56" s="1"/>
  <c r="U26" i="56" a="1"/>
  <c r="U26" i="56" s="1"/>
  <c r="AF26" i="56" s="1" a="1"/>
  <c r="AF26" i="56" s="1"/>
  <c r="T26" i="56" a="1"/>
  <c r="T26" i="56" s="1"/>
  <c r="AE26" i="56" s="1" a="1"/>
  <c r="AE26" i="56" s="1"/>
  <c r="S26" i="56" a="1"/>
  <c r="S26" i="56" s="1"/>
  <c r="R26" i="56" a="1"/>
  <c r="R26" i="56" s="1"/>
  <c r="Q26" i="56" a="1"/>
  <c r="Q26" i="56" s="1"/>
  <c r="P26" i="56" a="1"/>
  <c r="P26" i="56" s="1"/>
  <c r="O26" i="56" a="1"/>
  <c r="O26" i="56" s="1"/>
  <c r="H26" i="56" a="1"/>
  <c r="H26" i="56" s="1"/>
  <c r="Y25" i="56" a="1"/>
  <c r="Y25" i="56" s="1"/>
  <c r="AJ25" i="56" s="1" a="1"/>
  <c r="AJ25" i="56" s="1"/>
  <c r="X25" i="56" a="1"/>
  <c r="X25" i="56" s="1"/>
  <c r="AI25" i="56" s="1" a="1"/>
  <c r="AI25" i="56" s="1"/>
  <c r="W25" i="56" a="1"/>
  <c r="W25" i="56" s="1"/>
  <c r="AH25" i="56" s="1" a="1"/>
  <c r="AH25" i="56" s="1"/>
  <c r="V25" i="56" a="1"/>
  <c r="V25" i="56" s="1"/>
  <c r="AG25" i="56" s="1" a="1"/>
  <c r="AG25" i="56" s="1"/>
  <c r="U25" i="56" a="1"/>
  <c r="U25" i="56" s="1"/>
  <c r="AF25" i="56" s="1" a="1"/>
  <c r="AF25" i="56" s="1"/>
  <c r="T25" i="56" a="1"/>
  <c r="T25" i="56" s="1"/>
  <c r="AE25" i="56" s="1" a="1"/>
  <c r="AE25" i="56" s="1"/>
  <c r="S25" i="56" a="1"/>
  <c r="S25" i="56" s="1"/>
  <c r="R25" i="56" a="1"/>
  <c r="R25" i="56" s="1"/>
  <c r="Q25" i="56" a="1"/>
  <c r="Q25" i="56" s="1"/>
  <c r="P25" i="56" a="1"/>
  <c r="P25" i="56" s="1"/>
  <c r="O25" i="56" a="1"/>
  <c r="O25" i="56" s="1"/>
  <c r="H25" i="56" a="1"/>
  <c r="H25" i="56" s="1"/>
  <c r="Y24" i="56" a="1"/>
  <c r="Y24" i="56" s="1"/>
  <c r="AJ24" i="56" s="1" a="1"/>
  <c r="AJ24" i="56" s="1"/>
  <c r="X24" i="56" a="1"/>
  <c r="X24" i="56" s="1"/>
  <c r="AI24" i="56" s="1" a="1"/>
  <c r="AI24" i="56" s="1"/>
  <c r="W24" i="56" a="1"/>
  <c r="W24" i="56" s="1"/>
  <c r="AH24" i="56" s="1" a="1"/>
  <c r="AH24" i="56" s="1"/>
  <c r="V24" i="56" a="1"/>
  <c r="V24" i="56" s="1"/>
  <c r="AG24" i="56" s="1" a="1"/>
  <c r="AG24" i="56" s="1"/>
  <c r="U24" i="56" a="1"/>
  <c r="U24" i="56" s="1"/>
  <c r="AF24" i="56" s="1" a="1"/>
  <c r="AF24" i="56" s="1"/>
  <c r="T24" i="56" a="1"/>
  <c r="T24" i="56" s="1"/>
  <c r="AE24" i="56" s="1" a="1"/>
  <c r="AE24" i="56" s="1"/>
  <c r="S24" i="56" a="1"/>
  <c r="S24" i="56" s="1"/>
  <c r="R24" i="56" a="1"/>
  <c r="R24" i="56" s="1"/>
  <c r="Q24" i="56" a="1"/>
  <c r="Q24" i="56" s="1"/>
  <c r="P24" i="56" a="1"/>
  <c r="P24" i="56" s="1"/>
  <c r="O24" i="56" a="1"/>
  <c r="O24" i="56" s="1"/>
  <c r="H24" i="56" a="1"/>
  <c r="H24" i="56" s="1"/>
  <c r="Y23" i="56" a="1"/>
  <c r="Y23" i="56" s="1"/>
  <c r="AJ23" i="56" s="1" a="1"/>
  <c r="AJ23" i="56" s="1"/>
  <c r="X23" i="56" a="1"/>
  <c r="X23" i="56" s="1"/>
  <c r="AI23" i="56" s="1" a="1"/>
  <c r="AI23" i="56" s="1"/>
  <c r="W23" i="56" a="1"/>
  <c r="W23" i="56" s="1"/>
  <c r="AH23" i="56" s="1" a="1"/>
  <c r="AH23" i="56" s="1"/>
  <c r="V23" i="56" a="1"/>
  <c r="V23" i="56" s="1"/>
  <c r="AG23" i="56" s="1" a="1"/>
  <c r="AG23" i="56" s="1"/>
  <c r="U23" i="56" a="1"/>
  <c r="U23" i="56" s="1"/>
  <c r="AF23" i="56" s="1" a="1"/>
  <c r="AF23" i="56" s="1"/>
  <c r="T23" i="56" a="1"/>
  <c r="T23" i="56" s="1"/>
  <c r="AE23" i="56" s="1" a="1"/>
  <c r="AE23" i="56" s="1"/>
  <c r="S23" i="56" a="1"/>
  <c r="S23" i="56" s="1"/>
  <c r="R23" i="56" a="1"/>
  <c r="R23" i="56" s="1"/>
  <c r="Q23" i="56" a="1"/>
  <c r="Q23" i="56" s="1"/>
  <c r="P23" i="56" a="1"/>
  <c r="P23" i="56" s="1"/>
  <c r="O23" i="56" a="1"/>
  <c r="O23" i="56" s="1"/>
  <c r="H23" i="56" a="1"/>
  <c r="H23" i="56" s="1"/>
  <c r="Y22" i="56" a="1"/>
  <c r="Y22" i="56" s="1"/>
  <c r="AJ22" i="56" s="1" a="1"/>
  <c r="AJ22" i="56" s="1"/>
  <c r="X22" i="56" a="1"/>
  <c r="X22" i="56" s="1"/>
  <c r="AI22" i="56" s="1" a="1"/>
  <c r="AI22" i="56" s="1"/>
  <c r="W22" i="56" a="1"/>
  <c r="W22" i="56" s="1"/>
  <c r="AH22" i="56" s="1" a="1"/>
  <c r="AH22" i="56" s="1"/>
  <c r="V22" i="56" a="1"/>
  <c r="V22" i="56" s="1"/>
  <c r="AG22" i="56" s="1" a="1"/>
  <c r="AG22" i="56" s="1"/>
  <c r="U22" i="56" a="1"/>
  <c r="U22" i="56" s="1"/>
  <c r="AF22" i="56" s="1" a="1"/>
  <c r="AF22" i="56" s="1"/>
  <c r="T22" i="56" a="1"/>
  <c r="T22" i="56" s="1"/>
  <c r="AE22" i="56" s="1" a="1"/>
  <c r="AE22" i="56" s="1"/>
  <c r="S22" i="56" a="1"/>
  <c r="S22" i="56" s="1"/>
  <c r="R22" i="56" a="1"/>
  <c r="R22" i="56" s="1"/>
  <c r="Q22" i="56" a="1"/>
  <c r="Q22" i="56" s="1"/>
  <c r="P22" i="56" a="1"/>
  <c r="P22" i="56" s="1"/>
  <c r="O22" i="56" a="1"/>
  <c r="O22" i="56" s="1"/>
  <c r="H22" i="56" a="1"/>
  <c r="H22" i="56" s="1"/>
  <c r="Y21" i="56" a="1"/>
  <c r="Y21" i="56" s="1"/>
  <c r="AJ21" i="56" s="1" a="1"/>
  <c r="AJ21" i="56" s="1"/>
  <c r="X21" i="56" a="1"/>
  <c r="X21" i="56" s="1"/>
  <c r="AI21" i="56" s="1" a="1"/>
  <c r="AI21" i="56" s="1"/>
  <c r="W21" i="56" a="1"/>
  <c r="W21" i="56" s="1"/>
  <c r="AH21" i="56" s="1" a="1"/>
  <c r="AH21" i="56" s="1"/>
  <c r="V21" i="56" a="1"/>
  <c r="V21" i="56" s="1"/>
  <c r="AG21" i="56" s="1" a="1"/>
  <c r="AG21" i="56" s="1"/>
  <c r="U21" i="56" a="1"/>
  <c r="U21" i="56" s="1"/>
  <c r="AF21" i="56" s="1" a="1"/>
  <c r="AF21" i="56" s="1"/>
  <c r="T21" i="56" a="1"/>
  <c r="T21" i="56" s="1"/>
  <c r="AE21" i="56" s="1" a="1"/>
  <c r="AE21" i="56" s="1"/>
  <c r="S21" i="56" a="1"/>
  <c r="S21" i="56" s="1"/>
  <c r="R21" i="56" a="1"/>
  <c r="R21" i="56" s="1"/>
  <c r="Q21" i="56" a="1"/>
  <c r="Q21" i="56" s="1"/>
  <c r="P21" i="56" a="1"/>
  <c r="P21" i="56" s="1"/>
  <c r="O21" i="56" a="1"/>
  <c r="O21" i="56" s="1"/>
  <c r="H21" i="56" a="1"/>
  <c r="H21" i="56" s="1"/>
  <c r="Y20" i="56" a="1"/>
  <c r="Y20" i="56" s="1"/>
  <c r="AJ20" i="56" s="1" a="1"/>
  <c r="AJ20" i="56" s="1"/>
  <c r="X20" i="56" a="1"/>
  <c r="X20" i="56" s="1"/>
  <c r="AI20" i="56" s="1" a="1"/>
  <c r="AI20" i="56" s="1"/>
  <c r="W20" i="56" a="1"/>
  <c r="W20" i="56" s="1"/>
  <c r="AH20" i="56" s="1" a="1"/>
  <c r="AH20" i="56" s="1"/>
  <c r="V20" i="56" a="1"/>
  <c r="V20" i="56" s="1"/>
  <c r="AG20" i="56" s="1" a="1"/>
  <c r="AG20" i="56" s="1"/>
  <c r="U20" i="56" a="1"/>
  <c r="U20" i="56" s="1"/>
  <c r="AF20" i="56" s="1" a="1"/>
  <c r="AF20" i="56" s="1"/>
  <c r="T20" i="56" a="1"/>
  <c r="T20" i="56" s="1"/>
  <c r="AE20" i="56" s="1" a="1"/>
  <c r="AE20" i="56" s="1"/>
  <c r="S20" i="56" a="1"/>
  <c r="S20" i="56" s="1"/>
  <c r="R20" i="56" a="1"/>
  <c r="R20" i="56" s="1"/>
  <c r="Q20" i="56" a="1"/>
  <c r="Q20" i="56" s="1"/>
  <c r="P20" i="56" a="1"/>
  <c r="P20" i="56" s="1"/>
  <c r="O20" i="56" a="1"/>
  <c r="O20" i="56" s="1"/>
  <c r="H20" i="56" a="1"/>
  <c r="H20" i="56" s="1"/>
  <c r="Y19" i="56" a="1"/>
  <c r="Y19" i="56" s="1"/>
  <c r="AJ19" i="56" s="1" a="1"/>
  <c r="AJ19" i="56" s="1"/>
  <c r="X19" i="56" a="1"/>
  <c r="X19" i="56" s="1"/>
  <c r="AI19" i="56" s="1" a="1"/>
  <c r="AI19" i="56" s="1"/>
  <c r="W19" i="56" a="1"/>
  <c r="W19" i="56" s="1"/>
  <c r="AH19" i="56" s="1" a="1"/>
  <c r="AH19" i="56" s="1"/>
  <c r="V19" i="56" a="1"/>
  <c r="V19" i="56" s="1"/>
  <c r="AG19" i="56" s="1" a="1"/>
  <c r="AG19" i="56" s="1"/>
  <c r="U19" i="56" a="1"/>
  <c r="U19" i="56" s="1"/>
  <c r="AF19" i="56" s="1" a="1"/>
  <c r="AF19" i="56" s="1"/>
  <c r="T19" i="56" a="1"/>
  <c r="T19" i="56" s="1"/>
  <c r="AE19" i="56" s="1" a="1"/>
  <c r="AE19" i="56" s="1"/>
  <c r="S19" i="56" a="1"/>
  <c r="S19" i="56" s="1"/>
  <c r="R19" i="56" a="1"/>
  <c r="R19" i="56" s="1"/>
  <c r="Q19" i="56" a="1"/>
  <c r="Q19" i="56" s="1"/>
  <c r="P19" i="56" a="1"/>
  <c r="P19" i="56" s="1"/>
  <c r="O19" i="56" a="1"/>
  <c r="O19" i="56" s="1"/>
  <c r="H19" i="56" a="1"/>
  <c r="H19" i="56" s="1"/>
  <c r="Y18" i="56" a="1"/>
  <c r="Y18" i="56" s="1"/>
  <c r="AJ18" i="56" s="1" a="1"/>
  <c r="AJ18" i="56" s="1"/>
  <c r="X18" i="56" a="1"/>
  <c r="X18" i="56" s="1"/>
  <c r="AI18" i="56" s="1" a="1"/>
  <c r="AI18" i="56" s="1"/>
  <c r="W18" i="56" a="1"/>
  <c r="W18" i="56" s="1"/>
  <c r="AH18" i="56" s="1" a="1"/>
  <c r="AH18" i="56" s="1"/>
  <c r="V18" i="56" a="1"/>
  <c r="V18" i="56" s="1"/>
  <c r="AG18" i="56" s="1" a="1"/>
  <c r="AG18" i="56" s="1"/>
  <c r="U18" i="56" a="1"/>
  <c r="U18" i="56" s="1"/>
  <c r="AF18" i="56" s="1" a="1"/>
  <c r="AF18" i="56" s="1"/>
  <c r="T18" i="56" a="1"/>
  <c r="T18" i="56" s="1"/>
  <c r="AE18" i="56" s="1" a="1"/>
  <c r="AE18" i="56" s="1"/>
  <c r="S18" i="56" a="1"/>
  <c r="S18" i="56" s="1"/>
  <c r="R18" i="56" a="1"/>
  <c r="R18" i="56" s="1"/>
  <c r="Q18" i="56" a="1"/>
  <c r="Q18" i="56" s="1"/>
  <c r="P18" i="56" a="1"/>
  <c r="P18" i="56" s="1"/>
  <c r="O18" i="56" a="1"/>
  <c r="O18" i="56" s="1"/>
  <c r="H18" i="56" a="1"/>
  <c r="H18" i="56" s="1"/>
  <c r="Y17" i="56" a="1"/>
  <c r="Y17" i="56" s="1"/>
  <c r="AJ17" i="56" s="1" a="1"/>
  <c r="AJ17" i="56" s="1"/>
  <c r="X17" i="56" a="1"/>
  <c r="X17" i="56" s="1"/>
  <c r="AI17" i="56" s="1" a="1"/>
  <c r="AI17" i="56" s="1"/>
  <c r="W17" i="56" a="1"/>
  <c r="W17" i="56" s="1"/>
  <c r="AH17" i="56" s="1" a="1"/>
  <c r="AH17" i="56" s="1"/>
  <c r="V17" i="56" a="1"/>
  <c r="V17" i="56" s="1"/>
  <c r="AG17" i="56" s="1" a="1"/>
  <c r="AG17" i="56" s="1"/>
  <c r="U17" i="56" a="1"/>
  <c r="U17" i="56" s="1"/>
  <c r="AF17" i="56" s="1" a="1"/>
  <c r="AF17" i="56" s="1"/>
  <c r="T17" i="56" a="1"/>
  <c r="T17" i="56" s="1"/>
  <c r="AE17" i="56" s="1" a="1"/>
  <c r="AE17" i="56" s="1"/>
  <c r="S17" i="56" a="1"/>
  <c r="S17" i="56" s="1"/>
  <c r="R17" i="56" a="1"/>
  <c r="R17" i="56" s="1"/>
  <c r="Q17" i="56" a="1"/>
  <c r="Q17" i="56" s="1"/>
  <c r="P17" i="56" a="1"/>
  <c r="P17" i="56" s="1"/>
  <c r="O17" i="56" a="1"/>
  <c r="O17" i="56" s="1"/>
  <c r="H17" i="56" a="1"/>
  <c r="H17" i="56" s="1"/>
  <c r="Y16" i="56" a="1"/>
  <c r="Y16" i="56" s="1"/>
  <c r="AJ16" i="56" s="1" a="1"/>
  <c r="AJ16" i="56" s="1"/>
  <c r="X16" i="56" a="1"/>
  <c r="X16" i="56" s="1"/>
  <c r="AI16" i="56" s="1" a="1"/>
  <c r="AI16" i="56" s="1"/>
  <c r="W16" i="56" a="1"/>
  <c r="W16" i="56" s="1"/>
  <c r="AH16" i="56" s="1" a="1"/>
  <c r="AH16" i="56" s="1"/>
  <c r="V16" i="56" a="1"/>
  <c r="V16" i="56" s="1"/>
  <c r="AG16" i="56" s="1" a="1"/>
  <c r="AG16" i="56" s="1"/>
  <c r="U16" i="56" a="1"/>
  <c r="U16" i="56" s="1"/>
  <c r="AF16" i="56" s="1" a="1"/>
  <c r="AF16" i="56" s="1"/>
  <c r="T16" i="56" a="1"/>
  <c r="T16" i="56" s="1"/>
  <c r="AE16" i="56" s="1" a="1"/>
  <c r="AE16" i="56" s="1"/>
  <c r="S16" i="56" a="1"/>
  <c r="S16" i="56" s="1"/>
  <c r="R16" i="56" a="1"/>
  <c r="R16" i="56" s="1"/>
  <c r="Q16" i="56" a="1"/>
  <c r="Q16" i="56" s="1"/>
  <c r="P16" i="56" a="1"/>
  <c r="P16" i="56" s="1"/>
  <c r="O16" i="56" a="1"/>
  <c r="O16" i="56" s="1"/>
  <c r="H16" i="56" a="1"/>
  <c r="H16" i="56" s="1"/>
  <c r="Y15" i="56" a="1"/>
  <c r="Y15" i="56" s="1"/>
  <c r="AJ15" i="56" s="1" a="1"/>
  <c r="AJ15" i="56" s="1"/>
  <c r="X15" i="56" a="1"/>
  <c r="X15" i="56" s="1"/>
  <c r="AI15" i="56" s="1" a="1"/>
  <c r="AI15" i="56" s="1"/>
  <c r="W15" i="56" a="1"/>
  <c r="W15" i="56" s="1"/>
  <c r="AH15" i="56" s="1" a="1"/>
  <c r="AH15" i="56" s="1"/>
  <c r="V15" i="56" a="1"/>
  <c r="V15" i="56" s="1"/>
  <c r="AG15" i="56" s="1" a="1"/>
  <c r="AG15" i="56" s="1"/>
  <c r="U15" i="56" a="1"/>
  <c r="U15" i="56" s="1"/>
  <c r="AF15" i="56" s="1" a="1"/>
  <c r="AF15" i="56" s="1"/>
  <c r="T15" i="56" a="1"/>
  <c r="T15" i="56" s="1"/>
  <c r="AE15" i="56" s="1" a="1"/>
  <c r="AE15" i="56" s="1"/>
  <c r="S15" i="56" a="1"/>
  <c r="S15" i="56" s="1"/>
  <c r="R15" i="56" a="1"/>
  <c r="R15" i="56" s="1"/>
  <c r="Q15" i="56" a="1"/>
  <c r="Q15" i="56" s="1"/>
  <c r="P15" i="56" a="1"/>
  <c r="P15" i="56" s="1"/>
  <c r="O15" i="56" a="1"/>
  <c r="O15" i="56" s="1"/>
  <c r="H15" i="56" a="1"/>
  <c r="H15" i="56" s="1"/>
  <c r="Y14" i="56" a="1"/>
  <c r="Y14" i="56" s="1"/>
  <c r="AJ14" i="56" s="1" a="1"/>
  <c r="AJ14" i="56" s="1"/>
  <c r="X14" i="56" a="1"/>
  <c r="X14" i="56" s="1"/>
  <c r="AI14" i="56" s="1" a="1"/>
  <c r="AI14" i="56" s="1"/>
  <c r="W14" i="56" a="1"/>
  <c r="W14" i="56" s="1"/>
  <c r="AH14" i="56" s="1" a="1"/>
  <c r="AH14" i="56" s="1"/>
  <c r="V14" i="56" a="1"/>
  <c r="V14" i="56" s="1"/>
  <c r="AG14" i="56" s="1" a="1"/>
  <c r="AG14" i="56" s="1"/>
  <c r="U14" i="56" a="1"/>
  <c r="U14" i="56" s="1"/>
  <c r="AF14" i="56" s="1" a="1"/>
  <c r="AF14" i="56" s="1"/>
  <c r="T14" i="56" a="1"/>
  <c r="T14" i="56" s="1"/>
  <c r="AE14" i="56" s="1" a="1"/>
  <c r="AE14" i="56" s="1"/>
  <c r="S14" i="56" a="1"/>
  <c r="S14" i="56" s="1"/>
  <c r="R14" i="56" a="1"/>
  <c r="R14" i="56" s="1"/>
  <c r="Q14" i="56" a="1"/>
  <c r="Q14" i="56" s="1"/>
  <c r="P14" i="56" a="1"/>
  <c r="P14" i="56" s="1"/>
  <c r="O14" i="56" a="1"/>
  <c r="O14" i="56" s="1"/>
  <c r="H14" i="56" a="1"/>
  <c r="H14" i="56" s="1"/>
  <c r="Y13" i="56" a="1"/>
  <c r="Y13" i="56" s="1"/>
  <c r="AJ13" i="56" s="1" a="1"/>
  <c r="AJ13" i="56" s="1"/>
  <c r="X13" i="56" a="1"/>
  <c r="X13" i="56" s="1"/>
  <c r="AI13" i="56" s="1" a="1"/>
  <c r="AI13" i="56" s="1"/>
  <c r="W13" i="56" a="1"/>
  <c r="W13" i="56" s="1"/>
  <c r="AH13" i="56" s="1" a="1"/>
  <c r="AH13" i="56" s="1"/>
  <c r="V13" i="56" a="1"/>
  <c r="V13" i="56" s="1"/>
  <c r="AG13" i="56" s="1" a="1"/>
  <c r="AG13" i="56" s="1"/>
  <c r="U13" i="56" a="1"/>
  <c r="U13" i="56" s="1"/>
  <c r="AF13" i="56" s="1" a="1"/>
  <c r="AF13" i="56" s="1"/>
  <c r="T13" i="56" a="1"/>
  <c r="T13" i="56" s="1"/>
  <c r="AE13" i="56" s="1" a="1"/>
  <c r="AE13" i="56" s="1"/>
  <c r="S13" i="56" a="1"/>
  <c r="S13" i="56" s="1"/>
  <c r="R13" i="56" a="1"/>
  <c r="R13" i="56" s="1"/>
  <c r="Q13" i="56" a="1"/>
  <c r="Q13" i="56" s="1"/>
  <c r="P13" i="56" a="1"/>
  <c r="P13" i="56" s="1"/>
  <c r="O13" i="56" a="1"/>
  <c r="O13" i="56" s="1"/>
  <c r="H13" i="56" a="1"/>
  <c r="H13" i="56" s="1"/>
  <c r="G11" i="56"/>
  <c r="G13" i="20" a="1"/>
  <c r="G13" i="20" s="1"/>
  <c r="AE48" i="56" l="1" a="1"/>
  <c r="AE48" i="56" s="1"/>
  <c r="AF48" i="56" a="1"/>
  <c r="AF48" i="56" s="1"/>
  <c r="H11" i="56"/>
  <c r="I98" i="56" s="1"/>
  <c r="Q14" i="22" a="1"/>
  <c r="Q14" i="22" s="1"/>
  <c r="R14" i="22" a="1"/>
  <c r="R14" i="22" s="1"/>
  <c r="AC14" i="22" s="1" a="1"/>
  <c r="AC14" i="22" s="1"/>
  <c r="S14" i="22" a="1"/>
  <c r="S14" i="22"/>
  <c r="T14" i="22" a="1"/>
  <c r="T14" i="22" s="1"/>
  <c r="AE14" i="22" s="1" a="1"/>
  <c r="AE14" i="22" s="1"/>
  <c r="U14" i="22" a="1"/>
  <c r="U14" i="22"/>
  <c r="AF14" i="22" s="1" a="1"/>
  <c r="AF14" i="22" s="1"/>
  <c r="V14" i="22" a="1"/>
  <c r="V14" i="22"/>
  <c r="AG14" i="22" s="1" a="1"/>
  <c r="AG14" i="22" s="1"/>
  <c r="W14" i="22" a="1"/>
  <c r="W14" i="22" s="1"/>
  <c r="AH14" i="22" s="1" a="1"/>
  <c r="AH14" i="22" s="1"/>
  <c r="X14" i="22" a="1"/>
  <c r="X14" i="22"/>
  <c r="AI14" i="22" s="1" a="1"/>
  <c r="AI14" i="22" s="1"/>
  <c r="Q15" i="22" a="1"/>
  <c r="Q15" i="22" s="1"/>
  <c r="R15" i="22" a="1"/>
  <c r="R15" i="22" s="1"/>
  <c r="S15" i="22" a="1"/>
  <c r="S15" i="22" s="1"/>
  <c r="AD15" i="22" s="1" a="1"/>
  <c r="AD15" i="22" s="1"/>
  <c r="T15" i="22" a="1"/>
  <c r="T15" i="22"/>
  <c r="AE15" i="22" s="1" a="1"/>
  <c r="AE15" i="22" s="1"/>
  <c r="U15" i="22" a="1"/>
  <c r="U15" i="22" s="1"/>
  <c r="AF15" i="22" s="1" a="1"/>
  <c r="AF15" i="22" s="1"/>
  <c r="V15" i="22" a="1"/>
  <c r="V15" i="22" s="1"/>
  <c r="W15" i="22" a="1"/>
  <c r="W15" i="22" s="1"/>
  <c r="AH15" i="22" s="1" a="1"/>
  <c r="AH15" i="22" s="1"/>
  <c r="X15" i="22" a="1"/>
  <c r="X15" i="22" s="1"/>
  <c r="AI15" i="22" s="1" a="1"/>
  <c r="AI15" i="22" s="1"/>
  <c r="AC15" i="22" a="1"/>
  <c r="AC15" i="22" s="1"/>
  <c r="AG15" i="22" a="1"/>
  <c r="AG15" i="22" s="1"/>
  <c r="Q16" i="22" a="1"/>
  <c r="Q16" i="22" s="1"/>
  <c r="R16" i="22" a="1"/>
  <c r="R16" i="22" s="1"/>
  <c r="AC16" i="22" s="1" a="1"/>
  <c r="AC16" i="22" s="1"/>
  <c r="S16" i="22" a="1"/>
  <c r="S16" i="22" s="1"/>
  <c r="AD16" i="22" s="1" a="1"/>
  <c r="AD16" i="22" s="1"/>
  <c r="T16" i="22" a="1"/>
  <c r="T16" i="22" s="1"/>
  <c r="U16" i="22" a="1"/>
  <c r="U16" i="22" s="1"/>
  <c r="AF16" i="22" s="1" a="1"/>
  <c r="AF16" i="22" s="1"/>
  <c r="V16" i="22" a="1"/>
  <c r="V16" i="22" s="1"/>
  <c r="AG16" i="22" s="1" a="1"/>
  <c r="AG16" i="22" s="1"/>
  <c r="W16" i="22" a="1"/>
  <c r="W16" i="22" s="1"/>
  <c r="AH16" i="22" s="1" a="1"/>
  <c r="AH16" i="22" s="1"/>
  <c r="X16" i="22" a="1"/>
  <c r="X16" i="22" s="1"/>
  <c r="AI16" i="22" s="1" a="1"/>
  <c r="AI16" i="22" s="1"/>
  <c r="Q17" i="22" a="1"/>
  <c r="Q17" i="22" s="1"/>
  <c r="R17" i="22" a="1"/>
  <c r="R17" i="22" s="1"/>
  <c r="AC17" i="22" s="1" a="1"/>
  <c r="AC17" i="22" s="1"/>
  <c r="S17" i="22" a="1"/>
  <c r="S17" i="22" s="1"/>
  <c r="AD17" i="22" s="1" a="1"/>
  <c r="AD17" i="22" s="1"/>
  <c r="T17" i="22" a="1"/>
  <c r="T17" i="22" s="1"/>
  <c r="AE17" i="22" s="1" a="1"/>
  <c r="AE17" i="22" s="1"/>
  <c r="U17" i="22" a="1"/>
  <c r="U17" i="22" s="1"/>
  <c r="AF17" i="22" s="1" a="1"/>
  <c r="AF17" i="22" s="1"/>
  <c r="V17" i="22" a="1"/>
  <c r="V17" i="22" s="1"/>
  <c r="AG17" i="22" s="1" a="1"/>
  <c r="AG17" i="22" s="1"/>
  <c r="W17" i="22" a="1"/>
  <c r="W17" i="22" s="1"/>
  <c r="AH17" i="22" s="1" a="1"/>
  <c r="AH17" i="22" s="1"/>
  <c r="X17" i="22" a="1"/>
  <c r="X17" i="22" s="1"/>
  <c r="AI17" i="22" s="1" a="1"/>
  <c r="AI17" i="22" s="1"/>
  <c r="Q18" i="22" a="1"/>
  <c r="Q18" i="22" s="1"/>
  <c r="R18" i="22" a="1"/>
  <c r="R18" i="22" s="1"/>
  <c r="AC18" i="22" s="1" a="1"/>
  <c r="AC18" i="22" s="1"/>
  <c r="S18" i="22" a="1"/>
  <c r="S18" i="22" s="1"/>
  <c r="AD18" i="22" s="1" a="1"/>
  <c r="AD18" i="22" s="1"/>
  <c r="T18" i="22" a="1"/>
  <c r="T18" i="22" s="1"/>
  <c r="AE18" i="22" s="1" a="1"/>
  <c r="AE18" i="22" s="1"/>
  <c r="U18" i="22" a="1"/>
  <c r="U18" i="22" s="1"/>
  <c r="AF18" i="22" s="1" a="1"/>
  <c r="AF18" i="22" s="1"/>
  <c r="V18" i="22" a="1"/>
  <c r="V18" i="22" s="1"/>
  <c r="AG18" i="22" s="1" a="1"/>
  <c r="AG18" i="22" s="1"/>
  <c r="W18" i="22" a="1"/>
  <c r="W18" i="22" s="1"/>
  <c r="AH18" i="22" s="1" a="1"/>
  <c r="AH18" i="22" s="1"/>
  <c r="X18" i="22" a="1"/>
  <c r="X18" i="22" s="1"/>
  <c r="AI18" i="22" s="1" a="1"/>
  <c r="AI18" i="22" s="1"/>
  <c r="Q19" i="22" a="1"/>
  <c r="Q19" i="22"/>
  <c r="R19" i="22" a="1"/>
  <c r="R19" i="22" s="1"/>
  <c r="AC19" i="22" s="1" a="1"/>
  <c r="AC19" i="22" s="1"/>
  <c r="S19" i="22" a="1"/>
  <c r="S19" i="22" s="1"/>
  <c r="AD19" i="22" s="1" a="1"/>
  <c r="AD19" i="22" s="1"/>
  <c r="T19" i="22" a="1"/>
  <c r="T19" i="22" s="1"/>
  <c r="U19" i="22" a="1"/>
  <c r="U19" i="22" s="1"/>
  <c r="AF19" i="22" s="1" a="1"/>
  <c r="AF19" i="22" s="1"/>
  <c r="V19" i="22" a="1"/>
  <c r="V19" i="22" s="1"/>
  <c r="AG19" i="22" s="1" a="1"/>
  <c r="AG19" i="22" s="1"/>
  <c r="W19" i="22" a="1"/>
  <c r="W19" i="22" s="1"/>
  <c r="AH19" i="22" s="1" a="1"/>
  <c r="AH19" i="22" s="1"/>
  <c r="X19" i="22" a="1"/>
  <c r="X19" i="22" s="1"/>
  <c r="AI19" i="22" s="1" a="1"/>
  <c r="AI19" i="22" s="1"/>
  <c r="Q20" i="22" a="1"/>
  <c r="Q20" i="22" s="1"/>
  <c r="R20" i="22" a="1"/>
  <c r="R20" i="22" s="1"/>
  <c r="AC20" i="22" s="1" a="1"/>
  <c r="AC20" i="22" s="1"/>
  <c r="S20" i="22" a="1"/>
  <c r="S20" i="22" s="1"/>
  <c r="AD20" i="22" s="1" a="1"/>
  <c r="AD20" i="22" s="1"/>
  <c r="T20" i="22" a="1"/>
  <c r="T20" i="22" s="1"/>
  <c r="AE20" i="22" s="1" a="1"/>
  <c r="AE20" i="22" s="1"/>
  <c r="U20" i="22" a="1"/>
  <c r="U20" i="22" s="1"/>
  <c r="AF20" i="22" s="1" a="1"/>
  <c r="AF20" i="22" s="1"/>
  <c r="V20" i="22" a="1"/>
  <c r="V20" i="22" s="1"/>
  <c r="AG20" i="22" s="1" a="1"/>
  <c r="AG20" i="22" s="1"/>
  <c r="W20" i="22" a="1"/>
  <c r="W20" i="22" s="1"/>
  <c r="AH20" i="22" s="1" a="1"/>
  <c r="AH20" i="22" s="1"/>
  <c r="X20" i="22" a="1"/>
  <c r="X20" i="22" s="1"/>
  <c r="AI20" i="22" s="1" a="1"/>
  <c r="AI20" i="22" s="1"/>
  <c r="Q21" i="22" a="1"/>
  <c r="Q21" i="22" s="1"/>
  <c r="R21" i="22" a="1"/>
  <c r="R21" i="22" s="1"/>
  <c r="AC21" i="22" s="1" a="1"/>
  <c r="AC21" i="22" s="1"/>
  <c r="S21" i="22" a="1"/>
  <c r="S21" i="22" s="1"/>
  <c r="AD21" i="22" s="1" a="1"/>
  <c r="AD21" i="22" s="1"/>
  <c r="T21" i="22" a="1"/>
  <c r="T21" i="22" s="1"/>
  <c r="AE21" i="22" s="1" a="1"/>
  <c r="AE21" i="22" s="1"/>
  <c r="U21" i="22" a="1"/>
  <c r="U21" i="22" s="1"/>
  <c r="AF21" i="22" s="1" a="1"/>
  <c r="AF21" i="22" s="1"/>
  <c r="V21" i="22" a="1"/>
  <c r="V21" i="22" s="1"/>
  <c r="AG21" i="22" s="1" a="1"/>
  <c r="AG21" i="22" s="1"/>
  <c r="W21" i="22" a="1"/>
  <c r="W21" i="22" s="1"/>
  <c r="AH21" i="22" s="1" a="1"/>
  <c r="AH21" i="22" s="1"/>
  <c r="X21" i="22" a="1"/>
  <c r="X21" i="22" s="1"/>
  <c r="AI21" i="22" s="1" a="1"/>
  <c r="AI21" i="22" s="1"/>
  <c r="Q22" i="22" a="1"/>
  <c r="Q22" i="22" s="1"/>
  <c r="R22" i="22" a="1"/>
  <c r="R22" i="22" s="1"/>
  <c r="AC22" i="22" s="1" a="1"/>
  <c r="AC22" i="22" s="1"/>
  <c r="S22" i="22" a="1"/>
  <c r="S22" i="22" s="1"/>
  <c r="T22" i="22" a="1"/>
  <c r="T22" i="22" s="1"/>
  <c r="AE22" i="22" s="1" a="1"/>
  <c r="AE22" i="22" s="1"/>
  <c r="U22" i="22" a="1"/>
  <c r="U22" i="22" s="1"/>
  <c r="AF22" i="22" s="1" a="1"/>
  <c r="AF22" i="22" s="1"/>
  <c r="V22" i="22" a="1"/>
  <c r="V22" i="22" s="1"/>
  <c r="W22" i="22" a="1"/>
  <c r="W22" i="22" s="1"/>
  <c r="AH22" i="22" s="1" a="1"/>
  <c r="AH22" i="22" s="1"/>
  <c r="X22" i="22" a="1"/>
  <c r="X22" i="22" s="1"/>
  <c r="AI22" i="22" s="1" a="1"/>
  <c r="AI22" i="22" s="1"/>
  <c r="AG22" i="22" a="1"/>
  <c r="AG22" i="22" s="1"/>
  <c r="Q23" i="22" a="1"/>
  <c r="Q23" i="22"/>
  <c r="R23" i="22" a="1"/>
  <c r="R23" i="22" s="1"/>
  <c r="S23" i="22" a="1"/>
  <c r="S23" i="22"/>
  <c r="AD23" i="22" s="1" a="1"/>
  <c r="AD23" i="22" s="1"/>
  <c r="T23" i="22" a="1"/>
  <c r="T23" i="22" s="1"/>
  <c r="AE23" i="22" s="1" a="1"/>
  <c r="AE23" i="22" s="1"/>
  <c r="U23" i="22" a="1"/>
  <c r="U23" i="22" s="1"/>
  <c r="V23" i="22" a="1"/>
  <c r="V23" i="22" s="1"/>
  <c r="AG23" i="22" s="1" a="1"/>
  <c r="AG23" i="22" s="1"/>
  <c r="W23" i="22" a="1"/>
  <c r="W23" i="22" s="1"/>
  <c r="AH23" i="22" s="1" a="1"/>
  <c r="AH23" i="22" s="1"/>
  <c r="X23" i="22" a="1"/>
  <c r="X23" i="22" s="1"/>
  <c r="AI23" i="22" s="1" a="1"/>
  <c r="AI23" i="22" s="1"/>
  <c r="Q24" i="22" a="1"/>
  <c r="Q24" i="22"/>
  <c r="R24" i="22" a="1"/>
  <c r="R24" i="22" s="1"/>
  <c r="S24" i="22" a="1"/>
  <c r="S24" i="22" s="1"/>
  <c r="AD24" i="22" s="1" a="1"/>
  <c r="AD24" i="22" s="1"/>
  <c r="T24" i="22" a="1"/>
  <c r="T24" i="22" s="1"/>
  <c r="AE24" i="22" s="1" a="1"/>
  <c r="AE24" i="22" s="1"/>
  <c r="U24" i="22" a="1"/>
  <c r="U24" i="22" s="1"/>
  <c r="AF24" i="22" s="1" a="1"/>
  <c r="AF24" i="22" s="1"/>
  <c r="V24" i="22" a="1"/>
  <c r="V24" i="22" s="1"/>
  <c r="AG24" i="22" s="1" a="1"/>
  <c r="AG24" i="22" s="1"/>
  <c r="W24" i="22" a="1"/>
  <c r="W24" i="22" s="1"/>
  <c r="AH24" i="22" s="1" a="1"/>
  <c r="AH24" i="22" s="1"/>
  <c r="X24" i="22" a="1"/>
  <c r="X24" i="22" s="1"/>
  <c r="AI24" i="22" s="1" a="1"/>
  <c r="AI24" i="22" s="1"/>
  <c r="Q25" i="22" a="1"/>
  <c r="Q25" i="22" s="1"/>
  <c r="R25" i="22" a="1"/>
  <c r="R25" i="22" s="1"/>
  <c r="AC25" i="22" s="1" a="1"/>
  <c r="AC25" i="22" s="1"/>
  <c r="S25" i="22" a="1"/>
  <c r="S25" i="22"/>
  <c r="T25" i="22" a="1"/>
  <c r="T25" i="22" s="1"/>
  <c r="U25" i="22" a="1"/>
  <c r="U25" i="22" s="1"/>
  <c r="AF25" i="22" s="1" a="1"/>
  <c r="AF25" i="22" s="1"/>
  <c r="V25" i="22" a="1"/>
  <c r="V25" i="22"/>
  <c r="AG25" i="22" s="1" a="1"/>
  <c r="AG25" i="22" s="1"/>
  <c r="W25" i="22" a="1"/>
  <c r="W25" i="22" s="1"/>
  <c r="AH25" i="22" s="1" a="1"/>
  <c r="AH25" i="22" s="1"/>
  <c r="X25" i="22" a="1"/>
  <c r="X25" i="22" s="1"/>
  <c r="AI25" i="22" s="1" a="1"/>
  <c r="AI25" i="22" s="1"/>
  <c r="Q26" i="22" a="1"/>
  <c r="Q26" i="22" s="1"/>
  <c r="R26" i="22" a="1"/>
  <c r="R26" i="22" s="1"/>
  <c r="AC26" i="22" s="1" a="1"/>
  <c r="AC26" i="22" s="1"/>
  <c r="S26" i="22" a="1"/>
  <c r="S26" i="22" s="1"/>
  <c r="AD26" i="22" s="1" a="1"/>
  <c r="AD26" i="22" s="1"/>
  <c r="T26" i="22" a="1"/>
  <c r="T26" i="22"/>
  <c r="AE26" i="22" s="1" a="1"/>
  <c r="AE26" i="22" s="1"/>
  <c r="U26" i="22" a="1"/>
  <c r="U26" i="22" s="1"/>
  <c r="AF26" i="22" s="1" a="1"/>
  <c r="AF26" i="22" s="1"/>
  <c r="V26" i="22" a="1"/>
  <c r="V26" i="22" s="1"/>
  <c r="AG26" i="22" s="1" a="1"/>
  <c r="AG26" i="22" s="1"/>
  <c r="W26" i="22" a="1"/>
  <c r="W26" i="22" s="1"/>
  <c r="AH26" i="22" s="1" a="1"/>
  <c r="AH26" i="22" s="1"/>
  <c r="X26" i="22" a="1"/>
  <c r="X26" i="22" s="1"/>
  <c r="AI26" i="22" s="1" a="1"/>
  <c r="AI26" i="22" s="1"/>
  <c r="Q27" i="22" a="1"/>
  <c r="Q27" i="22" s="1"/>
  <c r="R27" i="22" a="1"/>
  <c r="R27" i="22" s="1"/>
  <c r="S27" i="22" a="1"/>
  <c r="S27" i="22" s="1"/>
  <c r="AD27" i="22" s="1" a="1"/>
  <c r="AD27" i="22" s="1"/>
  <c r="T27" i="22" a="1"/>
  <c r="T27" i="22" s="1"/>
  <c r="AE27" i="22" s="1" a="1"/>
  <c r="AE27" i="22" s="1"/>
  <c r="U27" i="22" a="1"/>
  <c r="U27" i="22" s="1"/>
  <c r="AF27" i="22" s="1" a="1"/>
  <c r="AF27" i="22" s="1"/>
  <c r="V27" i="22" a="1"/>
  <c r="V27" i="22" s="1"/>
  <c r="AG27" i="22" s="1" a="1"/>
  <c r="AG27" i="22" s="1"/>
  <c r="W27" i="22" a="1"/>
  <c r="W27" i="22" s="1"/>
  <c r="AH27" i="22" s="1" a="1"/>
  <c r="AH27" i="22" s="1"/>
  <c r="X27" i="22" a="1"/>
  <c r="X27" i="22" s="1"/>
  <c r="Q28" i="22" a="1"/>
  <c r="Q28" i="22"/>
  <c r="R28" i="22" a="1"/>
  <c r="R28" i="22" s="1"/>
  <c r="AC28" i="22" s="1" a="1"/>
  <c r="AC28" i="22" s="1"/>
  <c r="S28" i="22" a="1"/>
  <c r="S28" i="22" s="1"/>
  <c r="AD28" i="22" s="1" a="1"/>
  <c r="AD28" i="22" s="1"/>
  <c r="T28" i="22" a="1"/>
  <c r="T28" i="22"/>
  <c r="AE28" i="22" s="1" a="1"/>
  <c r="AE28" i="22" s="1"/>
  <c r="U28" i="22" a="1"/>
  <c r="U28" i="22" s="1"/>
  <c r="V28" i="22" a="1"/>
  <c r="V28" i="22" s="1"/>
  <c r="AG28" i="22" s="1" a="1"/>
  <c r="AG28" i="22" s="1"/>
  <c r="W28" i="22" a="1"/>
  <c r="W28" i="22" s="1"/>
  <c r="X28" i="22" a="1"/>
  <c r="X28" i="22" s="1"/>
  <c r="AI28" i="22" s="1" a="1"/>
  <c r="AI28" i="22" s="1"/>
  <c r="AF28" i="22" a="1"/>
  <c r="AF28" i="22" s="1"/>
  <c r="AH28" i="22" a="1"/>
  <c r="AH28" i="22" s="1"/>
  <c r="Q29" i="22" a="1"/>
  <c r="Q29" i="22"/>
  <c r="R29" i="22" a="1"/>
  <c r="R29" i="22" s="1"/>
  <c r="AC29" i="22" s="1" a="1"/>
  <c r="AC29" i="22" s="1"/>
  <c r="S29" i="22" a="1"/>
  <c r="S29" i="22"/>
  <c r="AD29" i="22" s="1" a="1"/>
  <c r="AD29" i="22" s="1"/>
  <c r="T29" i="22" a="1"/>
  <c r="T29" i="22" s="1"/>
  <c r="AE29" i="22" s="1" a="1"/>
  <c r="AE29" i="22" s="1"/>
  <c r="U29" i="22" a="1"/>
  <c r="U29" i="22" s="1"/>
  <c r="V29" i="22" a="1"/>
  <c r="V29" i="22"/>
  <c r="AG29" i="22" s="1" a="1"/>
  <c r="AG29" i="22" s="1"/>
  <c r="W29" i="22" a="1"/>
  <c r="W29" i="22" s="1"/>
  <c r="AH29" i="22" s="1" a="1"/>
  <c r="AH29" i="22" s="1"/>
  <c r="X29" i="22" a="1"/>
  <c r="X29" i="22" s="1"/>
  <c r="AI29" i="22" s="1" a="1"/>
  <c r="AI29" i="22" s="1"/>
  <c r="Q30" i="22" a="1"/>
  <c r="Q30" i="22" s="1"/>
  <c r="R30" i="22" a="1"/>
  <c r="R30" i="22" s="1"/>
  <c r="AC30" i="22" s="1" a="1"/>
  <c r="AC30" i="22" s="1"/>
  <c r="S30" i="22" a="1"/>
  <c r="S30" i="22" s="1"/>
  <c r="AD30" i="22" s="1" a="1"/>
  <c r="AD30" i="22" s="1"/>
  <c r="T30" i="22" a="1"/>
  <c r="T30" i="22" s="1"/>
  <c r="AE30" i="22" s="1" a="1"/>
  <c r="AE30" i="22" s="1"/>
  <c r="U30" i="22" a="1"/>
  <c r="U30" i="22" s="1"/>
  <c r="AF30" i="22" s="1" a="1"/>
  <c r="AF30" i="22" s="1"/>
  <c r="V30" i="22" a="1"/>
  <c r="V30" i="22" s="1"/>
  <c r="AG30" i="22" s="1" a="1"/>
  <c r="AG30" i="22" s="1"/>
  <c r="W30" i="22" a="1"/>
  <c r="W30" i="22" s="1"/>
  <c r="AH30" i="22" s="1" a="1"/>
  <c r="AH30" i="22" s="1"/>
  <c r="X30" i="22" a="1"/>
  <c r="X30" i="22" s="1"/>
  <c r="AI30" i="22" s="1" a="1"/>
  <c r="AI30" i="22" s="1"/>
  <c r="Q31" i="22" a="1"/>
  <c r="Q31" i="22" s="1"/>
  <c r="R31" i="22" a="1"/>
  <c r="R31" i="22" s="1"/>
  <c r="AC31" i="22" s="1" a="1"/>
  <c r="AC31" i="22" s="1"/>
  <c r="S31" i="22" a="1"/>
  <c r="S31" i="22"/>
  <c r="AD31" i="22" s="1" a="1"/>
  <c r="AD31" i="22" s="1"/>
  <c r="T31" i="22" a="1"/>
  <c r="T31" i="22" s="1"/>
  <c r="AE31" i="22" s="1" a="1"/>
  <c r="AE31" i="22" s="1"/>
  <c r="U31" i="22" a="1"/>
  <c r="U31" i="22" s="1"/>
  <c r="AF31" i="22" s="1" a="1"/>
  <c r="AF31" i="22" s="1"/>
  <c r="V31" i="22" a="1"/>
  <c r="V31" i="22"/>
  <c r="AG31" i="22" s="1" a="1"/>
  <c r="AG31" i="22" s="1"/>
  <c r="W31" i="22" a="1"/>
  <c r="W31" i="22" s="1"/>
  <c r="AH31" i="22" s="1" a="1"/>
  <c r="AH31" i="22" s="1"/>
  <c r="X31" i="22" a="1"/>
  <c r="X31" i="22" s="1"/>
  <c r="AI31" i="22" s="1" a="1"/>
  <c r="AI31" i="22" s="1"/>
  <c r="Q32" i="22" a="1"/>
  <c r="Q32" i="22" s="1"/>
  <c r="R32" i="22" a="1"/>
  <c r="R32" i="22" s="1"/>
  <c r="AC32" i="22" s="1" a="1"/>
  <c r="AC32" i="22" s="1"/>
  <c r="S32" i="22" a="1"/>
  <c r="S32" i="22" s="1"/>
  <c r="AD32" i="22" s="1" a="1"/>
  <c r="AD32" i="22" s="1"/>
  <c r="T32" i="22" a="1"/>
  <c r="T32" i="22" s="1"/>
  <c r="U32" i="22" a="1"/>
  <c r="U32" i="22"/>
  <c r="AF32" i="22" s="1" a="1"/>
  <c r="AF32" i="22" s="1"/>
  <c r="V32" i="22" a="1"/>
  <c r="V32" i="22" s="1"/>
  <c r="W32" i="22" a="1"/>
  <c r="W32" i="22" s="1"/>
  <c r="AH32" i="22" s="1" a="1"/>
  <c r="AH32" i="22" s="1"/>
  <c r="X32" i="22" a="1"/>
  <c r="X32" i="22" s="1"/>
  <c r="AI32" i="22" s="1" a="1"/>
  <c r="AI32" i="22" s="1"/>
  <c r="AG32" i="22" a="1"/>
  <c r="AG32" i="22" s="1"/>
  <c r="Q33" i="22" a="1"/>
  <c r="Q33" i="22" s="1"/>
  <c r="R33" i="22" a="1"/>
  <c r="R33" i="22" s="1"/>
  <c r="AC33" i="22" s="1" a="1"/>
  <c r="AC33" i="22" s="1"/>
  <c r="S33" i="22" a="1"/>
  <c r="S33" i="22" s="1"/>
  <c r="T33" i="22" a="1"/>
  <c r="T33" i="22" s="1"/>
  <c r="AE33" i="22" s="1" a="1"/>
  <c r="AE33" i="22" s="1"/>
  <c r="U33" i="22" a="1"/>
  <c r="U33" i="22" s="1"/>
  <c r="AF33" i="22" s="1" a="1"/>
  <c r="AF33" i="22" s="1"/>
  <c r="V33" i="22" a="1"/>
  <c r="V33" i="22" s="1"/>
  <c r="AG33" i="22" s="1" a="1"/>
  <c r="AG33" i="22" s="1"/>
  <c r="W33" i="22" a="1"/>
  <c r="W33" i="22" s="1"/>
  <c r="AH33" i="22" s="1" a="1"/>
  <c r="AH33" i="22" s="1"/>
  <c r="X33" i="22" a="1"/>
  <c r="X33" i="22" s="1"/>
  <c r="AI33" i="22" s="1" a="1"/>
  <c r="AI33" i="22" s="1"/>
  <c r="Q34" i="22" a="1"/>
  <c r="Q34" i="22" s="1"/>
  <c r="R34" i="22" a="1"/>
  <c r="R34" i="22" s="1"/>
  <c r="S34" i="22" a="1"/>
  <c r="S34" i="22" s="1"/>
  <c r="AD34" i="22" s="1" a="1"/>
  <c r="AD34" i="22" s="1"/>
  <c r="T34" i="22" a="1"/>
  <c r="T34" i="22" s="1"/>
  <c r="AE34" i="22" s="1" a="1"/>
  <c r="AE34" i="22" s="1"/>
  <c r="U34" i="22" a="1"/>
  <c r="U34" i="22" s="1"/>
  <c r="AF34" i="22" s="1" a="1"/>
  <c r="AF34" i="22" s="1"/>
  <c r="V34" i="22" a="1"/>
  <c r="V34" i="22" s="1"/>
  <c r="AG34" i="22" s="1" a="1"/>
  <c r="AG34" i="22" s="1"/>
  <c r="W34" i="22" a="1"/>
  <c r="W34" i="22" s="1"/>
  <c r="AH34" i="22" s="1" a="1"/>
  <c r="AH34" i="22" s="1"/>
  <c r="X34" i="22" a="1"/>
  <c r="X34" i="22" s="1"/>
  <c r="AI34" i="22" s="1" a="1"/>
  <c r="AI34" i="22" s="1"/>
  <c r="Q35" i="22" a="1"/>
  <c r="Q35" i="22" s="1"/>
  <c r="R35" i="22" a="1"/>
  <c r="R35" i="22" s="1"/>
  <c r="AC35" i="22" s="1" a="1"/>
  <c r="AC35" i="22" s="1"/>
  <c r="S35" i="22" a="1"/>
  <c r="S35" i="22" s="1"/>
  <c r="AD35" i="22" s="1" a="1"/>
  <c r="AD35" i="22" s="1"/>
  <c r="T35" i="22" a="1"/>
  <c r="T35" i="22" s="1"/>
  <c r="AE35" i="22" s="1" a="1"/>
  <c r="AE35" i="22" s="1"/>
  <c r="U35" i="22" a="1"/>
  <c r="U35" i="22" s="1"/>
  <c r="AF35" i="22" s="1" a="1"/>
  <c r="AF35" i="22" s="1"/>
  <c r="V35" i="22" a="1"/>
  <c r="V35" i="22" s="1"/>
  <c r="W35" i="22" a="1"/>
  <c r="W35" i="22"/>
  <c r="AH35" i="22" s="1" a="1"/>
  <c r="AH35" i="22" s="1"/>
  <c r="X35" i="22" a="1"/>
  <c r="X35" i="22" s="1"/>
  <c r="AI35" i="22" a="1"/>
  <c r="AI35" i="22" s="1"/>
  <c r="Q36" i="22" a="1"/>
  <c r="Q36" i="22" s="1"/>
  <c r="R36" i="22" a="1"/>
  <c r="R36" i="22" s="1"/>
  <c r="AC36" i="22" s="1" a="1"/>
  <c r="AC36" i="22" s="1"/>
  <c r="S36" i="22" a="1"/>
  <c r="S36" i="22" s="1"/>
  <c r="AD36" i="22" s="1" a="1"/>
  <c r="AD36" i="22" s="1"/>
  <c r="T36" i="22" a="1"/>
  <c r="T36" i="22"/>
  <c r="AE36" i="22" s="1" a="1"/>
  <c r="AE36" i="22" s="1"/>
  <c r="U36" i="22" a="1"/>
  <c r="U36" i="22" s="1"/>
  <c r="AF36" i="22" s="1" a="1"/>
  <c r="AF36" i="22" s="1"/>
  <c r="V36" i="22" a="1"/>
  <c r="V36" i="22" s="1"/>
  <c r="AG36" i="22" s="1" a="1"/>
  <c r="AG36" i="22" s="1"/>
  <c r="W36" i="22" a="1"/>
  <c r="W36" i="22" s="1"/>
  <c r="AH36" i="22" s="1" a="1"/>
  <c r="AH36" i="22" s="1"/>
  <c r="X36" i="22" a="1"/>
  <c r="X36" i="22" s="1"/>
  <c r="AI36" i="22" s="1" a="1"/>
  <c r="AI36" i="22" s="1"/>
  <c r="Q37" i="22" a="1"/>
  <c r="Q37" i="22" s="1"/>
  <c r="R37" i="22" a="1"/>
  <c r="R37" i="22" s="1"/>
  <c r="AC37" i="22" s="1" a="1"/>
  <c r="AC37" i="22" s="1"/>
  <c r="S37" i="22" a="1"/>
  <c r="S37" i="22" s="1"/>
  <c r="AD37" i="22" s="1" a="1"/>
  <c r="AD37" i="22" s="1"/>
  <c r="T37" i="22" a="1"/>
  <c r="T37" i="22" s="1"/>
  <c r="AE37" i="22" s="1" a="1"/>
  <c r="AE37" i="22" s="1"/>
  <c r="U37" i="22" a="1"/>
  <c r="U37" i="22"/>
  <c r="AF37" i="22" s="1" a="1"/>
  <c r="AF37" i="22" s="1"/>
  <c r="V37" i="22" a="1"/>
  <c r="V37" i="22" s="1"/>
  <c r="AG37" i="22" s="1" a="1"/>
  <c r="AG37" i="22" s="1"/>
  <c r="W37" i="22" a="1"/>
  <c r="W37" i="22" s="1"/>
  <c r="AH37" i="22" s="1" a="1"/>
  <c r="AH37" i="22" s="1"/>
  <c r="X37" i="22" a="1"/>
  <c r="X37" i="22" s="1"/>
  <c r="AI37" i="22" s="1" a="1"/>
  <c r="AI37" i="22" s="1"/>
  <c r="Q38" i="22" a="1"/>
  <c r="Q38" i="22" s="1"/>
  <c r="R38" i="22" a="1"/>
  <c r="R38" i="22" s="1"/>
  <c r="S38" i="22" a="1"/>
  <c r="S38" i="22" s="1"/>
  <c r="AD38" i="22" s="1" a="1"/>
  <c r="AD38" i="22" s="1"/>
  <c r="T38" i="22" a="1"/>
  <c r="T38" i="22" s="1"/>
  <c r="AE38" i="22" s="1" a="1"/>
  <c r="AE38" i="22" s="1"/>
  <c r="U38" i="22" a="1"/>
  <c r="U38" i="22" s="1"/>
  <c r="V38" i="22" a="1"/>
  <c r="V38" i="22" s="1"/>
  <c r="AG38" i="22" s="1" a="1"/>
  <c r="AG38" i="22" s="1"/>
  <c r="W38" i="22" a="1"/>
  <c r="W38" i="22" s="1"/>
  <c r="AH38" i="22" s="1" a="1"/>
  <c r="AH38" i="22" s="1"/>
  <c r="X38" i="22" a="1"/>
  <c r="X38" i="22"/>
  <c r="AI38" i="22" s="1" a="1"/>
  <c r="AI38" i="22" s="1"/>
  <c r="Q39" i="22" a="1"/>
  <c r="Q39" i="22" s="1"/>
  <c r="R39" i="22" a="1"/>
  <c r="R39" i="22"/>
  <c r="AC39" i="22" s="1" a="1"/>
  <c r="AC39" i="22" s="1"/>
  <c r="S39" i="22" a="1"/>
  <c r="S39" i="22" s="1"/>
  <c r="T39" i="22" a="1"/>
  <c r="T39" i="22" s="1"/>
  <c r="AE39" i="22" s="1" a="1"/>
  <c r="AE39" i="22" s="1"/>
  <c r="U39" i="22" a="1"/>
  <c r="U39" i="22" s="1"/>
  <c r="AF39" i="22" s="1" a="1"/>
  <c r="AF39" i="22" s="1"/>
  <c r="V39" i="22" a="1"/>
  <c r="V39" i="22" s="1"/>
  <c r="AG39" i="22" s="1" a="1"/>
  <c r="AG39" i="22" s="1"/>
  <c r="W39" i="22" a="1"/>
  <c r="W39" i="22" s="1"/>
  <c r="AH39" i="22" s="1" a="1"/>
  <c r="AH39" i="22" s="1"/>
  <c r="X39" i="22" a="1"/>
  <c r="X39" i="22"/>
  <c r="AI39" i="22" s="1" a="1"/>
  <c r="AI39" i="22" s="1"/>
  <c r="Q40" i="22" a="1"/>
  <c r="Q40" i="22" s="1"/>
  <c r="R40" i="22" a="1"/>
  <c r="R40" i="22" s="1"/>
  <c r="AC40" i="22" s="1" a="1"/>
  <c r="AC40" i="22" s="1"/>
  <c r="S40" i="22" a="1"/>
  <c r="S40" i="22" s="1"/>
  <c r="AD40" i="22" s="1" a="1"/>
  <c r="AD40" i="22" s="1"/>
  <c r="T40" i="22" a="1"/>
  <c r="T40" i="22" s="1"/>
  <c r="AE40" i="22" s="1" a="1"/>
  <c r="AE40" i="22" s="1"/>
  <c r="U40" i="22" a="1"/>
  <c r="U40" i="22" s="1"/>
  <c r="AF40" i="22" s="1" a="1"/>
  <c r="AF40" i="22" s="1"/>
  <c r="V40" i="22" a="1"/>
  <c r="V40" i="22" s="1"/>
  <c r="AG40" i="22" s="1" a="1"/>
  <c r="AG40" i="22" s="1"/>
  <c r="W40" i="22" a="1"/>
  <c r="W40" i="22" s="1"/>
  <c r="AH40" i="22" s="1" a="1"/>
  <c r="AH40" i="22" s="1"/>
  <c r="X40" i="22" a="1"/>
  <c r="X40" i="22" s="1"/>
  <c r="AI40" i="22" s="1" a="1"/>
  <c r="AI40" i="22" s="1"/>
  <c r="Q41" i="22" a="1"/>
  <c r="Q41" i="22" s="1"/>
  <c r="R41" i="22" a="1"/>
  <c r="R41" i="22" s="1"/>
  <c r="AC41" i="22" s="1" a="1"/>
  <c r="AC41" i="22" s="1"/>
  <c r="S41" i="22" a="1"/>
  <c r="S41" i="22" s="1"/>
  <c r="AD41" i="22" s="1" a="1"/>
  <c r="AD41" i="22" s="1"/>
  <c r="T41" i="22" a="1"/>
  <c r="T41" i="22" s="1"/>
  <c r="AE41" i="22" s="1" a="1"/>
  <c r="AE41" i="22" s="1"/>
  <c r="U41" i="22" a="1"/>
  <c r="U41" i="22" s="1"/>
  <c r="AF41" i="22" s="1" a="1"/>
  <c r="AF41" i="22" s="1"/>
  <c r="V41" i="22" a="1"/>
  <c r="V41" i="22" s="1"/>
  <c r="AG41" i="22" s="1" a="1"/>
  <c r="AG41" i="22" s="1"/>
  <c r="W41" i="22" a="1"/>
  <c r="W41" i="22" s="1"/>
  <c r="AH41" i="22" s="1" a="1"/>
  <c r="X41" i="22" a="1"/>
  <c r="X41" i="22" s="1"/>
  <c r="AI41" i="22" s="1" a="1"/>
  <c r="AH41" i="22"/>
  <c r="AI41" i="22"/>
  <c r="Q42" i="22" a="1"/>
  <c r="Q42" i="22" s="1"/>
  <c r="R42" i="22" a="1"/>
  <c r="R42" i="22" s="1"/>
  <c r="AC42" i="22" s="1" a="1"/>
  <c r="AC42" i="22" s="1"/>
  <c r="S42" i="22" a="1"/>
  <c r="S42" i="22" s="1"/>
  <c r="AD42" i="22" s="1" a="1"/>
  <c r="AD42" i="22" s="1"/>
  <c r="T42" i="22" a="1"/>
  <c r="T42" i="22" s="1"/>
  <c r="AE42" i="22" s="1" a="1"/>
  <c r="AE42" i="22" s="1"/>
  <c r="U42" i="22" a="1"/>
  <c r="U42" i="22" s="1"/>
  <c r="AF42" i="22" s="1" a="1"/>
  <c r="AF42" i="22" s="1"/>
  <c r="V42" i="22" a="1"/>
  <c r="V42" i="22" s="1"/>
  <c r="AG42" i="22" s="1" a="1"/>
  <c r="AG42" i="22" s="1"/>
  <c r="W42" i="22" a="1"/>
  <c r="W42" i="22" s="1"/>
  <c r="AH42" i="22" s="1" a="1"/>
  <c r="AH42" i="22" s="1"/>
  <c r="X42" i="22" a="1"/>
  <c r="X42" i="22"/>
  <c r="AI42" i="22" s="1" a="1"/>
  <c r="AI42" i="22" s="1"/>
  <c r="Q43" i="22" a="1"/>
  <c r="Q43" i="22" s="1"/>
  <c r="R43" i="22" a="1"/>
  <c r="R43" i="22" s="1"/>
  <c r="AC43" i="22" s="1" a="1"/>
  <c r="AC43" i="22" s="1"/>
  <c r="S43" i="22" a="1"/>
  <c r="S43" i="22"/>
  <c r="AD43" i="22" s="1" a="1"/>
  <c r="AD43" i="22" s="1"/>
  <c r="T43" i="22" a="1"/>
  <c r="T43" i="22"/>
  <c r="AE43" i="22" s="1" a="1"/>
  <c r="AE43" i="22" s="1"/>
  <c r="U43" i="22" a="1"/>
  <c r="U43" i="22" s="1"/>
  <c r="AF43" i="22" s="1" a="1"/>
  <c r="AF43" i="22" s="1"/>
  <c r="V43" i="22" a="1"/>
  <c r="V43" i="22" s="1"/>
  <c r="AG43" i="22" s="1" a="1"/>
  <c r="AG43" i="22" s="1"/>
  <c r="W43" i="22" a="1"/>
  <c r="W43" i="22" s="1"/>
  <c r="AH43" i="22" s="1" a="1"/>
  <c r="AH43" i="22" s="1"/>
  <c r="X43" i="22" a="1"/>
  <c r="X43" i="22" s="1"/>
  <c r="AI43" i="22" s="1" a="1"/>
  <c r="AI43" i="22" s="1"/>
  <c r="Q44" i="22" a="1"/>
  <c r="Q44" i="22" s="1"/>
  <c r="R44" i="22" a="1"/>
  <c r="R44" i="22" s="1"/>
  <c r="AC44" i="22" s="1" a="1"/>
  <c r="AC44" i="22" s="1"/>
  <c r="S44" i="22" a="1"/>
  <c r="S44" i="22" s="1"/>
  <c r="AD44" i="22" s="1" a="1"/>
  <c r="AD44" i="22" s="1"/>
  <c r="T44" i="22" a="1"/>
  <c r="T44" i="22" s="1"/>
  <c r="U44" i="22" a="1"/>
  <c r="U44" i="22" s="1"/>
  <c r="AF44" i="22" s="1" a="1"/>
  <c r="AF44" i="22" s="1"/>
  <c r="V44" i="22" a="1"/>
  <c r="V44" i="22" s="1"/>
  <c r="AG44" i="22" s="1" a="1"/>
  <c r="AG44" i="22" s="1"/>
  <c r="W44" i="22" a="1"/>
  <c r="W44" i="22" s="1"/>
  <c r="X44" i="22" a="1"/>
  <c r="X44" i="22"/>
  <c r="AI44" i="22" s="1" a="1"/>
  <c r="AI44" i="22" s="1"/>
  <c r="AH44" i="22" a="1"/>
  <c r="AH44" i="22" s="1"/>
  <c r="Q45" i="22" a="1"/>
  <c r="Q45" i="22" s="1"/>
  <c r="R45" i="22" a="1"/>
  <c r="R45" i="22"/>
  <c r="AC45" i="22" s="1" a="1"/>
  <c r="AC45" i="22" s="1"/>
  <c r="S45" i="22" a="1"/>
  <c r="S45" i="22" s="1"/>
  <c r="T45" i="22" a="1"/>
  <c r="T45" i="22" s="1"/>
  <c r="AE45" i="22" s="1" a="1"/>
  <c r="AE45" i="22" s="1"/>
  <c r="U45" i="22" a="1"/>
  <c r="U45" i="22"/>
  <c r="AF45" i="22" s="1" a="1"/>
  <c r="AF45" i="22" s="1"/>
  <c r="V45" i="22" a="1"/>
  <c r="V45" i="22" s="1"/>
  <c r="AG45" i="22" s="1" a="1"/>
  <c r="AG45" i="22" s="1"/>
  <c r="W45" i="22" a="1"/>
  <c r="W45" i="22" s="1"/>
  <c r="AH45" i="22" s="1" a="1"/>
  <c r="AH45" i="22" s="1"/>
  <c r="X45" i="22" a="1"/>
  <c r="X45" i="22" s="1"/>
  <c r="AI45" i="22" a="1"/>
  <c r="AI45" i="22" s="1"/>
  <c r="Q46" i="22" a="1"/>
  <c r="Q46" i="22" s="1"/>
  <c r="R46" i="22" a="1"/>
  <c r="R46" i="22" s="1"/>
  <c r="AC46" i="22" s="1" a="1"/>
  <c r="AC46" i="22" s="1"/>
  <c r="S46" i="22" a="1"/>
  <c r="S46" i="22" s="1"/>
  <c r="T46" i="22" a="1"/>
  <c r="T46" i="22" s="1"/>
  <c r="AE46" i="22" s="1" a="1"/>
  <c r="AE46" i="22" s="1"/>
  <c r="U46" i="22" a="1"/>
  <c r="U46" i="22" s="1"/>
  <c r="AF46" i="22" s="1" a="1"/>
  <c r="AF46" i="22" s="1"/>
  <c r="V46" i="22" a="1"/>
  <c r="V46" i="22" s="1"/>
  <c r="W46" i="22" a="1"/>
  <c r="W46" i="22" s="1"/>
  <c r="AH46" i="22" s="1" a="1"/>
  <c r="X46" i="22" a="1"/>
  <c r="X46" i="22" s="1"/>
  <c r="AI46" i="22" s="1" a="1"/>
  <c r="AI46" i="22" s="1"/>
  <c r="AG46" i="22" a="1"/>
  <c r="AG46" i="22" s="1"/>
  <c r="AH46" i="22"/>
  <c r="Q47" i="22" a="1"/>
  <c r="Q47" i="22" s="1"/>
  <c r="R47" i="22" a="1"/>
  <c r="R47" i="22" s="1"/>
  <c r="AC47" i="22" s="1" a="1"/>
  <c r="AC47" i="22" s="1"/>
  <c r="S47" i="22" a="1"/>
  <c r="S47" i="22" s="1"/>
  <c r="AD47" i="22" s="1" a="1"/>
  <c r="AD47" i="22" s="1"/>
  <c r="T47" i="22" a="1"/>
  <c r="T47" i="22" s="1"/>
  <c r="AE47" i="22" s="1" a="1"/>
  <c r="AE47" i="22" s="1"/>
  <c r="U47" i="22" a="1"/>
  <c r="U47" i="22"/>
  <c r="AF47" i="22" s="1" a="1"/>
  <c r="AF47" i="22" s="1"/>
  <c r="V47" i="22" a="1"/>
  <c r="V47" i="22" s="1"/>
  <c r="AG47" i="22" s="1" a="1"/>
  <c r="AG47" i="22" s="1"/>
  <c r="W47" i="22" a="1"/>
  <c r="W47" i="22" s="1"/>
  <c r="AH47" i="22" s="1" a="1"/>
  <c r="AH47" i="22" s="1"/>
  <c r="X47" i="22" a="1"/>
  <c r="X47" i="22" s="1"/>
  <c r="AI47" i="22" s="1" a="1"/>
  <c r="AI47" i="22" s="1"/>
  <c r="Q48" i="22" a="1"/>
  <c r="Q48" i="22" s="1"/>
  <c r="R48" i="22" a="1"/>
  <c r="R48" i="22" s="1"/>
  <c r="AC48" i="22" s="1" a="1"/>
  <c r="AC48" i="22" s="1"/>
  <c r="S48" i="22" a="1"/>
  <c r="S48" i="22" s="1"/>
  <c r="AD48" i="22" s="1" a="1"/>
  <c r="AD48" i="22" s="1"/>
  <c r="T48" i="22" a="1"/>
  <c r="T48" i="22" s="1"/>
  <c r="AE48" i="22" s="1" a="1"/>
  <c r="AE48" i="22" s="1"/>
  <c r="U48" i="22" a="1"/>
  <c r="U48" i="22" s="1"/>
  <c r="AF48" i="22" s="1" a="1"/>
  <c r="AF48" i="22" s="1"/>
  <c r="V48" i="22" a="1"/>
  <c r="V48" i="22"/>
  <c r="AG48" i="22" s="1" a="1"/>
  <c r="AG48" i="22" s="1"/>
  <c r="W48" i="22" a="1"/>
  <c r="W48" i="22" s="1"/>
  <c r="AH48" i="22" s="1" a="1"/>
  <c r="AH48" i="22" s="1"/>
  <c r="X48" i="22" a="1"/>
  <c r="X48" i="22" s="1"/>
  <c r="AI48" i="22" s="1" a="1"/>
  <c r="AI48" i="22" s="1"/>
  <c r="Q49" i="22" a="1"/>
  <c r="Q49" i="22" s="1"/>
  <c r="R49" i="22" a="1"/>
  <c r="R49" i="22"/>
  <c r="AC49" i="22" s="1" a="1"/>
  <c r="AC49" i="22" s="1"/>
  <c r="S49" i="22" a="1"/>
  <c r="S49" i="22" s="1"/>
  <c r="AD49" i="22" s="1" a="1"/>
  <c r="AD49" i="22" s="1"/>
  <c r="T49" i="22" a="1"/>
  <c r="T49" i="22"/>
  <c r="U49" i="22" a="1"/>
  <c r="U49" i="22" s="1"/>
  <c r="AF49" i="22" s="1" a="1"/>
  <c r="AF49" i="22" s="1"/>
  <c r="V49" i="22" a="1"/>
  <c r="V49" i="22" s="1"/>
  <c r="AG49" i="22" s="1" a="1"/>
  <c r="AG49" i="22" s="1"/>
  <c r="W49" i="22" a="1"/>
  <c r="W49" i="22" s="1"/>
  <c r="AH49" i="22" s="1" a="1"/>
  <c r="AH49" i="22" s="1"/>
  <c r="X49" i="22" a="1"/>
  <c r="X49" i="22" s="1"/>
  <c r="AI49" i="22" a="1"/>
  <c r="AI49" i="22" s="1"/>
  <c r="Q50" i="22" a="1"/>
  <c r="Q50" i="22"/>
  <c r="R50" i="22" a="1"/>
  <c r="R50" i="22" s="1"/>
  <c r="AC50" i="22" s="1" a="1"/>
  <c r="AC50" i="22" s="1"/>
  <c r="S50" i="22" a="1"/>
  <c r="S50" i="22" s="1"/>
  <c r="AD50" i="22" s="1" a="1"/>
  <c r="AD50" i="22" s="1"/>
  <c r="T50" i="22" a="1"/>
  <c r="T50" i="22" s="1"/>
  <c r="AE50" i="22" s="1" a="1"/>
  <c r="AE50" i="22" s="1"/>
  <c r="U50" i="22" a="1"/>
  <c r="U50" i="22" s="1"/>
  <c r="AF50" i="22" s="1" a="1"/>
  <c r="AF50" i="22" s="1"/>
  <c r="V50" i="22" a="1"/>
  <c r="V50" i="22" s="1"/>
  <c r="AG50" i="22" s="1" a="1"/>
  <c r="AG50" i="22" s="1"/>
  <c r="W50" i="22" a="1"/>
  <c r="W50" i="22" s="1"/>
  <c r="AH50" i="22" s="1" a="1"/>
  <c r="AH50" i="22" s="1"/>
  <c r="X50" i="22" a="1"/>
  <c r="X50" i="22" s="1"/>
  <c r="AI50" i="22" s="1" a="1"/>
  <c r="AI50" i="22" s="1"/>
  <c r="Q51" i="22" a="1"/>
  <c r="Q51" i="22" s="1"/>
  <c r="R51" i="22" a="1"/>
  <c r="R51" i="22" s="1"/>
  <c r="AC51" i="22" s="1" a="1"/>
  <c r="AC51" i="22" s="1"/>
  <c r="S51" i="22" a="1"/>
  <c r="S51" i="22"/>
  <c r="T51" i="22" a="1"/>
  <c r="T51" i="22" s="1"/>
  <c r="AE51" i="22" s="1" a="1"/>
  <c r="AE51" i="22" s="1"/>
  <c r="U51" i="22" a="1"/>
  <c r="U51" i="22" s="1"/>
  <c r="AF51" i="22" s="1" a="1"/>
  <c r="AF51" i="22" s="1"/>
  <c r="V51" i="22" a="1"/>
  <c r="V51" i="22" s="1"/>
  <c r="AG51" i="22" s="1" a="1"/>
  <c r="AG51" i="22" s="1"/>
  <c r="W51" i="22" a="1"/>
  <c r="W51" i="22" s="1"/>
  <c r="AH51" i="22" s="1" a="1"/>
  <c r="AH51" i="22" s="1"/>
  <c r="X51" i="22" a="1"/>
  <c r="X51" i="22" s="1"/>
  <c r="AI51" i="22" s="1" a="1"/>
  <c r="AI51" i="22" s="1"/>
  <c r="Q52" i="22" a="1"/>
  <c r="Q52" i="22" s="1"/>
  <c r="R52" i="22" a="1"/>
  <c r="R52" i="22" s="1"/>
  <c r="S52" i="22" a="1"/>
  <c r="S52" i="22"/>
  <c r="T52" i="22" a="1"/>
  <c r="T52" i="22" s="1"/>
  <c r="AE52" i="22" s="1" a="1"/>
  <c r="AE52" i="22" s="1"/>
  <c r="U52" i="22" a="1"/>
  <c r="U52" i="22" s="1"/>
  <c r="AF52" i="22" s="1" a="1"/>
  <c r="AF52" i="22" s="1"/>
  <c r="V52" i="22" a="1"/>
  <c r="V52" i="22" s="1"/>
  <c r="AG52" i="22" s="1" a="1"/>
  <c r="AG52" i="22" s="1"/>
  <c r="W52" i="22" a="1"/>
  <c r="W52" i="22" s="1"/>
  <c r="AH52" i="22" s="1" a="1"/>
  <c r="AH52" i="22" s="1"/>
  <c r="X52" i="22" a="1"/>
  <c r="X52" i="22" s="1"/>
  <c r="AI52" i="22" s="1" a="1"/>
  <c r="AI52" i="22" s="1"/>
  <c r="Q53" i="22" a="1"/>
  <c r="Q53" i="22" s="1"/>
  <c r="R53" i="22" a="1"/>
  <c r="R53" i="22"/>
  <c r="AC53" i="22" s="1" a="1"/>
  <c r="AC53" i="22" s="1"/>
  <c r="S53" i="22" a="1"/>
  <c r="S53" i="22" s="1"/>
  <c r="AD53" i="22" s="1" a="1"/>
  <c r="AD53" i="22" s="1"/>
  <c r="T53" i="22" a="1"/>
  <c r="T53" i="22" s="1"/>
  <c r="AE53" i="22" s="1" a="1"/>
  <c r="AE53" i="22" s="1"/>
  <c r="U53" i="22" a="1"/>
  <c r="U53" i="22" s="1"/>
  <c r="AF53" i="22" s="1" a="1"/>
  <c r="AF53" i="22" s="1"/>
  <c r="V53" i="22" a="1"/>
  <c r="V53" i="22" s="1"/>
  <c r="AG53" i="22" s="1" a="1"/>
  <c r="AG53" i="22" s="1"/>
  <c r="W53" i="22" a="1"/>
  <c r="W53" i="22" s="1"/>
  <c r="AH53" i="22" s="1" a="1"/>
  <c r="AH53" i="22" s="1"/>
  <c r="X53" i="22" a="1"/>
  <c r="X53" i="22" s="1"/>
  <c r="AI53" i="22" a="1"/>
  <c r="AI53" i="22" s="1"/>
  <c r="Q54" i="22" a="1"/>
  <c r="Q54" i="22" s="1"/>
  <c r="R54" i="22" a="1"/>
  <c r="R54" i="22" s="1"/>
  <c r="AC54" i="22" s="1" a="1"/>
  <c r="AC54" i="22" s="1"/>
  <c r="S54" i="22" a="1"/>
  <c r="S54" i="22" s="1"/>
  <c r="AD54" i="22" s="1" a="1"/>
  <c r="AD54" i="22" s="1"/>
  <c r="T54" i="22" a="1"/>
  <c r="T54" i="22" s="1"/>
  <c r="U54" i="22" a="1"/>
  <c r="U54" i="22" s="1"/>
  <c r="AF54" i="22" s="1" a="1"/>
  <c r="AF54" i="22" s="1"/>
  <c r="V54" i="22" a="1"/>
  <c r="V54" i="22" s="1"/>
  <c r="AG54" i="22" s="1" a="1"/>
  <c r="W54" i="22" a="1"/>
  <c r="W54" i="22" s="1"/>
  <c r="AH54" i="22" s="1" a="1"/>
  <c r="AH54" i="22" s="1"/>
  <c r="X54" i="22" a="1"/>
  <c r="X54" i="22" s="1"/>
  <c r="AI54" i="22" s="1" a="1"/>
  <c r="AI54" i="22" s="1"/>
  <c r="AE54" i="22" a="1"/>
  <c r="AE54" i="22" s="1"/>
  <c r="AG54" i="22"/>
  <c r="Q55" i="22" a="1"/>
  <c r="Q55" i="22"/>
  <c r="R55" i="22" a="1"/>
  <c r="R55" i="22" s="1"/>
  <c r="AC55" i="22" s="1" a="1"/>
  <c r="AC55" i="22" s="1"/>
  <c r="S55" i="22" a="1"/>
  <c r="S55" i="22" s="1"/>
  <c r="AD55" i="22" s="1" a="1"/>
  <c r="AD55" i="22" s="1"/>
  <c r="T55" i="22" a="1"/>
  <c r="T55" i="22" s="1"/>
  <c r="AE55" i="22" s="1" a="1"/>
  <c r="AE55" i="22" s="1"/>
  <c r="U55" i="22" a="1"/>
  <c r="U55" i="22" s="1"/>
  <c r="AF55" i="22" s="1" a="1"/>
  <c r="AF55" i="22" s="1"/>
  <c r="V55" i="22" a="1"/>
  <c r="V55" i="22" s="1"/>
  <c r="W55" i="22" a="1"/>
  <c r="W55" i="22" s="1"/>
  <c r="AH55" i="22" s="1" a="1"/>
  <c r="AH55" i="22" s="1"/>
  <c r="X55" i="22" a="1"/>
  <c r="X55" i="22" s="1"/>
  <c r="AI55" i="22" s="1" a="1"/>
  <c r="AI55" i="22" s="1"/>
  <c r="AG55" i="22" a="1"/>
  <c r="AG55" i="22" s="1"/>
  <c r="Q56" i="22" a="1"/>
  <c r="Q56" i="22" s="1"/>
  <c r="R56" i="22" a="1"/>
  <c r="R56" i="22" s="1"/>
  <c r="AC56" i="22" s="1" a="1"/>
  <c r="AC56" i="22" s="1"/>
  <c r="S56" i="22" a="1"/>
  <c r="S56" i="22" s="1"/>
  <c r="AD56" i="22" s="1" a="1"/>
  <c r="AD56" i="22" s="1"/>
  <c r="T56" i="22" a="1"/>
  <c r="T56" i="22" s="1"/>
  <c r="AE56" i="22" s="1" a="1"/>
  <c r="AE56" i="22" s="1"/>
  <c r="U56" i="22" a="1"/>
  <c r="U56" i="22" s="1"/>
  <c r="V56" i="22" a="1"/>
  <c r="V56" i="22" s="1"/>
  <c r="AG56" i="22" s="1" a="1"/>
  <c r="AG56" i="22" s="1"/>
  <c r="W56" i="22" a="1"/>
  <c r="W56" i="22" s="1"/>
  <c r="AH56" i="22" s="1" a="1"/>
  <c r="AH56" i="22" s="1"/>
  <c r="X56" i="22" a="1"/>
  <c r="X56" i="22" s="1"/>
  <c r="AI56" i="22" s="1" a="1"/>
  <c r="AI56" i="22" s="1"/>
  <c r="Q57" i="22" a="1"/>
  <c r="Q57" i="22" s="1"/>
  <c r="R57" i="22" a="1"/>
  <c r="R57" i="22" s="1"/>
  <c r="AC57" i="22" s="1" a="1"/>
  <c r="AC57" i="22" s="1"/>
  <c r="S57" i="22" a="1"/>
  <c r="S57" i="22" s="1"/>
  <c r="T57" i="22" a="1"/>
  <c r="T57" i="22" s="1"/>
  <c r="AE57" i="22" s="1" a="1"/>
  <c r="AE57" i="22" s="1"/>
  <c r="U57" i="22" a="1"/>
  <c r="U57" i="22" s="1"/>
  <c r="AF57" i="22" s="1" a="1"/>
  <c r="AF57" i="22" s="1"/>
  <c r="V57" i="22" a="1"/>
  <c r="V57" i="22" s="1"/>
  <c r="AG57" i="22" s="1" a="1"/>
  <c r="AG57" i="22" s="1"/>
  <c r="W57" i="22" a="1"/>
  <c r="W57" i="22" s="1"/>
  <c r="AH57" i="22" s="1" a="1"/>
  <c r="AH57" i="22" s="1"/>
  <c r="X57" i="22" a="1"/>
  <c r="X57" i="22" s="1"/>
  <c r="AI57" i="22" s="1" a="1"/>
  <c r="AI57" i="22" s="1"/>
  <c r="Q58" i="22" a="1"/>
  <c r="Q58" i="22" s="1"/>
  <c r="R58" i="22" a="1"/>
  <c r="R58" i="22" s="1"/>
  <c r="AC58" i="22" s="1" a="1"/>
  <c r="AC58" i="22" s="1"/>
  <c r="S58" i="22" a="1"/>
  <c r="S58" i="22" s="1"/>
  <c r="AD58" i="22" s="1" a="1"/>
  <c r="AD58" i="22" s="1"/>
  <c r="T58" i="22" a="1"/>
  <c r="T58" i="22" s="1"/>
  <c r="AE58" i="22" s="1" a="1"/>
  <c r="AE58" i="22" s="1"/>
  <c r="U58" i="22" a="1"/>
  <c r="U58" i="22" s="1"/>
  <c r="AF58" i="22" s="1" a="1"/>
  <c r="AF58" i="22" s="1"/>
  <c r="V58" i="22" a="1"/>
  <c r="V58" i="22" s="1"/>
  <c r="AG58" i="22" s="1" a="1"/>
  <c r="AG58" i="22" s="1"/>
  <c r="W58" i="22" a="1"/>
  <c r="W58" i="22" s="1"/>
  <c r="AH58" i="22" s="1" a="1"/>
  <c r="AH58" i="22" s="1"/>
  <c r="X58" i="22" a="1"/>
  <c r="X58" i="22" s="1"/>
  <c r="AI58" i="22" s="1" a="1"/>
  <c r="AI58" i="22" s="1"/>
  <c r="Q59" i="22" a="1"/>
  <c r="Q59" i="22" s="1"/>
  <c r="R59" i="22" a="1"/>
  <c r="R59" i="22" s="1"/>
  <c r="AC59" i="22" s="1" a="1"/>
  <c r="AC59" i="22" s="1"/>
  <c r="S59" i="22" a="1"/>
  <c r="S59" i="22" s="1"/>
  <c r="AD59" i="22" s="1" a="1"/>
  <c r="AD59" i="22" s="1"/>
  <c r="T59" i="22" a="1"/>
  <c r="T59" i="22" s="1"/>
  <c r="AE59" i="22" s="1" a="1"/>
  <c r="U59" i="22" a="1"/>
  <c r="U59" i="22" s="1"/>
  <c r="AF59" i="22" s="1" a="1"/>
  <c r="AF59" i="22" s="1"/>
  <c r="V59" i="22" a="1"/>
  <c r="V59" i="22" s="1"/>
  <c r="AG59" i="22" s="1" a="1"/>
  <c r="AG59" i="22" s="1"/>
  <c r="W59" i="22" a="1"/>
  <c r="W59" i="22" s="1"/>
  <c r="AH59" i="22" s="1" a="1"/>
  <c r="AH59" i="22" s="1"/>
  <c r="X59" i="22" a="1"/>
  <c r="X59" i="22" s="1"/>
  <c r="AI59" i="22" s="1" a="1"/>
  <c r="AI59" i="22" s="1"/>
  <c r="AE59" i="22"/>
  <c r="Q60" i="22" a="1"/>
  <c r="Q60" i="22" s="1"/>
  <c r="R60" i="22" a="1"/>
  <c r="R60" i="22" s="1"/>
  <c r="AC60" i="22" s="1" a="1"/>
  <c r="AC60" i="22" s="1"/>
  <c r="S60" i="22" a="1"/>
  <c r="S60" i="22" s="1"/>
  <c r="AD60" i="22" s="1" a="1"/>
  <c r="AD60" i="22" s="1"/>
  <c r="T60" i="22" a="1"/>
  <c r="T60" i="22" s="1"/>
  <c r="AE60" i="22" s="1" a="1"/>
  <c r="AE60" i="22" s="1"/>
  <c r="U60" i="22" a="1"/>
  <c r="U60" i="22" s="1"/>
  <c r="AF60" i="22" s="1" a="1"/>
  <c r="AF60" i="22" s="1"/>
  <c r="V60" i="22" a="1"/>
  <c r="V60" i="22" s="1"/>
  <c r="AG60" i="22" s="1" a="1"/>
  <c r="AG60" i="22" s="1"/>
  <c r="W60" i="22" a="1"/>
  <c r="W60" i="22" s="1"/>
  <c r="AH60" i="22" s="1" a="1"/>
  <c r="AH60" i="22" s="1"/>
  <c r="X60" i="22" a="1"/>
  <c r="X60" i="22" s="1"/>
  <c r="AI60" i="22" s="1" a="1"/>
  <c r="AI60" i="22" s="1"/>
  <c r="Q61" i="22" a="1"/>
  <c r="Q61" i="22" s="1"/>
  <c r="R61" i="22" a="1"/>
  <c r="R61" i="22" s="1"/>
  <c r="S61" i="22" a="1"/>
  <c r="S61" i="22" s="1"/>
  <c r="AD61" i="22" s="1" a="1"/>
  <c r="T61" i="22" a="1"/>
  <c r="T61" i="22" s="1"/>
  <c r="AE61" i="22" s="1" a="1"/>
  <c r="AE61" i="22" s="1"/>
  <c r="U61" i="22" a="1"/>
  <c r="U61" i="22" s="1"/>
  <c r="AF61" i="22" s="1" a="1"/>
  <c r="AF61" i="22" s="1"/>
  <c r="V61" i="22" a="1"/>
  <c r="V61" i="22" s="1"/>
  <c r="AG61" i="22" s="1" a="1"/>
  <c r="AG61" i="22" s="1"/>
  <c r="W61" i="22" a="1"/>
  <c r="W61" i="22" s="1"/>
  <c r="AH61" i="22" s="1" a="1"/>
  <c r="AH61" i="22" s="1"/>
  <c r="X61" i="22" a="1"/>
  <c r="X61" i="22" s="1"/>
  <c r="AI61" i="22" s="1" a="1"/>
  <c r="AI61" i="22" s="1"/>
  <c r="AD61" i="22"/>
  <c r="Q62" i="22" a="1"/>
  <c r="Q62" i="22" s="1"/>
  <c r="R62" i="22" a="1"/>
  <c r="R62" i="22" s="1"/>
  <c r="AC62" i="22" s="1" a="1"/>
  <c r="AC62" i="22" s="1"/>
  <c r="S62" i="22" a="1"/>
  <c r="S62" i="22" s="1"/>
  <c r="AD62" i="22" s="1" a="1"/>
  <c r="AD62" i="22" s="1"/>
  <c r="T62" i="22" a="1"/>
  <c r="T62" i="22" s="1"/>
  <c r="U62" i="22" a="1"/>
  <c r="U62" i="22" s="1"/>
  <c r="AF62" i="22" s="1" a="1"/>
  <c r="AF62" i="22" s="1"/>
  <c r="V62" i="22" a="1"/>
  <c r="V62" i="22" s="1"/>
  <c r="AG62" i="22" s="1" a="1"/>
  <c r="AG62" i="22" s="1"/>
  <c r="W62" i="22" a="1"/>
  <c r="W62" i="22" s="1"/>
  <c r="AH62" i="22" s="1" a="1"/>
  <c r="AH62" i="22" s="1"/>
  <c r="X62" i="22" a="1"/>
  <c r="X62" i="22" s="1"/>
  <c r="AI62" i="22" s="1" a="1"/>
  <c r="AI62" i="22" s="1"/>
  <c r="Q63" i="22" a="1"/>
  <c r="Q63" i="22" s="1"/>
  <c r="R63" i="22" a="1"/>
  <c r="R63" i="22"/>
  <c r="AC63" i="22" s="1" a="1"/>
  <c r="AC63" i="22" s="1"/>
  <c r="S63" i="22" a="1"/>
  <c r="S63" i="22" s="1"/>
  <c r="AD63" i="22" s="1" a="1"/>
  <c r="AD63" i="22" s="1"/>
  <c r="T63" i="22" a="1"/>
  <c r="T63" i="22" s="1"/>
  <c r="AE63" i="22" s="1" a="1"/>
  <c r="AE63" i="22" s="1"/>
  <c r="U63" i="22" a="1"/>
  <c r="U63" i="22" s="1"/>
  <c r="AF63" i="22" s="1" a="1"/>
  <c r="AF63" i="22" s="1"/>
  <c r="V63" i="22" a="1"/>
  <c r="V63" i="22" s="1"/>
  <c r="AG63" i="22" s="1" a="1"/>
  <c r="AG63" i="22" s="1"/>
  <c r="W63" i="22" a="1"/>
  <c r="W63" i="22" s="1"/>
  <c r="AH63" i="22" s="1" a="1"/>
  <c r="AH63" i="22" s="1"/>
  <c r="X63" i="22" a="1"/>
  <c r="X63" i="22" s="1"/>
  <c r="AI63" i="22" s="1" a="1"/>
  <c r="AI63" i="22" s="1"/>
  <c r="Q64" i="22" a="1"/>
  <c r="Q64" i="22" s="1"/>
  <c r="R64" i="22" a="1"/>
  <c r="R64" i="22" s="1"/>
  <c r="S64" i="22" a="1"/>
  <c r="S64" i="22" s="1"/>
  <c r="AD64" i="22" s="1" a="1"/>
  <c r="AD64" i="22" s="1"/>
  <c r="T64" i="22" a="1"/>
  <c r="T64" i="22"/>
  <c r="AE64" i="22" s="1" a="1"/>
  <c r="AE64" i="22" s="1"/>
  <c r="U64" i="22" a="1"/>
  <c r="U64" i="22" s="1"/>
  <c r="AF64" i="22" s="1" a="1"/>
  <c r="AF64" i="22" s="1"/>
  <c r="V64" i="22" a="1"/>
  <c r="V64" i="22" s="1"/>
  <c r="AG64" i="22" s="1" a="1"/>
  <c r="AG64" i="22" s="1"/>
  <c r="W64" i="22" a="1"/>
  <c r="W64" i="22"/>
  <c r="AH64" i="22" s="1" a="1"/>
  <c r="AH64" i="22" s="1"/>
  <c r="X64" i="22" a="1"/>
  <c r="X64" i="22" s="1"/>
  <c r="AI64" i="22" s="1" a="1"/>
  <c r="AI64" i="22" s="1"/>
  <c r="Q65" i="22" a="1"/>
  <c r="Q65" i="22" s="1"/>
  <c r="R65" i="22" a="1"/>
  <c r="R65" i="22" s="1"/>
  <c r="AC65" i="22" s="1" a="1"/>
  <c r="AC65" i="22" s="1"/>
  <c r="S65" i="22" a="1"/>
  <c r="S65" i="22" s="1"/>
  <c r="AD65" i="22" s="1" a="1"/>
  <c r="AD65" i="22" s="1"/>
  <c r="T65" i="22" a="1"/>
  <c r="T65" i="22" s="1"/>
  <c r="AE65" i="22" s="1" a="1"/>
  <c r="AE65" i="22" s="1"/>
  <c r="U65" i="22" a="1"/>
  <c r="U65" i="22" s="1"/>
  <c r="AF65" i="22" s="1" a="1"/>
  <c r="AF65" i="22" s="1"/>
  <c r="V65" i="22" a="1"/>
  <c r="V65" i="22" s="1"/>
  <c r="AG65" i="22" s="1" a="1"/>
  <c r="AG65" i="22" s="1"/>
  <c r="W65" i="22" a="1"/>
  <c r="W65" i="22" s="1"/>
  <c r="AH65" i="22" s="1" a="1"/>
  <c r="AH65" i="22" s="1"/>
  <c r="X65" i="22" a="1"/>
  <c r="X65" i="22" s="1"/>
  <c r="AI65" i="22" s="1" a="1"/>
  <c r="AI65" i="22" s="1"/>
  <c r="Q66" i="22" a="1"/>
  <c r="Q66" i="22" s="1"/>
  <c r="R66" i="22" a="1"/>
  <c r="R66" i="22" s="1"/>
  <c r="S66" i="22" a="1"/>
  <c r="S66" i="22" s="1"/>
  <c r="AD66" i="22" s="1" a="1"/>
  <c r="AD66" i="22" s="1"/>
  <c r="T66" i="22" a="1"/>
  <c r="T66" i="22" s="1"/>
  <c r="AE66" i="22" s="1" a="1"/>
  <c r="AE66" i="22" s="1"/>
  <c r="U66" i="22" a="1"/>
  <c r="U66" i="22"/>
  <c r="AF66" i="22" s="1" a="1"/>
  <c r="AF66" i="22" s="1"/>
  <c r="V66" i="22" a="1"/>
  <c r="V66" i="22" s="1"/>
  <c r="AG66" i="22" s="1" a="1"/>
  <c r="AG66" i="22" s="1"/>
  <c r="W66" i="22" a="1"/>
  <c r="W66" i="22" s="1"/>
  <c r="AH66" i="22" s="1" a="1"/>
  <c r="AH66" i="22" s="1"/>
  <c r="X66" i="22" a="1"/>
  <c r="X66" i="22" s="1"/>
  <c r="AI66" i="22" s="1" a="1"/>
  <c r="AI66" i="22" s="1"/>
  <c r="Q67" i="22" a="1"/>
  <c r="Q67" i="22" s="1"/>
  <c r="R67" i="22" a="1"/>
  <c r="R67" i="22" s="1"/>
  <c r="AC67" i="22" s="1" a="1"/>
  <c r="AC67" i="22" s="1"/>
  <c r="S67" i="22" a="1"/>
  <c r="S67" i="22" s="1"/>
  <c r="AD67" i="22" s="1" a="1"/>
  <c r="AD67" i="22" s="1"/>
  <c r="T67" i="22" a="1"/>
  <c r="T67" i="22"/>
  <c r="AE67" i="22" s="1" a="1"/>
  <c r="AE67" i="22" s="1"/>
  <c r="U67" i="22" a="1"/>
  <c r="U67" i="22" s="1"/>
  <c r="AF67" i="22" s="1" a="1"/>
  <c r="AF67" i="22" s="1"/>
  <c r="V67" i="22" a="1"/>
  <c r="V67" i="22" s="1"/>
  <c r="AG67" i="22" s="1" a="1"/>
  <c r="AG67" i="22" s="1"/>
  <c r="W67" i="22" a="1"/>
  <c r="W67" i="22" s="1"/>
  <c r="AH67" i="22" s="1" a="1"/>
  <c r="AH67" i="22" s="1"/>
  <c r="X67" i="22" a="1"/>
  <c r="X67" i="22" s="1"/>
  <c r="AI67" i="22" s="1" a="1"/>
  <c r="AI67" i="22" s="1"/>
  <c r="Q68" i="22" a="1"/>
  <c r="Q68" i="22" s="1"/>
  <c r="R68" i="22" a="1"/>
  <c r="R68" i="22" s="1"/>
  <c r="AC68" i="22" s="1" a="1"/>
  <c r="AC68" i="22" s="1"/>
  <c r="S68" i="22" a="1"/>
  <c r="S68" i="22" s="1"/>
  <c r="AD68" i="22" s="1" a="1"/>
  <c r="AD68" i="22" s="1"/>
  <c r="T68" i="22" a="1"/>
  <c r="T68" i="22" s="1"/>
  <c r="AE68" i="22" s="1" a="1"/>
  <c r="AE68" i="22" s="1"/>
  <c r="U68" i="22" a="1"/>
  <c r="U68" i="22" s="1"/>
  <c r="AF68" i="22" s="1" a="1"/>
  <c r="AF68" i="22" s="1"/>
  <c r="V68" i="22" a="1"/>
  <c r="V68" i="22" s="1"/>
  <c r="AG68" i="22" s="1" a="1"/>
  <c r="AG68" i="22" s="1"/>
  <c r="W68" i="22" a="1"/>
  <c r="W68" i="22" s="1"/>
  <c r="AH68" i="22" s="1" a="1"/>
  <c r="AH68" i="22" s="1"/>
  <c r="X68" i="22" a="1"/>
  <c r="X68" i="22" s="1"/>
  <c r="AI68" i="22" s="1" a="1"/>
  <c r="AI68" i="22" s="1"/>
  <c r="Q69" i="22" a="1"/>
  <c r="Q69" i="22" s="1"/>
  <c r="R69" i="22" a="1"/>
  <c r="R69" i="22" s="1"/>
  <c r="AC69" i="22" s="1" a="1"/>
  <c r="AC69" i="22" s="1"/>
  <c r="S69" i="22" a="1"/>
  <c r="S69" i="22" s="1"/>
  <c r="AD69" i="22" s="1" a="1"/>
  <c r="AD69" i="22" s="1"/>
  <c r="T69" i="22" a="1"/>
  <c r="T69" i="22" s="1"/>
  <c r="AE69" i="22" s="1" a="1"/>
  <c r="AE69" i="22" s="1"/>
  <c r="U69" i="22" a="1"/>
  <c r="U69" i="22" s="1"/>
  <c r="AF69" i="22" s="1" a="1"/>
  <c r="AF69" i="22" s="1"/>
  <c r="V69" i="22" a="1"/>
  <c r="V69" i="22" s="1"/>
  <c r="AG69" i="22" s="1" a="1"/>
  <c r="AG69" i="22" s="1"/>
  <c r="W69" i="22" a="1"/>
  <c r="W69" i="22" s="1"/>
  <c r="AH69" i="22" s="1" a="1"/>
  <c r="AH69" i="22" s="1"/>
  <c r="X69" i="22" a="1"/>
  <c r="X69" i="22" s="1"/>
  <c r="AI69" i="22" s="1" a="1"/>
  <c r="AI69" i="22" s="1"/>
  <c r="Q70" i="22" a="1"/>
  <c r="Q70" i="22" s="1"/>
  <c r="R70" i="22" a="1"/>
  <c r="R70" i="22" s="1"/>
  <c r="AC70" i="22" s="1" a="1"/>
  <c r="AC70" i="22" s="1"/>
  <c r="S70" i="22" a="1"/>
  <c r="S70" i="22" s="1"/>
  <c r="AD70" i="22" s="1" a="1"/>
  <c r="AD70" i="22" s="1"/>
  <c r="T70" i="22" a="1"/>
  <c r="T70" i="22" s="1"/>
  <c r="AE70" i="22" s="1" a="1"/>
  <c r="AE70" i="22" s="1"/>
  <c r="U70" i="22" a="1"/>
  <c r="U70" i="22" s="1"/>
  <c r="AF70" i="22" s="1" a="1"/>
  <c r="AF70" i="22" s="1"/>
  <c r="V70" i="22" a="1"/>
  <c r="V70" i="22" s="1"/>
  <c r="AG70" i="22" s="1" a="1"/>
  <c r="AG70" i="22" s="1"/>
  <c r="W70" i="22" a="1"/>
  <c r="W70" i="22" s="1"/>
  <c r="AH70" i="22" s="1" a="1"/>
  <c r="AH70" i="22" s="1"/>
  <c r="X70" i="22" a="1"/>
  <c r="X70" i="22"/>
  <c r="AI70" i="22" s="1" a="1"/>
  <c r="AI70" i="22" s="1"/>
  <c r="Q71" i="22" a="1"/>
  <c r="Q71" i="22" s="1"/>
  <c r="R71" i="22" a="1"/>
  <c r="R71" i="22"/>
  <c r="AC71" i="22" s="1" a="1"/>
  <c r="AC71" i="22" s="1"/>
  <c r="S71" i="22" a="1"/>
  <c r="S71" i="22"/>
  <c r="T71" i="22" a="1"/>
  <c r="T71" i="22" s="1"/>
  <c r="AE71" i="22" s="1" a="1"/>
  <c r="AE71" i="22" s="1"/>
  <c r="U71" i="22" a="1"/>
  <c r="U71" i="22" s="1"/>
  <c r="AF71" i="22" s="1" a="1"/>
  <c r="AF71" i="22" s="1"/>
  <c r="V71" i="22" a="1"/>
  <c r="V71" i="22"/>
  <c r="AG71" i="22" s="1" a="1"/>
  <c r="AG71" i="22" s="1"/>
  <c r="W71" i="22" a="1"/>
  <c r="W71" i="22" s="1"/>
  <c r="AH71" i="22" s="1" a="1"/>
  <c r="AH71" i="22" s="1"/>
  <c r="X71" i="22" a="1"/>
  <c r="X71" i="22" s="1"/>
  <c r="AI71" i="22" s="1" a="1"/>
  <c r="AI71" i="22" s="1"/>
  <c r="Q72" i="22" a="1"/>
  <c r="Q72" i="22" s="1"/>
  <c r="R72" i="22" a="1"/>
  <c r="R72" i="22" s="1"/>
  <c r="AC72" i="22" s="1" a="1"/>
  <c r="AC72" i="22" s="1"/>
  <c r="S72" i="22" a="1"/>
  <c r="S72" i="22" s="1"/>
  <c r="AD72" i="22" s="1" a="1"/>
  <c r="AD72" i="22" s="1"/>
  <c r="T72" i="22" a="1"/>
  <c r="T72" i="22" s="1"/>
  <c r="AE72" i="22" s="1" a="1"/>
  <c r="AE72" i="22" s="1"/>
  <c r="U72" i="22" a="1"/>
  <c r="U72" i="22"/>
  <c r="AF72" i="22" s="1" a="1"/>
  <c r="AF72" i="22" s="1"/>
  <c r="V72" i="22" a="1"/>
  <c r="V72" i="22" s="1"/>
  <c r="AG72" i="22" s="1" a="1"/>
  <c r="AG72" i="22" s="1"/>
  <c r="W72" i="22" a="1"/>
  <c r="W72" i="22"/>
  <c r="AH72" i="22" s="1" a="1"/>
  <c r="AH72" i="22" s="1"/>
  <c r="X72" i="22" a="1"/>
  <c r="X72" i="22" s="1"/>
  <c r="AI72" i="22" s="1" a="1"/>
  <c r="AI72" i="22" s="1"/>
  <c r="Q73" i="22" a="1"/>
  <c r="Q73" i="22" s="1"/>
  <c r="R73" i="22" a="1"/>
  <c r="R73" i="22" s="1"/>
  <c r="AC73" i="22" s="1" a="1"/>
  <c r="AC73" i="22" s="1"/>
  <c r="S73" i="22" a="1"/>
  <c r="S73" i="22" s="1"/>
  <c r="AD73" i="22" s="1" a="1"/>
  <c r="AD73" i="22" s="1"/>
  <c r="T73" i="22" a="1"/>
  <c r="T73" i="22" s="1"/>
  <c r="AE73" i="22" s="1" a="1"/>
  <c r="AE73" i="22" s="1"/>
  <c r="U73" i="22" a="1"/>
  <c r="U73" i="22" s="1"/>
  <c r="AF73" i="22" s="1" a="1"/>
  <c r="AF73" i="22" s="1"/>
  <c r="V73" i="22" a="1"/>
  <c r="V73" i="22" s="1"/>
  <c r="AG73" i="22" s="1" a="1"/>
  <c r="AG73" i="22" s="1"/>
  <c r="W73" i="22" a="1"/>
  <c r="W73" i="22" s="1"/>
  <c r="AH73" i="22" s="1" a="1"/>
  <c r="AH73" i="22" s="1"/>
  <c r="X73" i="22" a="1"/>
  <c r="X73" i="22" s="1"/>
  <c r="AI73" i="22" s="1" a="1"/>
  <c r="AI73" i="22" s="1"/>
  <c r="Q74" i="22" a="1"/>
  <c r="Q74" i="22" s="1"/>
  <c r="R74" i="22" a="1"/>
  <c r="R74" i="22" s="1"/>
  <c r="AC74" i="22" s="1" a="1"/>
  <c r="AC74" i="22" s="1"/>
  <c r="S74" i="22" a="1"/>
  <c r="S74" i="22"/>
  <c r="AD74" i="22" s="1" a="1"/>
  <c r="AD74" i="22" s="1"/>
  <c r="T74" i="22" a="1"/>
  <c r="T74" i="22" s="1"/>
  <c r="AE74" i="22" s="1" a="1"/>
  <c r="AE74" i="22" s="1"/>
  <c r="U74" i="22" a="1"/>
  <c r="U74" i="22" s="1"/>
  <c r="AF74" i="22" s="1" a="1"/>
  <c r="AF74" i="22" s="1"/>
  <c r="V74" i="22" a="1"/>
  <c r="V74" i="22" s="1"/>
  <c r="AG74" i="22" s="1" a="1"/>
  <c r="AG74" i="22" s="1"/>
  <c r="W74" i="22" a="1"/>
  <c r="W74" i="22" s="1"/>
  <c r="AH74" i="22" s="1" a="1"/>
  <c r="AH74" i="22" s="1"/>
  <c r="X74" i="22" a="1"/>
  <c r="X74" i="22" s="1"/>
  <c r="AI74" i="22" s="1" a="1"/>
  <c r="AI74" i="22" s="1"/>
  <c r="Q75" i="22" a="1"/>
  <c r="Q75" i="22" s="1"/>
  <c r="R75" i="22" a="1"/>
  <c r="R75" i="22" s="1"/>
  <c r="AC75" i="22" s="1" a="1"/>
  <c r="AC75" i="22" s="1"/>
  <c r="S75" i="22" a="1"/>
  <c r="S75" i="22" s="1"/>
  <c r="T75" i="22" a="1"/>
  <c r="T75" i="22" s="1"/>
  <c r="AE75" i="22" s="1" a="1"/>
  <c r="AE75" i="22" s="1"/>
  <c r="U75" i="22" a="1"/>
  <c r="U75" i="22" s="1"/>
  <c r="AF75" i="22" s="1" a="1"/>
  <c r="AF75" i="22" s="1"/>
  <c r="V75" i="22" a="1"/>
  <c r="V75" i="22"/>
  <c r="AG75" i="22" s="1" a="1"/>
  <c r="AG75" i="22" s="1"/>
  <c r="W75" i="22" a="1"/>
  <c r="W75" i="22" s="1"/>
  <c r="AH75" i="22" s="1" a="1"/>
  <c r="AH75" i="22" s="1"/>
  <c r="X75" i="22" a="1"/>
  <c r="X75" i="22" s="1"/>
  <c r="AI75" i="22" s="1" a="1"/>
  <c r="AI75" i="22" s="1"/>
  <c r="Q76" i="22" a="1"/>
  <c r="Q76" i="22" s="1"/>
  <c r="R76" i="22" a="1"/>
  <c r="R76" i="22" s="1"/>
  <c r="AC76" i="22" s="1" a="1"/>
  <c r="AC76" i="22" s="1"/>
  <c r="S76" i="22" a="1"/>
  <c r="S76" i="22" s="1"/>
  <c r="AD76" i="22" s="1" a="1"/>
  <c r="AD76" i="22" s="1"/>
  <c r="T76" i="22" a="1"/>
  <c r="T76" i="22" s="1"/>
  <c r="AE76" i="22" s="1" a="1"/>
  <c r="AE76" i="22" s="1"/>
  <c r="U76" i="22" a="1"/>
  <c r="U76" i="22" s="1"/>
  <c r="AF76" i="22" s="1" a="1"/>
  <c r="AF76" i="22" s="1"/>
  <c r="V76" i="22" a="1"/>
  <c r="V76" i="22" s="1"/>
  <c r="AG76" i="22" s="1" a="1"/>
  <c r="AG76" i="22" s="1"/>
  <c r="W76" i="22" a="1"/>
  <c r="W76" i="22" s="1"/>
  <c r="X76" i="22" a="1"/>
  <c r="X76" i="22" s="1"/>
  <c r="AI76" i="22" a="1"/>
  <c r="AI76" i="22" s="1"/>
  <c r="Q77" i="22" a="1"/>
  <c r="Q77" i="22" s="1"/>
  <c r="R77" i="22" a="1"/>
  <c r="R77" i="22" s="1"/>
  <c r="AC77" i="22" s="1" a="1"/>
  <c r="AC77" i="22" s="1"/>
  <c r="S77" i="22" a="1"/>
  <c r="S77" i="22" s="1"/>
  <c r="AD77" i="22" s="1" a="1"/>
  <c r="AD77" i="22" s="1"/>
  <c r="T77" i="22" a="1"/>
  <c r="T77" i="22" s="1"/>
  <c r="AE77" i="22" s="1" a="1"/>
  <c r="AE77" i="22" s="1"/>
  <c r="U77" i="22" a="1"/>
  <c r="U77" i="22" s="1"/>
  <c r="AF77" i="22" s="1" a="1"/>
  <c r="AF77" i="22" s="1"/>
  <c r="V77" i="22" a="1"/>
  <c r="V77" i="22"/>
  <c r="AG77" i="22" s="1" a="1"/>
  <c r="AG77" i="22" s="1"/>
  <c r="W77" i="22" a="1"/>
  <c r="W77" i="22" s="1"/>
  <c r="AH77" i="22" s="1" a="1"/>
  <c r="AH77" i="22" s="1"/>
  <c r="X77" i="22" a="1"/>
  <c r="X77" i="22" s="1"/>
  <c r="AI77" i="22" s="1" a="1"/>
  <c r="AI77" i="22" s="1"/>
  <c r="Q78" i="22" a="1"/>
  <c r="Q78" i="22" s="1"/>
  <c r="R78" i="22" a="1"/>
  <c r="R78" i="22" s="1"/>
  <c r="S78" i="22" a="1"/>
  <c r="S78" i="22"/>
  <c r="AD78" i="22" s="1" a="1"/>
  <c r="AD78" i="22" s="1"/>
  <c r="T78" i="22" a="1"/>
  <c r="T78" i="22" s="1"/>
  <c r="U78" i="22" a="1"/>
  <c r="U78" i="22" s="1"/>
  <c r="AF78" i="22" s="1" a="1"/>
  <c r="AF78" i="22" s="1"/>
  <c r="V78" i="22" a="1"/>
  <c r="V78" i="22" s="1"/>
  <c r="W78" i="22" a="1"/>
  <c r="W78" i="22" s="1"/>
  <c r="AH78" i="22" s="1" a="1"/>
  <c r="AH78" i="22" s="1"/>
  <c r="X78" i="22" a="1"/>
  <c r="X78" i="22" s="1"/>
  <c r="AI78" i="22" s="1" a="1"/>
  <c r="AI78" i="22" s="1"/>
  <c r="Q79" i="22" a="1"/>
  <c r="Q79" i="22" s="1"/>
  <c r="R79" i="22" a="1"/>
  <c r="R79" i="22" s="1"/>
  <c r="S79" i="22" a="1"/>
  <c r="S79" i="22" s="1"/>
  <c r="AD79" i="22" s="1" a="1"/>
  <c r="AD79" i="22" s="1"/>
  <c r="T79" i="22" a="1"/>
  <c r="T79" i="22" s="1"/>
  <c r="AE79" i="22" s="1" a="1"/>
  <c r="AE79" i="22" s="1"/>
  <c r="U79" i="22" a="1"/>
  <c r="U79" i="22" s="1"/>
  <c r="AF79" i="22" s="1" a="1"/>
  <c r="AF79" i="22" s="1"/>
  <c r="V79" i="22" a="1"/>
  <c r="V79" i="22" s="1"/>
  <c r="AG79" i="22" s="1" a="1"/>
  <c r="AG79" i="22" s="1"/>
  <c r="W79" i="22" a="1"/>
  <c r="W79" i="22" s="1"/>
  <c r="AH79" i="22" s="1" a="1"/>
  <c r="AH79" i="22" s="1"/>
  <c r="X79" i="22" a="1"/>
  <c r="X79" i="22" s="1"/>
  <c r="AI79" i="22" s="1" a="1"/>
  <c r="AI79" i="22" s="1"/>
  <c r="Q80" i="22" a="1"/>
  <c r="Q80" i="22" s="1"/>
  <c r="R80" i="22" a="1"/>
  <c r="R80" i="22" s="1"/>
  <c r="AC80" i="22" s="1" a="1"/>
  <c r="AC80" i="22" s="1"/>
  <c r="S80" i="22" a="1"/>
  <c r="S80" i="22"/>
  <c r="T80" i="22" a="1"/>
  <c r="T80" i="22" s="1"/>
  <c r="AE80" i="22" s="1" a="1"/>
  <c r="AE80" i="22" s="1"/>
  <c r="U80" i="22" a="1"/>
  <c r="U80" i="22" s="1"/>
  <c r="AF80" i="22" s="1" a="1"/>
  <c r="AF80" i="22" s="1"/>
  <c r="V80" i="22" a="1"/>
  <c r="V80" i="22" s="1"/>
  <c r="AG80" i="22" s="1" a="1"/>
  <c r="AG80" i="22" s="1"/>
  <c r="W80" i="22" a="1"/>
  <c r="W80" i="22" s="1"/>
  <c r="AH80" i="22" s="1" a="1"/>
  <c r="AH80" i="22" s="1"/>
  <c r="X80" i="22" a="1"/>
  <c r="X80" i="22" s="1"/>
  <c r="AI80" i="22" s="1" a="1"/>
  <c r="AI80" i="22" s="1"/>
  <c r="Q81" i="22" a="1"/>
  <c r="Q81" i="22" s="1"/>
  <c r="R81" i="22" a="1"/>
  <c r="R81" i="22" s="1"/>
  <c r="AC81" i="22" s="1" a="1"/>
  <c r="AC81" i="22" s="1"/>
  <c r="S81" i="22" a="1"/>
  <c r="S81" i="22" s="1"/>
  <c r="AD81" i="22" s="1" a="1"/>
  <c r="AD81" i="22" s="1"/>
  <c r="T81" i="22" a="1"/>
  <c r="T81" i="22" s="1"/>
  <c r="U81" i="22" a="1"/>
  <c r="U81" i="22" s="1"/>
  <c r="AF81" i="22" s="1" a="1"/>
  <c r="AF81" i="22" s="1"/>
  <c r="V81" i="22" a="1"/>
  <c r="V81" i="22" s="1"/>
  <c r="AG81" i="22" s="1" a="1"/>
  <c r="AG81" i="22" s="1"/>
  <c r="W81" i="22" a="1"/>
  <c r="W81" i="22" s="1"/>
  <c r="X81" i="22" a="1"/>
  <c r="X81" i="22" s="1"/>
  <c r="AI81" i="22" s="1" a="1"/>
  <c r="AI81" i="22" s="1"/>
  <c r="AH81" i="22" a="1"/>
  <c r="AH81" i="22" s="1"/>
  <c r="Q82" i="22" a="1"/>
  <c r="Q82" i="22" s="1"/>
  <c r="R82" i="22" a="1"/>
  <c r="R82" i="22" s="1"/>
  <c r="AC82" i="22" s="1" a="1"/>
  <c r="AC82" i="22" s="1"/>
  <c r="S82" i="22" a="1"/>
  <c r="S82" i="22" s="1"/>
  <c r="AD82" i="22" s="1" a="1"/>
  <c r="AD82" i="22" s="1"/>
  <c r="T82" i="22" a="1"/>
  <c r="T82" i="22" s="1"/>
  <c r="AE82" i="22" s="1" a="1"/>
  <c r="AE82" i="22" s="1"/>
  <c r="U82" i="22" a="1"/>
  <c r="U82" i="22"/>
  <c r="AF82" i="22" s="1" a="1"/>
  <c r="AF82" i="22" s="1"/>
  <c r="V82" i="22" a="1"/>
  <c r="V82" i="22" s="1"/>
  <c r="AG82" i="22" s="1" a="1"/>
  <c r="AG82" i="22" s="1"/>
  <c r="W82" i="22" a="1"/>
  <c r="W82" i="22" s="1"/>
  <c r="AH82" i="22" s="1" a="1"/>
  <c r="AH82" i="22" s="1"/>
  <c r="X82" i="22" a="1"/>
  <c r="X82" i="22" s="1"/>
  <c r="AI82" i="22" s="1" a="1"/>
  <c r="AI82" i="22" s="1"/>
  <c r="Q83" i="22" a="1"/>
  <c r="Q83" i="22" s="1"/>
  <c r="R83" i="22" a="1"/>
  <c r="R83" i="22" s="1"/>
  <c r="S83" i="22" a="1"/>
  <c r="S83" i="22" s="1"/>
  <c r="AD83" i="22" s="1" a="1"/>
  <c r="AD83" i="22" s="1"/>
  <c r="T83" i="22" a="1"/>
  <c r="T83" i="22" s="1"/>
  <c r="AE83" i="22" s="1" a="1"/>
  <c r="AE83" i="22" s="1"/>
  <c r="U83" i="22" a="1"/>
  <c r="U83" i="22" s="1"/>
  <c r="AF83" i="22" s="1" a="1"/>
  <c r="AF83" i="22" s="1"/>
  <c r="V83" i="22" a="1"/>
  <c r="V83" i="22" s="1"/>
  <c r="AG83" i="22" s="1" a="1"/>
  <c r="AG83" i="22" s="1"/>
  <c r="W83" i="22" a="1"/>
  <c r="W83" i="22" s="1"/>
  <c r="AH83" i="22" s="1" a="1"/>
  <c r="AH83" i="22" s="1"/>
  <c r="X83" i="22" a="1"/>
  <c r="X83" i="22" s="1"/>
  <c r="AI83" i="22" s="1" a="1"/>
  <c r="AI83" i="22" s="1"/>
  <c r="Q84" i="22" a="1"/>
  <c r="Q84" i="22" s="1"/>
  <c r="R84" i="22" a="1"/>
  <c r="R84" i="22" s="1"/>
  <c r="AC84" i="22" s="1" a="1"/>
  <c r="AC84" i="22" s="1"/>
  <c r="S84" i="22" a="1"/>
  <c r="S84" i="22" s="1"/>
  <c r="T84" i="22" a="1"/>
  <c r="T84" i="22" s="1"/>
  <c r="AE84" i="22" s="1" a="1"/>
  <c r="AE84" i="22" s="1"/>
  <c r="U84" i="22" a="1"/>
  <c r="U84" i="22" s="1"/>
  <c r="AF84" i="22" s="1" a="1"/>
  <c r="AF84" i="22" s="1"/>
  <c r="V84" i="22" a="1"/>
  <c r="V84" i="22" s="1"/>
  <c r="AG84" i="22" s="1" a="1"/>
  <c r="AG84" i="22" s="1"/>
  <c r="W84" i="22" a="1"/>
  <c r="W84" i="22" s="1"/>
  <c r="AH84" i="22" s="1" a="1"/>
  <c r="AH84" i="22" s="1"/>
  <c r="X84" i="22" a="1"/>
  <c r="X84" i="22" s="1"/>
  <c r="AI84" i="22" s="1" a="1"/>
  <c r="AI84" i="22" s="1"/>
  <c r="Q85" i="22" a="1"/>
  <c r="Q85" i="22" s="1"/>
  <c r="R85" i="22" a="1"/>
  <c r="R85" i="22" s="1"/>
  <c r="S85" i="22" a="1"/>
  <c r="S85" i="22" s="1"/>
  <c r="AD85" i="22" s="1" a="1"/>
  <c r="AD85" i="22" s="1"/>
  <c r="T85" i="22" a="1"/>
  <c r="T85" i="22" s="1"/>
  <c r="U85" i="22" a="1"/>
  <c r="U85" i="22" s="1"/>
  <c r="AF85" i="22" s="1" a="1"/>
  <c r="AF85" i="22" s="1"/>
  <c r="V85" i="22" a="1"/>
  <c r="V85" i="22" s="1"/>
  <c r="AG85" i="22" s="1" a="1"/>
  <c r="AG85" i="22" s="1"/>
  <c r="W85" i="22" a="1"/>
  <c r="W85" i="22" s="1"/>
  <c r="AH85" i="22" s="1" a="1"/>
  <c r="AH85" i="22" s="1"/>
  <c r="X85" i="22" a="1"/>
  <c r="X85" i="22" s="1"/>
  <c r="AI85" i="22" s="1" a="1"/>
  <c r="AI85" i="22" s="1"/>
  <c r="Q86" i="22" a="1"/>
  <c r="Q86" i="22" s="1"/>
  <c r="R86" i="22" a="1"/>
  <c r="R86" i="22" s="1"/>
  <c r="AC86" i="22" s="1" a="1"/>
  <c r="AC86" i="22" s="1"/>
  <c r="S86" i="22" a="1"/>
  <c r="S86" i="22" s="1"/>
  <c r="T86" i="22" a="1"/>
  <c r="T86" i="22" s="1"/>
  <c r="AE86" i="22" s="1" a="1"/>
  <c r="AE86" i="22" s="1"/>
  <c r="U86" i="22" a="1"/>
  <c r="U86" i="22" s="1"/>
  <c r="AF86" i="22" s="1" a="1"/>
  <c r="AF86" i="22" s="1"/>
  <c r="V86" i="22" a="1"/>
  <c r="V86" i="22" s="1"/>
  <c r="AG86" i="22" s="1" a="1"/>
  <c r="AG86" i="22" s="1"/>
  <c r="W86" i="22" a="1"/>
  <c r="W86" i="22" s="1"/>
  <c r="X86" i="22" a="1"/>
  <c r="X86" i="22"/>
  <c r="AI86" i="22" s="1" a="1"/>
  <c r="AI86" i="22" s="1"/>
  <c r="Q87" i="22" a="1"/>
  <c r="Q87" i="22" s="1"/>
  <c r="R87" i="22" a="1"/>
  <c r="R87" i="22" s="1"/>
  <c r="AC87" i="22" s="1" a="1"/>
  <c r="AC87" i="22" s="1"/>
  <c r="S87" i="22" a="1"/>
  <c r="S87" i="22" s="1"/>
  <c r="AD87" i="22" s="1" a="1"/>
  <c r="AD87" i="22" s="1"/>
  <c r="T87" i="22" a="1"/>
  <c r="T87" i="22" s="1"/>
  <c r="U87" i="22" a="1"/>
  <c r="U87" i="22" s="1"/>
  <c r="AF87" i="22" s="1" a="1"/>
  <c r="AF87" i="22" s="1"/>
  <c r="V87" i="22" a="1"/>
  <c r="V87" i="22" s="1"/>
  <c r="AG87" i="22" s="1" a="1"/>
  <c r="AG87" i="22" s="1"/>
  <c r="W87" i="22" a="1"/>
  <c r="W87" i="22" s="1"/>
  <c r="AH87" i="22" s="1" a="1"/>
  <c r="AH87" i="22" s="1"/>
  <c r="X87" i="22" a="1"/>
  <c r="X87" i="22" s="1"/>
  <c r="AI87" i="22" s="1" a="1"/>
  <c r="AI87" i="22" s="1"/>
  <c r="Q88" i="22" a="1"/>
  <c r="Q88" i="22" s="1"/>
  <c r="R88" i="22" a="1"/>
  <c r="R88" i="22" s="1"/>
  <c r="AC88" i="22" s="1" a="1"/>
  <c r="AC88" i="22" s="1"/>
  <c r="S88" i="22" a="1"/>
  <c r="S88" i="22" s="1"/>
  <c r="AD88" i="22" s="1" a="1"/>
  <c r="AD88" i="22" s="1"/>
  <c r="T88" i="22" a="1"/>
  <c r="T88" i="22" s="1"/>
  <c r="AE88" i="22" s="1" a="1"/>
  <c r="AE88" i="22" s="1"/>
  <c r="U88" i="22" a="1"/>
  <c r="U88" i="22"/>
  <c r="AF88" i="22" s="1" a="1"/>
  <c r="AF88" i="22" s="1"/>
  <c r="V88" i="22" a="1"/>
  <c r="V88" i="22" s="1"/>
  <c r="AG88" i="22" s="1" a="1"/>
  <c r="AG88" i="22" s="1"/>
  <c r="W88" i="22" a="1"/>
  <c r="W88" i="22" s="1"/>
  <c r="AH88" i="22" s="1" a="1"/>
  <c r="AH88" i="22" s="1"/>
  <c r="X88" i="22" a="1"/>
  <c r="X88" i="22" s="1"/>
  <c r="AI88" i="22" a="1"/>
  <c r="AI88" i="22" s="1"/>
  <c r="Q89" i="22" a="1"/>
  <c r="Q89" i="22" s="1"/>
  <c r="R89" i="22" a="1"/>
  <c r="R89" i="22" s="1"/>
  <c r="AC89" i="22" s="1" a="1"/>
  <c r="AC89" i="22" s="1"/>
  <c r="S89" i="22" a="1"/>
  <c r="S89" i="22" s="1"/>
  <c r="AD89" i="22" s="1" a="1"/>
  <c r="AD89" i="22" s="1"/>
  <c r="T89" i="22" a="1"/>
  <c r="T89" i="22" s="1"/>
  <c r="U89" i="22" a="1"/>
  <c r="U89" i="22" s="1"/>
  <c r="AF89" i="22" s="1" a="1"/>
  <c r="AF89" i="22" s="1"/>
  <c r="V89" i="22" a="1"/>
  <c r="V89" i="22" s="1"/>
  <c r="AG89" i="22" s="1" a="1"/>
  <c r="W89" i="22" a="1"/>
  <c r="W89" i="22" s="1"/>
  <c r="X89" i="22" a="1"/>
  <c r="X89" i="22" s="1"/>
  <c r="AI89" i="22" s="1" a="1"/>
  <c r="AI89" i="22" s="1"/>
  <c r="AG89" i="22"/>
  <c r="AH89" i="22" a="1"/>
  <c r="AH89" i="22" s="1"/>
  <c r="Q90" i="22" a="1"/>
  <c r="Q90" i="22" s="1"/>
  <c r="R90" i="22" a="1"/>
  <c r="R90" i="22" s="1"/>
  <c r="AC90" i="22" s="1" a="1"/>
  <c r="AC90" i="22" s="1"/>
  <c r="S90" i="22" a="1"/>
  <c r="S90" i="22" s="1"/>
  <c r="AD90" i="22" s="1" a="1"/>
  <c r="AD90" i="22" s="1"/>
  <c r="T90" i="22" a="1"/>
  <c r="T90" i="22" s="1"/>
  <c r="AE90" i="22" s="1" a="1"/>
  <c r="AE90" i="22" s="1"/>
  <c r="U90" i="22" a="1"/>
  <c r="U90" i="22" s="1"/>
  <c r="V90" i="22" a="1"/>
  <c r="V90" i="22" s="1"/>
  <c r="AG90" i="22" s="1" a="1"/>
  <c r="AG90" i="22" s="1"/>
  <c r="W90" i="22" a="1"/>
  <c r="W90" i="22" s="1"/>
  <c r="AH90" i="22" s="1" a="1"/>
  <c r="AH90" i="22" s="1"/>
  <c r="X90" i="22" a="1"/>
  <c r="X90" i="22" s="1"/>
  <c r="AI90" i="22" s="1" a="1"/>
  <c r="AI90" i="22"/>
  <c r="Q91" i="22" a="1"/>
  <c r="Q91" i="22" s="1"/>
  <c r="R91" i="22" a="1"/>
  <c r="R91" i="22" s="1"/>
  <c r="AC91" i="22" s="1" a="1"/>
  <c r="AC91" i="22" s="1"/>
  <c r="S91" i="22" a="1"/>
  <c r="S91" i="22" s="1"/>
  <c r="AD91" i="22" s="1" a="1"/>
  <c r="AD91" i="22" s="1"/>
  <c r="T91" i="22" a="1"/>
  <c r="T91" i="22" s="1"/>
  <c r="AE91" i="22" s="1" a="1"/>
  <c r="AE91" i="22" s="1"/>
  <c r="U91" i="22" a="1"/>
  <c r="U91" i="22" s="1"/>
  <c r="AF91" i="22" s="1" a="1"/>
  <c r="AF91" i="22" s="1"/>
  <c r="V91" i="22" a="1"/>
  <c r="V91" i="22" s="1"/>
  <c r="AG91" i="22" s="1" a="1"/>
  <c r="AG91" i="22" s="1"/>
  <c r="W91" i="22" a="1"/>
  <c r="W91" i="22"/>
  <c r="AH91" i="22" s="1" a="1"/>
  <c r="AH91" i="22" s="1"/>
  <c r="X91" i="22" a="1"/>
  <c r="X91" i="22" s="1"/>
  <c r="AI91" i="22" s="1" a="1"/>
  <c r="AI91" i="22" s="1"/>
  <c r="Q92" i="22" a="1"/>
  <c r="Q92" i="22" s="1"/>
  <c r="R92" i="22" a="1"/>
  <c r="R92" i="22"/>
  <c r="AC92" i="22" s="1" a="1"/>
  <c r="AC92" i="22" s="1"/>
  <c r="S92" i="22" a="1"/>
  <c r="S92" i="22" s="1"/>
  <c r="AD92" i="22" s="1" a="1"/>
  <c r="AD92" i="22" s="1"/>
  <c r="T92" i="22" a="1"/>
  <c r="T92" i="22" s="1"/>
  <c r="AE92" i="22" s="1" a="1"/>
  <c r="AE92" i="22" s="1"/>
  <c r="U92" i="22" a="1"/>
  <c r="U92" i="22" s="1"/>
  <c r="AF92" i="22" s="1" a="1"/>
  <c r="AF92" i="22" s="1"/>
  <c r="V92" i="22" a="1"/>
  <c r="V92" i="22" s="1"/>
  <c r="AG92" i="22" s="1" a="1"/>
  <c r="AG92" i="22" s="1"/>
  <c r="W92" i="22" a="1"/>
  <c r="W92" i="22" s="1"/>
  <c r="AH92" i="22" s="1" a="1"/>
  <c r="AH92" i="22" s="1"/>
  <c r="X92" i="22" a="1"/>
  <c r="X92" i="22" s="1"/>
  <c r="AI92" i="22" s="1" a="1"/>
  <c r="AI92" i="22"/>
  <c r="Q93" i="22" a="1"/>
  <c r="Q93" i="22" s="1"/>
  <c r="R93" i="22" a="1"/>
  <c r="R93" i="22" s="1"/>
  <c r="AC93" i="22" s="1" a="1"/>
  <c r="AC93" i="22" s="1"/>
  <c r="S93" i="22" a="1"/>
  <c r="S93" i="22" s="1"/>
  <c r="AD93" i="22" s="1" a="1"/>
  <c r="AD93" i="22" s="1"/>
  <c r="T93" i="22" a="1"/>
  <c r="T93" i="22" s="1"/>
  <c r="AE93" i="22" s="1" a="1"/>
  <c r="AE93" i="22" s="1"/>
  <c r="U93" i="22" a="1"/>
  <c r="U93" i="22" s="1"/>
  <c r="AF93" i="22" s="1" a="1"/>
  <c r="AF93" i="22" s="1"/>
  <c r="V93" i="22" a="1"/>
  <c r="V93" i="22" s="1"/>
  <c r="AG93" i="22" s="1" a="1"/>
  <c r="AG93" i="22" s="1"/>
  <c r="W93" i="22" a="1"/>
  <c r="W93" i="22" s="1"/>
  <c r="AH93" i="22" s="1" a="1"/>
  <c r="AH93" i="22" s="1"/>
  <c r="X93" i="22" a="1"/>
  <c r="X93" i="22" s="1"/>
  <c r="AI93" i="22" s="1" a="1"/>
  <c r="AI93" i="22" s="1"/>
  <c r="Q94" i="22" a="1"/>
  <c r="Q94" i="22"/>
  <c r="R94" i="22" a="1"/>
  <c r="R94" i="22" s="1"/>
  <c r="AC94" i="22" s="1" a="1"/>
  <c r="AC94" i="22" s="1"/>
  <c r="S94" i="22" a="1"/>
  <c r="S94" i="22" s="1"/>
  <c r="AD94" i="22" s="1" a="1"/>
  <c r="AD94" i="22" s="1"/>
  <c r="T94" i="22" a="1"/>
  <c r="T94" i="22"/>
  <c r="AE94" i="22" s="1" a="1"/>
  <c r="AE94" i="22" s="1"/>
  <c r="U94" i="22" a="1"/>
  <c r="U94" i="22" s="1"/>
  <c r="AF94" i="22" s="1" a="1"/>
  <c r="AF94" i="22" s="1"/>
  <c r="V94" i="22" a="1"/>
  <c r="V94" i="22"/>
  <c r="AG94" i="22" s="1" a="1"/>
  <c r="AG94" i="22" s="1"/>
  <c r="W94" i="22" a="1"/>
  <c r="W94" i="22" s="1"/>
  <c r="AH94" i="22" s="1" a="1"/>
  <c r="AH94" i="22" s="1"/>
  <c r="X94" i="22" a="1"/>
  <c r="X94" i="22" s="1"/>
  <c r="AI94" i="22" s="1" a="1"/>
  <c r="AI94" i="22" s="1"/>
  <c r="Q95" i="22" a="1"/>
  <c r="Q95" i="22" s="1"/>
  <c r="R95" i="22" a="1"/>
  <c r="R95" i="22" s="1"/>
  <c r="AC95" i="22" s="1" a="1"/>
  <c r="AC95" i="22" s="1"/>
  <c r="S95" i="22" a="1"/>
  <c r="S95" i="22"/>
  <c r="T95" i="22" a="1"/>
  <c r="T95" i="22" s="1"/>
  <c r="U95" i="22" a="1"/>
  <c r="U95" i="22" s="1"/>
  <c r="AF95" i="22" s="1" a="1"/>
  <c r="AF95" i="22" s="1"/>
  <c r="V95" i="22" a="1"/>
  <c r="V95" i="22" s="1"/>
  <c r="AG95" i="22" s="1" a="1"/>
  <c r="AG95" i="22" s="1"/>
  <c r="W95" i="22" a="1"/>
  <c r="W95" i="22" s="1"/>
  <c r="AH95" i="22" s="1" a="1"/>
  <c r="AH95" i="22" s="1"/>
  <c r="X95" i="22" a="1"/>
  <c r="X95" i="22"/>
  <c r="AI95" i="22" s="1" a="1"/>
  <c r="AI95" i="22" s="1"/>
  <c r="Q96" i="22" a="1"/>
  <c r="Q96" i="22" s="1"/>
  <c r="R96" i="22" a="1"/>
  <c r="R96" i="22" s="1"/>
  <c r="AC96" i="22" s="1" a="1"/>
  <c r="AC96" i="22" s="1"/>
  <c r="S96" i="22" a="1"/>
  <c r="S96" i="22" s="1"/>
  <c r="AD96" i="22" s="1" a="1"/>
  <c r="AD96" i="22" s="1"/>
  <c r="T96" i="22" a="1"/>
  <c r="T96" i="22" s="1"/>
  <c r="AE96" i="22" s="1" a="1"/>
  <c r="AE96" i="22" s="1"/>
  <c r="U96" i="22" a="1"/>
  <c r="U96" i="22" s="1"/>
  <c r="V96" i="22" a="1"/>
  <c r="V96" i="22" s="1"/>
  <c r="AG96" i="22" s="1" a="1"/>
  <c r="AG96" i="22" s="1"/>
  <c r="W96" i="22" a="1"/>
  <c r="W96" i="22" s="1"/>
  <c r="AH96" i="22" s="1" a="1"/>
  <c r="AH96" i="22" s="1"/>
  <c r="X96" i="22" a="1"/>
  <c r="X96" i="22" s="1"/>
  <c r="AI96" i="22" s="1" a="1"/>
  <c r="AI96" i="22" s="1"/>
  <c r="Q97" i="22" a="1"/>
  <c r="Q97" i="22" s="1"/>
  <c r="R97" i="22" a="1"/>
  <c r="R97" i="22"/>
  <c r="AC97" i="22" s="1" a="1"/>
  <c r="AC97" i="22" s="1"/>
  <c r="S97" i="22" a="1"/>
  <c r="S97" i="22" s="1"/>
  <c r="T97" i="22" a="1"/>
  <c r="T97" i="22" s="1"/>
  <c r="AE97" i="22" s="1" a="1"/>
  <c r="AE97" i="22" s="1"/>
  <c r="U97" i="22" a="1"/>
  <c r="U97" i="22" s="1"/>
  <c r="V97" i="22" a="1"/>
  <c r="V97" i="22" s="1"/>
  <c r="AG97" i="22" s="1" a="1"/>
  <c r="AG97" i="22" s="1"/>
  <c r="W97" i="22" a="1"/>
  <c r="W97" i="22" s="1"/>
  <c r="AH97" i="22" s="1" a="1"/>
  <c r="AH97" i="22" s="1"/>
  <c r="X97" i="22" a="1"/>
  <c r="X97" i="22"/>
  <c r="AI97" i="22" s="1" a="1"/>
  <c r="AI97" i="22" s="1"/>
  <c r="AF97" i="22" a="1"/>
  <c r="AF97" i="22" s="1"/>
  <c r="Q98" i="22" a="1"/>
  <c r="Q98" i="22" s="1"/>
  <c r="R98" i="22" a="1"/>
  <c r="R98" i="22" s="1"/>
  <c r="AC98" i="22" s="1" a="1"/>
  <c r="AC98" i="22" s="1"/>
  <c r="S98" i="22" a="1"/>
  <c r="S98" i="22" s="1"/>
  <c r="AD98" i="22" s="1" a="1"/>
  <c r="AD98" i="22" s="1"/>
  <c r="T98" i="22" a="1"/>
  <c r="T98" i="22" s="1"/>
  <c r="AE98" i="22" s="1" a="1"/>
  <c r="AE98" i="22" s="1"/>
  <c r="U98" i="22" a="1"/>
  <c r="U98" i="22" s="1"/>
  <c r="V98" i="22" a="1"/>
  <c r="V98" i="22" s="1"/>
  <c r="AG98" i="22" s="1" a="1"/>
  <c r="AG98" i="22" s="1"/>
  <c r="W98" i="22" a="1"/>
  <c r="W98" i="22"/>
  <c r="AH98" i="22" s="1" a="1"/>
  <c r="AH98" i="22" s="1"/>
  <c r="X98" i="22" a="1"/>
  <c r="X98" i="22" s="1"/>
  <c r="AI98" i="22" s="1" a="1"/>
  <c r="AI98" i="22" s="1"/>
  <c r="AF98" i="22" a="1"/>
  <c r="AF98" i="22" s="1"/>
  <c r="Q99" i="22" a="1"/>
  <c r="Q99" i="22" s="1"/>
  <c r="R99" i="22" a="1"/>
  <c r="R99" i="22" s="1"/>
  <c r="AC99" i="22" s="1" a="1"/>
  <c r="AC99" i="22" s="1"/>
  <c r="S99" i="22" a="1"/>
  <c r="S99" i="22" s="1"/>
  <c r="AD99" i="22" s="1" a="1"/>
  <c r="AD99" i="22" s="1"/>
  <c r="T99" i="22" a="1"/>
  <c r="T99" i="22" s="1"/>
  <c r="U99" i="22" a="1"/>
  <c r="U99" i="22" s="1"/>
  <c r="AF99" i="22" s="1" a="1"/>
  <c r="AF99" i="22" s="1"/>
  <c r="V99" i="22" a="1"/>
  <c r="V99" i="22" s="1"/>
  <c r="AG99" i="22" s="1" a="1"/>
  <c r="AG99" i="22" s="1"/>
  <c r="W99" i="22" a="1"/>
  <c r="W99" i="22" s="1"/>
  <c r="AH99" i="22" s="1" a="1"/>
  <c r="AH99" i="22" s="1"/>
  <c r="X99" i="22" a="1"/>
  <c r="X99" i="22" s="1"/>
  <c r="AI99" i="22" s="1" a="1"/>
  <c r="AI99" i="22" s="1"/>
  <c r="Q100" i="22" a="1"/>
  <c r="Q100" i="22"/>
  <c r="R100" i="22" a="1"/>
  <c r="R100" i="22" s="1"/>
  <c r="AC100" i="22" s="1" a="1"/>
  <c r="AC100" i="22" s="1"/>
  <c r="S100" i="22" a="1"/>
  <c r="S100" i="22" s="1"/>
  <c r="AD100" i="22" s="1" a="1"/>
  <c r="AD100" i="22" s="1"/>
  <c r="T100" i="22" a="1"/>
  <c r="T100" i="22" s="1"/>
  <c r="AE100" i="22" s="1" a="1"/>
  <c r="AE100" i="22" s="1"/>
  <c r="U100" i="22" a="1"/>
  <c r="U100" i="22" s="1"/>
  <c r="AF100" i="22" s="1" a="1"/>
  <c r="AF100" i="22" s="1"/>
  <c r="V100" i="22" a="1"/>
  <c r="V100" i="22" s="1"/>
  <c r="AG100" i="22" s="1" a="1"/>
  <c r="AG100" i="22" s="1"/>
  <c r="W100" i="22" a="1"/>
  <c r="W100" i="22" s="1"/>
  <c r="AH100" i="22" s="1" a="1"/>
  <c r="AH100" i="22" s="1"/>
  <c r="X100" i="22" a="1"/>
  <c r="X100" i="22" s="1"/>
  <c r="AI100" i="22" s="1" a="1"/>
  <c r="AI100" i="22" s="1"/>
  <c r="Q101" i="22" a="1"/>
  <c r="Q101" i="22" s="1"/>
  <c r="R101" i="22" a="1"/>
  <c r="R101" i="22" s="1"/>
  <c r="AC101" i="22" s="1" a="1"/>
  <c r="AC101" i="22" s="1"/>
  <c r="S101" i="22" a="1"/>
  <c r="S101" i="22" s="1"/>
  <c r="AD101" i="22" s="1" a="1"/>
  <c r="AD101" i="22" s="1"/>
  <c r="T101" i="22" a="1"/>
  <c r="T101" i="22"/>
  <c r="AE101" i="22" s="1" a="1"/>
  <c r="AE101" i="22" s="1"/>
  <c r="U101" i="22" a="1"/>
  <c r="U101" i="22" s="1"/>
  <c r="V101" i="22" a="1"/>
  <c r="V101" i="22" s="1"/>
  <c r="AG101" i="22" s="1" a="1"/>
  <c r="AG101" i="22" s="1"/>
  <c r="W101" i="22" a="1"/>
  <c r="W101" i="22" s="1"/>
  <c r="AH101" i="22" s="1" a="1"/>
  <c r="AH101" i="22" s="1"/>
  <c r="X101" i="22" a="1"/>
  <c r="X101" i="22"/>
  <c r="AI101" i="22" s="1" a="1"/>
  <c r="AI101" i="22" s="1"/>
  <c r="Q102" i="22" a="1"/>
  <c r="Q102" i="22" s="1"/>
  <c r="R102" i="22" a="1"/>
  <c r="R102" i="22" s="1"/>
  <c r="AC102" i="22" s="1" a="1"/>
  <c r="AC102" i="22" s="1"/>
  <c r="S102" i="22" a="1"/>
  <c r="S102" i="22" s="1"/>
  <c r="AD102" i="22" s="1" a="1"/>
  <c r="AD102" i="22" s="1"/>
  <c r="T102" i="22" a="1"/>
  <c r="T102" i="22" s="1"/>
  <c r="AE102" i="22" s="1" a="1"/>
  <c r="AE102" i="22" s="1"/>
  <c r="U102" i="22" a="1"/>
  <c r="U102" i="22" s="1"/>
  <c r="AF102" i="22" s="1" a="1"/>
  <c r="AF102" i="22" s="1"/>
  <c r="V102" i="22" a="1"/>
  <c r="V102" i="22" s="1"/>
  <c r="AG102" i="22" s="1" a="1"/>
  <c r="AG102" i="22" s="1"/>
  <c r="W102" i="22" a="1"/>
  <c r="W102" i="22" s="1"/>
  <c r="AH102" i="22" s="1" a="1"/>
  <c r="AH102" i="22" s="1"/>
  <c r="X102" i="22" a="1"/>
  <c r="X102" i="22"/>
  <c r="AI102" i="22" s="1" a="1"/>
  <c r="AI102" i="22" s="1"/>
  <c r="Q103" i="22" a="1"/>
  <c r="Q103" i="22" s="1"/>
  <c r="R103" i="22" a="1"/>
  <c r="R103" i="22" s="1"/>
  <c r="S103" i="22" a="1"/>
  <c r="S103" i="22"/>
  <c r="AD103" i="22" s="1" a="1"/>
  <c r="AD103" i="22" s="1"/>
  <c r="T103" i="22" a="1"/>
  <c r="T103" i="22" s="1"/>
  <c r="AE103" i="22" s="1" a="1"/>
  <c r="AE103" i="22" s="1"/>
  <c r="U103" i="22" a="1"/>
  <c r="U103" i="22" s="1"/>
  <c r="AF103" i="22" s="1" a="1"/>
  <c r="AF103" i="22" s="1"/>
  <c r="V103" i="22" a="1"/>
  <c r="V103" i="22" s="1"/>
  <c r="AG103" i="22" s="1" a="1"/>
  <c r="AG103" i="22" s="1"/>
  <c r="W103" i="22" a="1"/>
  <c r="W103" i="22" s="1"/>
  <c r="AH103" i="22" s="1" a="1"/>
  <c r="AH103" i="22" s="1"/>
  <c r="X103" i="22" a="1"/>
  <c r="X103" i="22" s="1"/>
  <c r="AI103" i="22" s="1" a="1"/>
  <c r="AI103" i="22" s="1"/>
  <c r="Q104" i="22" a="1"/>
  <c r="Q104" i="22" s="1"/>
  <c r="R104" i="22" a="1"/>
  <c r="R104" i="22" s="1"/>
  <c r="AC104" i="22" s="1" a="1"/>
  <c r="AC104" i="22" s="1"/>
  <c r="S104" i="22" a="1"/>
  <c r="S104" i="22" s="1"/>
  <c r="AD104" i="22" s="1" a="1"/>
  <c r="AD104" i="22" s="1"/>
  <c r="T104" i="22" a="1"/>
  <c r="T104" i="22" s="1"/>
  <c r="AE104" i="22" s="1" a="1"/>
  <c r="AE104" i="22" s="1"/>
  <c r="U104" i="22" a="1"/>
  <c r="U104" i="22" s="1"/>
  <c r="AF104" i="22" s="1" a="1"/>
  <c r="AF104" i="22" s="1"/>
  <c r="V104" i="22" a="1"/>
  <c r="V104" i="22" s="1"/>
  <c r="AG104" i="22" s="1" a="1"/>
  <c r="AG104" i="22" s="1"/>
  <c r="W104" i="22" a="1"/>
  <c r="W104" i="22" s="1"/>
  <c r="AH104" i="22" s="1" a="1"/>
  <c r="AH104" i="22" s="1"/>
  <c r="X104" i="22" a="1"/>
  <c r="X104" i="22" s="1"/>
  <c r="AI104" i="22" s="1" a="1"/>
  <c r="AI104" i="22" s="1"/>
  <c r="Q105" i="22" a="1"/>
  <c r="Q105" i="22" s="1"/>
  <c r="R105" i="22" a="1"/>
  <c r="R105" i="22" s="1"/>
  <c r="S105" i="22" a="1"/>
  <c r="S105" i="22" s="1"/>
  <c r="AD105" i="22" s="1" a="1"/>
  <c r="AD105" i="22" s="1"/>
  <c r="T105" i="22" a="1"/>
  <c r="T105" i="22" s="1"/>
  <c r="AE105" i="22" s="1" a="1"/>
  <c r="AE105" i="22" s="1"/>
  <c r="U105" i="22" a="1"/>
  <c r="U105" i="22"/>
  <c r="AF105" i="22" s="1" a="1"/>
  <c r="AF105" i="22" s="1"/>
  <c r="V105" i="22" a="1"/>
  <c r="V105" i="22" s="1"/>
  <c r="AG105" i="22" s="1" a="1"/>
  <c r="AG105" i="22" s="1"/>
  <c r="W105" i="22" a="1"/>
  <c r="W105" i="22"/>
  <c r="AH105" i="22" s="1" a="1"/>
  <c r="AH105" i="22" s="1"/>
  <c r="X105" i="22" a="1"/>
  <c r="X105" i="22"/>
  <c r="AI105" i="22" s="1" a="1"/>
  <c r="AI105" i="22" s="1"/>
  <c r="Q106" i="22" a="1"/>
  <c r="Q106" i="22"/>
  <c r="R106" i="22" a="1"/>
  <c r="R106" i="22" s="1"/>
  <c r="AC106" i="22" s="1" a="1"/>
  <c r="AC106" i="22" s="1"/>
  <c r="S106" i="22" a="1"/>
  <c r="S106" i="22" s="1"/>
  <c r="T106" i="22" a="1"/>
  <c r="T106" i="22" s="1"/>
  <c r="AE106" i="22" s="1" a="1"/>
  <c r="AE106" i="22" s="1"/>
  <c r="U106" i="22" a="1"/>
  <c r="U106" i="22" s="1"/>
  <c r="AF106" i="22" s="1" a="1"/>
  <c r="AF106" i="22" s="1"/>
  <c r="V106" i="22" a="1"/>
  <c r="V106" i="22" s="1"/>
  <c r="AG106" i="22" s="1" a="1"/>
  <c r="AG106" i="22" s="1"/>
  <c r="W106" i="22" a="1"/>
  <c r="W106" i="22" s="1"/>
  <c r="AH106" i="22" s="1" a="1"/>
  <c r="AH106" i="22" s="1"/>
  <c r="X106" i="22" a="1"/>
  <c r="X106" i="22" s="1"/>
  <c r="AI106" i="22" s="1" a="1"/>
  <c r="AI106" i="22" s="1"/>
  <c r="Q107" i="22" a="1"/>
  <c r="Q107" i="22" s="1"/>
  <c r="R107" i="22" a="1"/>
  <c r="R107" i="22" s="1"/>
  <c r="S107" i="22" a="1"/>
  <c r="S107" i="22"/>
  <c r="AD107" i="22" s="1" a="1"/>
  <c r="AD107" i="22" s="1"/>
  <c r="T107" i="22" a="1"/>
  <c r="T107" i="22" s="1"/>
  <c r="AE107" i="22" s="1" a="1"/>
  <c r="AE107" i="22" s="1"/>
  <c r="U107" i="22" a="1"/>
  <c r="U107" i="22" s="1"/>
  <c r="AF107" i="22" s="1" a="1"/>
  <c r="AF107" i="22" s="1"/>
  <c r="V107" i="22" a="1"/>
  <c r="V107" i="22"/>
  <c r="AG107" i="22" s="1" a="1"/>
  <c r="AG107" i="22" s="1"/>
  <c r="W107" i="22" a="1"/>
  <c r="W107" i="22" s="1"/>
  <c r="AH107" i="22" s="1" a="1"/>
  <c r="AH107" i="22" s="1"/>
  <c r="X107" i="22" a="1"/>
  <c r="X107" i="22" s="1"/>
  <c r="AI107" i="22" s="1" a="1"/>
  <c r="AI107" i="22" s="1"/>
  <c r="Q108" i="22" a="1"/>
  <c r="Q108" i="22" s="1"/>
  <c r="R108" i="22" a="1"/>
  <c r="R108" i="22" s="1"/>
  <c r="S108" i="22" a="1"/>
  <c r="S108" i="22" s="1"/>
  <c r="AD108" i="22" s="1" a="1"/>
  <c r="AD108" i="22" s="1"/>
  <c r="T108" i="22" a="1"/>
  <c r="T108" i="22" s="1"/>
  <c r="AE108" i="22" s="1" a="1"/>
  <c r="AE108" i="22" s="1"/>
  <c r="U108" i="22" a="1"/>
  <c r="U108" i="22" s="1"/>
  <c r="AF108" i="22" s="1" a="1"/>
  <c r="AF108" i="22" s="1"/>
  <c r="V108" i="22" a="1"/>
  <c r="V108" i="22" s="1"/>
  <c r="AG108" i="22" s="1" a="1"/>
  <c r="AG108" i="22" s="1"/>
  <c r="W108" i="22" a="1"/>
  <c r="W108" i="22" s="1"/>
  <c r="AH108" i="22" s="1" a="1"/>
  <c r="AH108" i="22" s="1"/>
  <c r="X108" i="22" a="1"/>
  <c r="X108" i="22" s="1"/>
  <c r="AI108" i="22" s="1" a="1"/>
  <c r="AI108" i="22" s="1"/>
  <c r="Q109" i="22" a="1"/>
  <c r="Q109" i="22" s="1"/>
  <c r="R109" i="22" a="1"/>
  <c r="R109" i="22" s="1"/>
  <c r="AC109" i="22" s="1" a="1"/>
  <c r="AC109" i="22" s="1"/>
  <c r="S109" i="22" a="1"/>
  <c r="S109" i="22" s="1"/>
  <c r="AD109" i="22" s="1" a="1"/>
  <c r="AD109" i="22" s="1"/>
  <c r="T109" i="22" a="1"/>
  <c r="T109" i="22" s="1"/>
  <c r="U109" i="22" a="1"/>
  <c r="U109" i="22" s="1"/>
  <c r="AF109" i="22" s="1" a="1"/>
  <c r="AF109" i="22" s="1"/>
  <c r="V109" i="22" a="1"/>
  <c r="V109" i="22" s="1"/>
  <c r="AG109" i="22" s="1" a="1"/>
  <c r="AG109" i="22" s="1"/>
  <c r="W109" i="22" a="1"/>
  <c r="W109" i="22" s="1"/>
  <c r="AH109" i="22" s="1" a="1"/>
  <c r="AH109" i="22" s="1"/>
  <c r="X109" i="22" a="1"/>
  <c r="X109" i="22" s="1"/>
  <c r="AI109" i="22" s="1" a="1"/>
  <c r="AI109" i="22" s="1"/>
  <c r="Q110" i="22" a="1"/>
  <c r="Q110" i="22" s="1"/>
  <c r="R110" i="22" a="1"/>
  <c r="R110" i="22" s="1"/>
  <c r="AC110" i="22" s="1" a="1"/>
  <c r="AC110" i="22" s="1"/>
  <c r="S110" i="22" a="1"/>
  <c r="S110" i="22" s="1"/>
  <c r="AD110" i="22" s="1" a="1"/>
  <c r="AD110" i="22" s="1"/>
  <c r="T110" i="22" a="1"/>
  <c r="T110" i="22" s="1"/>
  <c r="AE110" i="22" s="1" a="1"/>
  <c r="AE110" i="22" s="1"/>
  <c r="U110" i="22" a="1"/>
  <c r="U110" i="22" s="1"/>
  <c r="AF110" i="22" s="1" a="1"/>
  <c r="AF110" i="22" s="1"/>
  <c r="V110" i="22" a="1"/>
  <c r="V110" i="22" s="1"/>
  <c r="AG110" i="22" s="1" a="1"/>
  <c r="AG110" i="22" s="1"/>
  <c r="W110" i="22" a="1"/>
  <c r="W110" i="22" s="1"/>
  <c r="AH110" i="22" s="1" a="1"/>
  <c r="AH110" i="22" s="1"/>
  <c r="X110" i="22" a="1"/>
  <c r="X110" i="22" s="1"/>
  <c r="AI110" i="22" s="1" a="1"/>
  <c r="AI110" i="22" s="1"/>
  <c r="Q111" i="22" a="1"/>
  <c r="Q111" i="22" s="1"/>
  <c r="R111" i="22" a="1"/>
  <c r="R111" i="22" s="1"/>
  <c r="AC111" i="22" s="1" a="1"/>
  <c r="AC111" i="22" s="1"/>
  <c r="S111" i="22" a="1"/>
  <c r="S111" i="22" s="1"/>
  <c r="AD111" i="22" s="1" a="1"/>
  <c r="AD111" i="22" s="1"/>
  <c r="T111" i="22" a="1"/>
  <c r="T111" i="22" s="1"/>
  <c r="AE111" i="22" s="1" a="1"/>
  <c r="AE111" i="22" s="1"/>
  <c r="U111" i="22" a="1"/>
  <c r="U111" i="22" s="1"/>
  <c r="AF111" i="22" s="1" a="1"/>
  <c r="AF111" i="22" s="1"/>
  <c r="V111" i="22" a="1"/>
  <c r="V111" i="22" s="1"/>
  <c r="AG111" i="22" s="1" a="1"/>
  <c r="AG111" i="22" s="1"/>
  <c r="W111" i="22" a="1"/>
  <c r="W111" i="22" s="1"/>
  <c r="AH111" i="22" s="1" a="1"/>
  <c r="AH111" i="22" s="1"/>
  <c r="X111" i="22" a="1"/>
  <c r="X111" i="22" s="1"/>
  <c r="AI111" i="22" s="1" a="1"/>
  <c r="AI111" i="22" s="1"/>
  <c r="Q112" i="22" a="1"/>
  <c r="Q112" i="22" s="1"/>
  <c r="R112" i="22" a="1"/>
  <c r="R112" i="22" s="1"/>
  <c r="AC112" i="22" s="1" a="1"/>
  <c r="AC112" i="22" s="1"/>
  <c r="S112" i="22" a="1"/>
  <c r="S112" i="22" s="1"/>
  <c r="AD112" i="22" s="1" a="1"/>
  <c r="AD112" i="22" s="1"/>
  <c r="T112" i="22" a="1"/>
  <c r="T112" i="22" s="1"/>
  <c r="AE112" i="22" s="1" a="1"/>
  <c r="AE112" i="22" s="1"/>
  <c r="U112" i="22" a="1"/>
  <c r="U112" i="22" s="1"/>
  <c r="V112" i="22" a="1"/>
  <c r="V112" i="22" s="1"/>
  <c r="AG112" i="22" s="1" a="1"/>
  <c r="AG112" i="22" s="1"/>
  <c r="W112" i="22" a="1"/>
  <c r="W112" i="22" s="1"/>
  <c r="AH112" i="22" s="1" a="1"/>
  <c r="AH112" i="22" s="1"/>
  <c r="X112" i="22" a="1"/>
  <c r="X112" i="22" s="1"/>
  <c r="AI112" i="22" a="1"/>
  <c r="AI112" i="22" s="1"/>
  <c r="Q113" i="22" a="1"/>
  <c r="Q113" i="22" s="1"/>
  <c r="R113" i="22" a="1"/>
  <c r="R113" i="22" s="1"/>
  <c r="AC113" i="22" s="1" a="1"/>
  <c r="AC113" i="22" s="1"/>
  <c r="S113" i="22" a="1"/>
  <c r="S113" i="22" s="1"/>
  <c r="AD113" i="22" s="1" a="1"/>
  <c r="AD113" i="22" s="1"/>
  <c r="T113" i="22" a="1"/>
  <c r="T113" i="22" s="1"/>
  <c r="AE113" i="22" s="1" a="1"/>
  <c r="AE113" i="22" s="1"/>
  <c r="U113" i="22" a="1"/>
  <c r="U113" i="22" s="1"/>
  <c r="AF113" i="22" s="1" a="1"/>
  <c r="AF113" i="22" s="1"/>
  <c r="V113" i="22" a="1"/>
  <c r="V113" i="22" s="1"/>
  <c r="AG113" i="22" s="1" a="1"/>
  <c r="AG113" i="22" s="1"/>
  <c r="W113" i="22" a="1"/>
  <c r="W113" i="22" s="1"/>
  <c r="AH113" i="22" s="1" a="1"/>
  <c r="AH113" i="22" s="1"/>
  <c r="X113" i="22" a="1"/>
  <c r="X113" i="22"/>
  <c r="AI113" i="22" s="1" a="1"/>
  <c r="AI113" i="22" s="1"/>
  <c r="Q114" i="22" a="1"/>
  <c r="Q114" i="22" s="1"/>
  <c r="R114" i="22" a="1"/>
  <c r="R114" i="22" s="1"/>
  <c r="AC114" i="22" s="1" a="1"/>
  <c r="AC114" i="22" s="1"/>
  <c r="S114" i="22" a="1"/>
  <c r="S114" i="22" s="1"/>
  <c r="AD114" i="22" s="1" a="1"/>
  <c r="AD114" i="22" s="1"/>
  <c r="T114" i="22" a="1"/>
  <c r="T114" i="22" s="1"/>
  <c r="AE114" i="22" s="1" a="1"/>
  <c r="AE114" i="22" s="1"/>
  <c r="U114" i="22" a="1"/>
  <c r="U114" i="22" s="1"/>
  <c r="AF114" i="22" s="1" a="1"/>
  <c r="AF114" i="22" s="1"/>
  <c r="V114" i="22" a="1"/>
  <c r="V114" i="22" s="1"/>
  <c r="AG114" i="22" s="1" a="1"/>
  <c r="AG114" i="22" s="1"/>
  <c r="W114" i="22" a="1"/>
  <c r="W114" i="22" s="1"/>
  <c r="AH114" i="22" s="1" a="1"/>
  <c r="AH114" i="22" s="1"/>
  <c r="X114" i="22" a="1"/>
  <c r="X114" i="22" s="1"/>
  <c r="AI114" i="22" s="1" a="1"/>
  <c r="AI114" i="22" s="1"/>
  <c r="Q115" i="22" a="1"/>
  <c r="Q115" i="22" s="1"/>
  <c r="R115" i="22" a="1"/>
  <c r="R115" i="22" s="1"/>
  <c r="AC115" i="22" s="1" a="1"/>
  <c r="AC115" i="22" s="1"/>
  <c r="S115" i="22" a="1"/>
  <c r="S115" i="22" s="1"/>
  <c r="AD115" i="22" s="1" a="1"/>
  <c r="AD115" i="22" s="1"/>
  <c r="T115" i="22" a="1"/>
  <c r="T115" i="22" s="1"/>
  <c r="AE115" i="22" s="1" a="1"/>
  <c r="AE115" i="22" s="1"/>
  <c r="U115" i="22" a="1"/>
  <c r="U115" i="22" s="1"/>
  <c r="AF115" i="22" s="1" a="1"/>
  <c r="AF115" i="22" s="1"/>
  <c r="V115" i="22" a="1"/>
  <c r="V115" i="22" s="1"/>
  <c r="AG115" i="22" s="1" a="1"/>
  <c r="AG115" i="22" s="1"/>
  <c r="W115" i="22" a="1"/>
  <c r="W115" i="22"/>
  <c r="AH115" i="22" s="1" a="1"/>
  <c r="AH115" i="22" s="1"/>
  <c r="X115" i="22" a="1"/>
  <c r="X115" i="22" s="1"/>
  <c r="AI115" i="22" s="1" a="1"/>
  <c r="AI115" i="22" s="1"/>
  <c r="Q116" i="22" a="1"/>
  <c r="Q116" i="22"/>
  <c r="R116" i="22" a="1"/>
  <c r="R116" i="22" s="1"/>
  <c r="S116" i="22" a="1"/>
  <c r="S116" i="22" s="1"/>
  <c r="AD116" i="22" s="1" a="1"/>
  <c r="AD116" i="22" s="1"/>
  <c r="T116" i="22" a="1"/>
  <c r="T116" i="22" s="1"/>
  <c r="AE116" i="22" s="1" a="1"/>
  <c r="AE116" i="22" s="1"/>
  <c r="U116" i="22" a="1"/>
  <c r="U116" i="22" s="1"/>
  <c r="AF116" i="22" s="1" a="1"/>
  <c r="AF116" i="22" s="1"/>
  <c r="V116" i="22" a="1"/>
  <c r="V116" i="22" s="1"/>
  <c r="AG116" i="22" s="1" a="1"/>
  <c r="AG116" i="22" s="1"/>
  <c r="W116" i="22" a="1"/>
  <c r="W116" i="22" s="1"/>
  <c r="AH116" i="22" s="1" a="1"/>
  <c r="AH116" i="22" s="1"/>
  <c r="X116" i="22" a="1"/>
  <c r="X116" i="22" s="1"/>
  <c r="AI116" i="22" s="1" a="1"/>
  <c r="AI116" i="22" s="1"/>
  <c r="Q117" i="22" a="1"/>
  <c r="Q117" i="22"/>
  <c r="R117" i="22" a="1"/>
  <c r="R117" i="22" s="1"/>
  <c r="AC117" i="22" s="1" a="1"/>
  <c r="AC117" i="22" s="1"/>
  <c r="S117" i="22" a="1"/>
  <c r="S117" i="22" s="1"/>
  <c r="AD117" i="22" s="1" a="1"/>
  <c r="AD117" i="22" s="1"/>
  <c r="T117" i="22" a="1"/>
  <c r="T117" i="22" s="1"/>
  <c r="AE117" i="22" s="1" a="1"/>
  <c r="AE117" i="22" s="1"/>
  <c r="U117" i="22" a="1"/>
  <c r="U117" i="22" s="1"/>
  <c r="AF117" i="22" s="1" a="1"/>
  <c r="AF117" i="22" s="1"/>
  <c r="V117" i="22" a="1"/>
  <c r="V117" i="22" s="1"/>
  <c r="AG117" i="22" s="1" a="1"/>
  <c r="AG117" i="22" s="1"/>
  <c r="W117" i="22" a="1"/>
  <c r="W117" i="22" s="1"/>
  <c r="AH117" i="22" s="1" a="1"/>
  <c r="AH117" i="22" s="1"/>
  <c r="X117" i="22" a="1"/>
  <c r="X117" i="22" s="1"/>
  <c r="AI117" i="22" s="1" a="1"/>
  <c r="AI117" i="22" s="1"/>
  <c r="Q118" i="22" a="1"/>
  <c r="Q118" i="22" s="1"/>
  <c r="R118" i="22" a="1"/>
  <c r="R118" i="22" s="1"/>
  <c r="AC118" i="22" s="1" a="1"/>
  <c r="AC118" i="22" s="1"/>
  <c r="S118" i="22" a="1"/>
  <c r="S118" i="22"/>
  <c r="AD118" i="22" s="1" a="1"/>
  <c r="AD118" i="22" s="1"/>
  <c r="T118" i="22" a="1"/>
  <c r="T118" i="22" s="1"/>
  <c r="AE118" i="22" s="1" a="1"/>
  <c r="AE118" i="22" s="1"/>
  <c r="U118" i="22" a="1"/>
  <c r="U118" i="22"/>
  <c r="AF118" i="22" s="1" a="1"/>
  <c r="AF118" i="22" s="1"/>
  <c r="V118" i="22" a="1"/>
  <c r="V118" i="22" s="1"/>
  <c r="W118" i="22" a="1"/>
  <c r="W118" i="22" s="1"/>
  <c r="AH118" i="22" s="1" a="1"/>
  <c r="AH118" i="22" s="1"/>
  <c r="X118" i="22" a="1"/>
  <c r="X118" i="22" s="1"/>
  <c r="AI118" i="22" a="1"/>
  <c r="AI118" i="22" s="1"/>
  <c r="Q119" i="22" a="1"/>
  <c r="Q119" i="22" s="1"/>
  <c r="R119" i="22" a="1"/>
  <c r="R119" i="22" s="1"/>
  <c r="AC119" i="22" s="1" a="1"/>
  <c r="AC119" i="22" s="1"/>
  <c r="S119" i="22" a="1"/>
  <c r="S119" i="22" s="1"/>
  <c r="AD119" i="22" s="1" a="1"/>
  <c r="AD119" i="22" s="1"/>
  <c r="T119" i="22" a="1"/>
  <c r="T119" i="22" s="1"/>
  <c r="AE119" i="22" s="1" a="1"/>
  <c r="AE119" i="22" s="1"/>
  <c r="U119" i="22" a="1"/>
  <c r="U119" i="22" s="1"/>
  <c r="AF119" i="22" s="1" a="1"/>
  <c r="AF119" i="22" s="1"/>
  <c r="V119" i="22" a="1"/>
  <c r="V119" i="22" s="1"/>
  <c r="W119" i="22" a="1"/>
  <c r="W119" i="22" s="1"/>
  <c r="AH119" i="22" s="1" a="1"/>
  <c r="AH119" i="22" s="1"/>
  <c r="X119" i="22" a="1"/>
  <c r="X119" i="22" s="1"/>
  <c r="AI119" i="22" s="1" a="1"/>
  <c r="AI119" i="22" s="1"/>
  <c r="AG119" i="22" a="1"/>
  <c r="AG119" i="22" s="1"/>
  <c r="Q120" i="22" a="1"/>
  <c r="Q120" i="22" s="1"/>
  <c r="R120" i="22" a="1"/>
  <c r="R120" i="22" s="1"/>
  <c r="AC120" i="22" s="1" a="1"/>
  <c r="AC120" i="22" s="1"/>
  <c r="S120" i="22" a="1"/>
  <c r="S120" i="22" s="1"/>
  <c r="AD120" i="22" s="1" a="1"/>
  <c r="AD120" i="22" s="1"/>
  <c r="T120" i="22" a="1"/>
  <c r="T120" i="22"/>
  <c r="AE120" i="22" s="1" a="1"/>
  <c r="AE120" i="22" s="1"/>
  <c r="U120" i="22" a="1"/>
  <c r="U120" i="22" s="1"/>
  <c r="AF120" i="22" s="1" a="1"/>
  <c r="AF120" i="22" s="1"/>
  <c r="V120" i="22" a="1"/>
  <c r="V120" i="22" s="1"/>
  <c r="W120" i="22" a="1"/>
  <c r="W120" i="22" s="1"/>
  <c r="AH120" i="22" s="1" a="1"/>
  <c r="AH120" i="22" s="1"/>
  <c r="X120" i="22" a="1"/>
  <c r="X120" i="22" s="1"/>
  <c r="AI120" i="22" s="1" a="1"/>
  <c r="AI120" i="22" s="1"/>
  <c r="AG120" i="22" a="1"/>
  <c r="AG120" i="22"/>
  <c r="Q121" i="22" a="1"/>
  <c r="Q121" i="22" s="1"/>
  <c r="R121" i="22" a="1"/>
  <c r="R121" i="22" s="1"/>
  <c r="S121" i="22" a="1"/>
  <c r="S121" i="22" s="1"/>
  <c r="AD121" i="22" s="1" a="1"/>
  <c r="AD121" i="22" s="1"/>
  <c r="T121" i="22" a="1"/>
  <c r="T121" i="22" s="1"/>
  <c r="AE121" i="22" s="1" a="1"/>
  <c r="AE121" i="22" s="1"/>
  <c r="U121" i="22" a="1"/>
  <c r="U121" i="22" s="1"/>
  <c r="AF121" i="22" s="1" a="1"/>
  <c r="AF121" i="22" s="1"/>
  <c r="V121" i="22" a="1"/>
  <c r="V121" i="22" s="1"/>
  <c r="AG121" i="22" s="1" a="1"/>
  <c r="AG121" i="22" s="1"/>
  <c r="W121" i="22" a="1"/>
  <c r="W121" i="22" s="1"/>
  <c r="AH121" i="22" s="1" a="1"/>
  <c r="AH121" i="22" s="1"/>
  <c r="X121" i="22" a="1"/>
  <c r="X121" i="22" s="1"/>
  <c r="AI121" i="22" s="1" a="1"/>
  <c r="AI121" i="22" s="1"/>
  <c r="Q122" i="22" a="1"/>
  <c r="Q122" i="22"/>
  <c r="R122" i="22" a="1"/>
  <c r="R122" i="22" s="1"/>
  <c r="AC122" i="22" s="1" a="1"/>
  <c r="AC122" i="22" s="1"/>
  <c r="S122" i="22" a="1"/>
  <c r="S122" i="22" s="1"/>
  <c r="AD122" i="22" s="1" a="1"/>
  <c r="AD122" i="22" s="1"/>
  <c r="T122" i="22" a="1"/>
  <c r="T122" i="22" s="1"/>
  <c r="AE122" i="22" s="1" a="1"/>
  <c r="AE122" i="22" s="1"/>
  <c r="U122" i="22" a="1"/>
  <c r="U122" i="22" s="1"/>
  <c r="AF122" i="22" s="1" a="1"/>
  <c r="AF122" i="22" s="1"/>
  <c r="V122" i="22" a="1"/>
  <c r="V122" i="22" s="1"/>
  <c r="AG122" i="22" s="1" a="1"/>
  <c r="AG122" i="22" s="1"/>
  <c r="W122" i="22" a="1"/>
  <c r="W122" i="22" s="1"/>
  <c r="AH122" i="22" s="1" a="1"/>
  <c r="AH122" i="22" s="1"/>
  <c r="X122" i="22" a="1"/>
  <c r="X122" i="22"/>
  <c r="AI122" i="22" s="1" a="1"/>
  <c r="AI122" i="22" s="1"/>
  <c r="Q123" i="22" a="1"/>
  <c r="Q123" i="22"/>
  <c r="R123" i="22" a="1"/>
  <c r="R123" i="22" s="1"/>
  <c r="AC123" i="22" s="1" a="1"/>
  <c r="AC123" i="22" s="1"/>
  <c r="S123" i="22" a="1"/>
  <c r="S123" i="22" s="1"/>
  <c r="AD123" i="22" s="1" a="1"/>
  <c r="AD123" i="22" s="1"/>
  <c r="T123" i="22" a="1"/>
  <c r="T123" i="22" s="1"/>
  <c r="AE123" i="22" s="1" a="1"/>
  <c r="AE123" i="22" s="1"/>
  <c r="U123" i="22" a="1"/>
  <c r="U123" i="22"/>
  <c r="AF123" i="22" s="1" a="1"/>
  <c r="AF123" i="22" s="1"/>
  <c r="V123" i="22" a="1"/>
  <c r="V123" i="22" s="1"/>
  <c r="AG123" i="22" s="1" a="1"/>
  <c r="AG123" i="22" s="1"/>
  <c r="W123" i="22" a="1"/>
  <c r="W123" i="22" s="1"/>
  <c r="AH123" i="22" s="1" a="1"/>
  <c r="AH123" i="22" s="1"/>
  <c r="X123" i="22" a="1"/>
  <c r="X123" i="22"/>
  <c r="AI123" i="22" s="1" a="1"/>
  <c r="AI123" i="22" s="1"/>
  <c r="Q124" i="22" a="1"/>
  <c r="Q124" i="22" s="1"/>
  <c r="R124" i="22" a="1"/>
  <c r="R124" i="22" s="1"/>
  <c r="AC124" i="22" s="1" a="1"/>
  <c r="AC124" i="22" s="1"/>
  <c r="S124" i="22" a="1"/>
  <c r="S124" i="22" s="1"/>
  <c r="AD124" i="22" s="1" a="1"/>
  <c r="AD124" i="22" s="1"/>
  <c r="T124" i="22" a="1"/>
  <c r="T124" i="22" s="1"/>
  <c r="AE124" i="22" s="1" a="1"/>
  <c r="AE124" i="22" s="1"/>
  <c r="U124" i="22" a="1"/>
  <c r="U124" i="22" s="1"/>
  <c r="AF124" i="22" s="1" a="1"/>
  <c r="V124" i="22" a="1"/>
  <c r="V124" i="22" s="1"/>
  <c r="AG124" i="22" s="1" a="1"/>
  <c r="AG124" i="22" s="1"/>
  <c r="W124" i="22" a="1"/>
  <c r="W124" i="22"/>
  <c r="AH124" i="22" s="1" a="1"/>
  <c r="AH124" i="22" s="1"/>
  <c r="X124" i="22" a="1"/>
  <c r="X124" i="22" s="1"/>
  <c r="AI124" i="22" s="1" a="1"/>
  <c r="AI124" i="22" s="1"/>
  <c r="AF124" i="22"/>
  <c r="Q125" i="22" a="1"/>
  <c r="Q125" i="22" s="1"/>
  <c r="R125" i="22" a="1"/>
  <c r="R125" i="22" s="1"/>
  <c r="AC125" i="22" s="1" a="1"/>
  <c r="AC125" i="22" s="1"/>
  <c r="S125" i="22" a="1"/>
  <c r="S125" i="22" s="1"/>
  <c r="AD125" i="22" s="1" a="1"/>
  <c r="AD125" i="22" s="1"/>
  <c r="T125" i="22" a="1"/>
  <c r="T125" i="22" s="1"/>
  <c r="AE125" i="22" s="1" a="1"/>
  <c r="AE125" i="22" s="1"/>
  <c r="U125" i="22" a="1"/>
  <c r="U125" i="22" s="1"/>
  <c r="AF125" i="22" s="1" a="1"/>
  <c r="AF125" i="22" s="1"/>
  <c r="V125" i="22" a="1"/>
  <c r="V125" i="22"/>
  <c r="AG125" i="22" s="1" a="1"/>
  <c r="AG125" i="22" s="1"/>
  <c r="W125" i="22" a="1"/>
  <c r="W125" i="22" s="1"/>
  <c r="AH125" i="22" s="1" a="1"/>
  <c r="AH125" i="22" s="1"/>
  <c r="X125" i="22" a="1"/>
  <c r="X125" i="22"/>
  <c r="AI125" i="22" s="1" a="1"/>
  <c r="AI125" i="22" s="1"/>
  <c r="Q126" i="22" a="1"/>
  <c r="Q126" i="22" s="1"/>
  <c r="R126" i="22" a="1"/>
  <c r="R126" i="22" s="1"/>
  <c r="AC126" i="22" s="1" a="1"/>
  <c r="AC126" i="22" s="1"/>
  <c r="S126" i="22" a="1"/>
  <c r="S126" i="22" s="1"/>
  <c r="AD126" i="22" s="1" a="1"/>
  <c r="AD126" i="22" s="1"/>
  <c r="T126" i="22" a="1"/>
  <c r="T126" i="22"/>
  <c r="U126" i="22" a="1"/>
  <c r="U126" i="22" s="1"/>
  <c r="AF126" i="22" s="1" a="1"/>
  <c r="AF126" i="22" s="1"/>
  <c r="V126" i="22" a="1"/>
  <c r="V126" i="22" s="1"/>
  <c r="W126" i="22" a="1"/>
  <c r="W126" i="22" s="1"/>
  <c r="AH126" i="22" s="1" a="1"/>
  <c r="AH126" i="22" s="1"/>
  <c r="X126" i="22" a="1"/>
  <c r="X126" i="22" s="1"/>
  <c r="AI126" i="22" s="1" a="1"/>
  <c r="AI126" i="22" s="1"/>
  <c r="AG126" i="22" a="1"/>
  <c r="AG126" i="22" s="1"/>
  <c r="Q127" i="22" a="1"/>
  <c r="Q127" i="22" s="1"/>
  <c r="R127" i="22" a="1"/>
  <c r="R127" i="22" s="1"/>
  <c r="AC127" i="22" s="1" a="1"/>
  <c r="AC127" i="22" s="1"/>
  <c r="S127" i="22" a="1"/>
  <c r="S127" i="22" s="1"/>
  <c r="AD127" i="22" s="1" a="1"/>
  <c r="AD127" i="22" s="1"/>
  <c r="T127" i="22" a="1"/>
  <c r="T127" i="22" s="1"/>
  <c r="AE127" i="22" s="1" a="1"/>
  <c r="AE127" i="22" s="1"/>
  <c r="U127" i="22" a="1"/>
  <c r="U127" i="22" s="1"/>
  <c r="AF127" i="22" s="1" a="1"/>
  <c r="AF127" i="22" s="1"/>
  <c r="V127" i="22" a="1"/>
  <c r="V127" i="22" s="1"/>
  <c r="AG127" i="22" s="1" a="1"/>
  <c r="AG127" i="22" s="1"/>
  <c r="W127" i="22" a="1"/>
  <c r="W127" i="22" s="1"/>
  <c r="AH127" i="22" s="1" a="1"/>
  <c r="AH127" i="22" s="1"/>
  <c r="X127" i="22" a="1"/>
  <c r="X127" i="22" s="1"/>
  <c r="AI127" i="22" s="1" a="1"/>
  <c r="AI127" i="22" s="1"/>
  <c r="Q128" i="22" a="1"/>
  <c r="Q128" i="22" s="1"/>
  <c r="R128" i="22" a="1"/>
  <c r="R128" i="22" s="1"/>
  <c r="AC128" i="22" s="1" a="1"/>
  <c r="AC128" i="22" s="1"/>
  <c r="S128" i="22" a="1"/>
  <c r="S128" i="22" s="1"/>
  <c r="AD128" i="22" s="1" a="1"/>
  <c r="AD128" i="22" s="1"/>
  <c r="T128" i="22" a="1"/>
  <c r="T128" i="22" s="1"/>
  <c r="AE128" i="22" s="1" a="1"/>
  <c r="AE128" i="22" s="1"/>
  <c r="U128" i="22" a="1"/>
  <c r="U128" i="22" s="1"/>
  <c r="AF128" i="22" s="1" a="1"/>
  <c r="AF128" i="22" s="1"/>
  <c r="V128" i="22" a="1"/>
  <c r="V128" i="22" s="1"/>
  <c r="AG128" i="22" s="1" a="1"/>
  <c r="AG128" i="22" s="1"/>
  <c r="W128" i="22" a="1"/>
  <c r="W128" i="22" s="1"/>
  <c r="AH128" i="22" s="1" a="1"/>
  <c r="AH128" i="22" s="1"/>
  <c r="X128" i="22" a="1"/>
  <c r="X128" i="22" s="1"/>
  <c r="AI128" i="22" s="1" a="1"/>
  <c r="AI128" i="22" s="1"/>
  <c r="Q129" i="22" a="1"/>
  <c r="Q129" i="22" s="1"/>
  <c r="R129" i="22" a="1"/>
  <c r="R129" i="22" s="1"/>
  <c r="AC129" i="22" s="1" a="1"/>
  <c r="AC129" i="22" s="1"/>
  <c r="S129" i="22" a="1"/>
  <c r="S129" i="22" s="1"/>
  <c r="AD129" i="22" s="1" a="1"/>
  <c r="AD129" i="22" s="1"/>
  <c r="T129" i="22" a="1"/>
  <c r="T129" i="22" s="1"/>
  <c r="U129" i="22" a="1"/>
  <c r="U129" i="22" s="1"/>
  <c r="AF129" i="22" s="1" a="1"/>
  <c r="AF129" i="22" s="1"/>
  <c r="V129" i="22" a="1"/>
  <c r="V129" i="22" s="1"/>
  <c r="AG129" i="22" s="1" a="1"/>
  <c r="AG129" i="22" s="1"/>
  <c r="W129" i="22" a="1"/>
  <c r="W129" i="22" s="1"/>
  <c r="AH129" i="22" s="1" a="1"/>
  <c r="AH129" i="22" s="1"/>
  <c r="X129" i="22" a="1"/>
  <c r="X129" i="22" s="1"/>
  <c r="AI129" i="22" s="1" a="1"/>
  <c r="AI129" i="22"/>
  <c r="Q130" i="22" a="1"/>
  <c r="Q130" i="22" s="1"/>
  <c r="R130" i="22" a="1"/>
  <c r="R130" i="22" s="1"/>
  <c r="AC130" i="22" s="1" a="1"/>
  <c r="AC130" i="22" s="1"/>
  <c r="S130" i="22" a="1"/>
  <c r="S130" i="22" s="1"/>
  <c r="AD130" i="22" s="1" a="1"/>
  <c r="AD130" i="22" s="1"/>
  <c r="T130" i="22" a="1"/>
  <c r="T130" i="22" s="1"/>
  <c r="AE130" i="22" s="1" a="1"/>
  <c r="AE130" i="22" s="1"/>
  <c r="U130" i="22" a="1"/>
  <c r="U130" i="22" s="1"/>
  <c r="AF130" i="22" s="1" a="1"/>
  <c r="AF130" i="22" s="1"/>
  <c r="V130" i="22" a="1"/>
  <c r="V130" i="22" s="1"/>
  <c r="AG130" i="22" s="1" a="1"/>
  <c r="AG130" i="22" s="1"/>
  <c r="W130" i="22" a="1"/>
  <c r="W130" i="22" s="1"/>
  <c r="AH130" i="22" s="1" a="1"/>
  <c r="AH130" i="22" s="1"/>
  <c r="X130" i="22" a="1"/>
  <c r="X130" i="22" s="1"/>
  <c r="AI130" i="22" s="1" a="1"/>
  <c r="AI130" i="22" s="1"/>
  <c r="Q131" i="22" a="1"/>
  <c r="Q131" i="22" s="1"/>
  <c r="R131" i="22" a="1"/>
  <c r="R131" i="22" s="1"/>
  <c r="AC131" i="22" s="1" a="1"/>
  <c r="AC131" i="22" s="1"/>
  <c r="S131" i="22" a="1"/>
  <c r="S131" i="22"/>
  <c r="AD131" i="22" s="1" a="1"/>
  <c r="AD131" i="22" s="1"/>
  <c r="T131" i="22" a="1"/>
  <c r="T131" i="22" s="1"/>
  <c r="U131" i="22" a="1"/>
  <c r="U131" i="22" s="1"/>
  <c r="AF131" i="22" s="1" a="1"/>
  <c r="AF131" i="22" s="1"/>
  <c r="V131" i="22" a="1"/>
  <c r="V131" i="22" s="1"/>
  <c r="AG131" i="22" s="1" a="1"/>
  <c r="AG131" i="22" s="1"/>
  <c r="W131" i="22" a="1"/>
  <c r="W131" i="22" s="1"/>
  <c r="AH131" i="22" s="1" a="1"/>
  <c r="AH131" i="22" s="1"/>
  <c r="X131" i="22" a="1"/>
  <c r="X131" i="22"/>
  <c r="AI131" i="22" s="1" a="1"/>
  <c r="AI131" i="22" s="1"/>
  <c r="Q132" i="22" a="1"/>
  <c r="Q132" i="22" s="1"/>
  <c r="R132" i="22" a="1"/>
  <c r="R132" i="22" s="1"/>
  <c r="AC132" i="22" s="1" a="1"/>
  <c r="AC132" i="22" s="1"/>
  <c r="S132" i="22" a="1"/>
  <c r="S132" i="22" s="1"/>
  <c r="AD132" i="22" s="1" a="1"/>
  <c r="AD132" i="22" s="1"/>
  <c r="T132" i="22" a="1"/>
  <c r="T132" i="22" s="1"/>
  <c r="AE132" i="22" s="1" a="1"/>
  <c r="AE132" i="22" s="1"/>
  <c r="U132" i="22" a="1"/>
  <c r="U132" i="22" s="1"/>
  <c r="AF132" i="22" s="1" a="1"/>
  <c r="AF132" i="22" s="1"/>
  <c r="V132" i="22" a="1"/>
  <c r="V132" i="22" s="1"/>
  <c r="AG132" i="22" s="1" a="1"/>
  <c r="AG132" i="22" s="1"/>
  <c r="W132" i="22" a="1"/>
  <c r="W132" i="22" s="1"/>
  <c r="AH132" i="22" s="1" a="1"/>
  <c r="AH132" i="22" s="1"/>
  <c r="X132" i="22" a="1"/>
  <c r="X132" i="22" s="1"/>
  <c r="AI132" i="22" s="1" a="1"/>
  <c r="AI132" i="22" s="1"/>
  <c r="Q133" i="22" a="1"/>
  <c r="Q133" i="22" s="1"/>
  <c r="R133" i="22" a="1"/>
  <c r="R133" i="22" s="1"/>
  <c r="AC133" i="22" s="1" a="1"/>
  <c r="AC133" i="22" s="1"/>
  <c r="S133" i="22" a="1"/>
  <c r="S133" i="22"/>
  <c r="AD133" i="22" s="1" a="1"/>
  <c r="AD133" i="22" s="1"/>
  <c r="T133" i="22" a="1"/>
  <c r="T133" i="22" s="1"/>
  <c r="AE133" i="22" s="1" a="1"/>
  <c r="AE133" i="22" s="1"/>
  <c r="U133" i="22" a="1"/>
  <c r="U133" i="22" s="1"/>
  <c r="AF133" i="22" s="1" a="1"/>
  <c r="AF133" i="22" s="1"/>
  <c r="V133" i="22" a="1"/>
  <c r="V133" i="22" s="1"/>
  <c r="AG133" i="22" s="1" a="1"/>
  <c r="AG133" i="22" s="1"/>
  <c r="W133" i="22" a="1"/>
  <c r="W133" i="22" s="1"/>
  <c r="AH133" i="22" s="1" a="1"/>
  <c r="AH133" i="22" s="1"/>
  <c r="X133" i="22" a="1"/>
  <c r="X133" i="22"/>
  <c r="AI133" i="22" s="1" a="1"/>
  <c r="AI133" i="22" s="1"/>
  <c r="Q134" i="22" a="1"/>
  <c r="Q134" i="22" s="1"/>
  <c r="R134" i="22" a="1"/>
  <c r="R134" i="22"/>
  <c r="AC134" i="22" s="1" a="1"/>
  <c r="AC134" i="22" s="1"/>
  <c r="S134" i="22" a="1"/>
  <c r="S134" i="22" s="1"/>
  <c r="T134" i="22" a="1"/>
  <c r="T134" i="22" s="1"/>
  <c r="AE134" i="22" s="1" a="1"/>
  <c r="AE134" i="22" s="1"/>
  <c r="U134" i="22" a="1"/>
  <c r="U134" i="22" s="1"/>
  <c r="AF134" i="22" s="1" a="1"/>
  <c r="AF134" i="22" s="1"/>
  <c r="V134" i="22" a="1"/>
  <c r="V134" i="22" s="1"/>
  <c r="AG134" i="22" s="1" a="1"/>
  <c r="AG134" i="22" s="1"/>
  <c r="W134" i="22" a="1"/>
  <c r="W134" i="22" s="1"/>
  <c r="AH134" i="22" s="1" a="1"/>
  <c r="AH134" i="22" s="1"/>
  <c r="X134" i="22" a="1"/>
  <c r="X134" i="22" s="1"/>
  <c r="AI134" i="22" s="1" a="1"/>
  <c r="AI134" i="22" s="1"/>
  <c r="AD134" i="22" a="1"/>
  <c r="AD134" i="22" s="1"/>
  <c r="Q135" i="22" a="1"/>
  <c r="Q135" i="22" s="1"/>
  <c r="R135" i="22" a="1"/>
  <c r="R135" i="22" s="1"/>
  <c r="AC135" i="22" s="1" a="1"/>
  <c r="AC135" i="22" s="1"/>
  <c r="S135" i="22" a="1"/>
  <c r="S135" i="22" s="1"/>
  <c r="AD135" i="22" s="1" a="1"/>
  <c r="AD135" i="22" s="1"/>
  <c r="T135" i="22" a="1"/>
  <c r="T135" i="22" s="1"/>
  <c r="AE135" i="22" s="1" a="1"/>
  <c r="AE135" i="22" s="1"/>
  <c r="U135" i="22" a="1"/>
  <c r="U135" i="22" s="1"/>
  <c r="AF135" i="22" s="1" a="1"/>
  <c r="AF135" i="22" s="1"/>
  <c r="V135" i="22" a="1"/>
  <c r="V135" i="22" s="1"/>
  <c r="AG135" i="22" s="1" a="1"/>
  <c r="AG135" i="22" s="1"/>
  <c r="W135" i="22" a="1"/>
  <c r="W135" i="22" s="1"/>
  <c r="AH135" i="22" s="1" a="1"/>
  <c r="AH135" i="22" s="1"/>
  <c r="X135" i="22" a="1"/>
  <c r="X135" i="22" s="1"/>
  <c r="AI135" i="22" s="1" a="1"/>
  <c r="AI135" i="22" s="1"/>
  <c r="Q136" i="22" a="1"/>
  <c r="Q136" i="22" s="1"/>
  <c r="R136" i="22" a="1"/>
  <c r="R136" i="22" s="1"/>
  <c r="AC136" i="22" s="1" a="1"/>
  <c r="AC136" i="22" s="1"/>
  <c r="S136" i="22" a="1"/>
  <c r="S136" i="22" s="1"/>
  <c r="AD136" i="22" s="1" a="1"/>
  <c r="AD136" i="22" s="1"/>
  <c r="T136" i="22" a="1"/>
  <c r="T136" i="22"/>
  <c r="AE136" i="22" s="1" a="1"/>
  <c r="AE136" i="22" s="1"/>
  <c r="U136" i="22" a="1"/>
  <c r="U136" i="22" s="1"/>
  <c r="AF136" i="22" s="1" a="1"/>
  <c r="AF136" i="22" s="1"/>
  <c r="V136" i="22" a="1"/>
  <c r="V136" i="22" s="1"/>
  <c r="AG136" i="22" s="1" a="1"/>
  <c r="AG136" i="22" s="1"/>
  <c r="W136" i="22" a="1"/>
  <c r="W136" i="22" s="1"/>
  <c r="AH136" i="22" s="1" a="1"/>
  <c r="AH136" i="22" s="1"/>
  <c r="X136" i="22" a="1"/>
  <c r="X136" i="22" s="1"/>
  <c r="AI136" i="22" s="1" a="1"/>
  <c r="AI136" i="22" s="1"/>
  <c r="Q137" i="22" a="1"/>
  <c r="Q137" i="22" s="1"/>
  <c r="R137" i="22" a="1"/>
  <c r="R137" i="22" s="1"/>
  <c r="S137" i="22" a="1"/>
  <c r="S137" i="22" s="1"/>
  <c r="AD137" i="22" s="1" a="1"/>
  <c r="AD137" i="22" s="1"/>
  <c r="T137" i="22" a="1"/>
  <c r="T137" i="22"/>
  <c r="AE137" i="22" s="1" a="1"/>
  <c r="AE137" i="22" s="1"/>
  <c r="U137" i="22" a="1"/>
  <c r="U137" i="22" s="1"/>
  <c r="AF137" i="22" s="1" a="1"/>
  <c r="AF137" i="22" s="1"/>
  <c r="V137" i="22" a="1"/>
  <c r="V137" i="22" s="1"/>
  <c r="AG137" i="22" s="1" a="1"/>
  <c r="AG137" i="22" s="1"/>
  <c r="W137" i="22" a="1"/>
  <c r="W137" i="22" s="1"/>
  <c r="AH137" i="22" s="1" a="1"/>
  <c r="AH137" i="22" s="1"/>
  <c r="X137" i="22" a="1"/>
  <c r="X137" i="22" s="1"/>
  <c r="AI137" i="22" s="1" a="1"/>
  <c r="AI137" i="22" s="1"/>
  <c r="Q138" i="22" a="1"/>
  <c r="Q138" i="22" s="1"/>
  <c r="R138" i="22" a="1"/>
  <c r="R138" i="22" s="1"/>
  <c r="AC138" i="22" s="1" a="1"/>
  <c r="AC138" i="22" s="1"/>
  <c r="S138" i="22" a="1"/>
  <c r="S138" i="22" s="1"/>
  <c r="AD138" i="22" s="1" a="1"/>
  <c r="AD138" i="22" s="1"/>
  <c r="T138" i="22" a="1"/>
  <c r="T138" i="22" s="1"/>
  <c r="AE138" i="22" s="1" a="1"/>
  <c r="AE138" i="22" s="1"/>
  <c r="U138" i="22" a="1"/>
  <c r="U138" i="22" s="1"/>
  <c r="AF138" i="22" s="1" a="1"/>
  <c r="AF138" i="22" s="1"/>
  <c r="V138" i="22" a="1"/>
  <c r="V138" i="22" s="1"/>
  <c r="AG138" i="22" s="1" a="1"/>
  <c r="AG138" i="22" s="1"/>
  <c r="W138" i="22" a="1"/>
  <c r="W138" i="22" s="1"/>
  <c r="AH138" i="22" s="1" a="1"/>
  <c r="AH138" i="22" s="1"/>
  <c r="X138" i="22" a="1"/>
  <c r="X138" i="22"/>
  <c r="AI138" i="22" s="1" a="1"/>
  <c r="AI138" i="22" s="1"/>
  <c r="Q139" i="22" a="1"/>
  <c r="Q139" i="22" s="1"/>
  <c r="R139" i="22" a="1"/>
  <c r="R139" i="22" s="1"/>
  <c r="S139" i="22" a="1"/>
  <c r="S139" i="22" s="1"/>
  <c r="AD139" i="22" s="1" a="1"/>
  <c r="AD139" i="22" s="1"/>
  <c r="T139" i="22" a="1"/>
  <c r="T139" i="22" s="1"/>
  <c r="AE139" i="22" s="1" a="1"/>
  <c r="AE139" i="22" s="1"/>
  <c r="U139" i="22" a="1"/>
  <c r="U139" i="22" s="1"/>
  <c r="AF139" i="22" s="1" a="1"/>
  <c r="AF139" i="22" s="1"/>
  <c r="V139" i="22" a="1"/>
  <c r="V139" i="22" s="1"/>
  <c r="AG139" i="22" s="1" a="1"/>
  <c r="AG139" i="22" s="1"/>
  <c r="W139" i="22" a="1"/>
  <c r="W139" i="22" s="1"/>
  <c r="AH139" i="22" s="1" a="1"/>
  <c r="AH139" i="22" s="1"/>
  <c r="X139" i="22" a="1"/>
  <c r="X139" i="22" s="1"/>
  <c r="AI139" i="22" s="1" a="1"/>
  <c r="AI139" i="22" s="1"/>
  <c r="Q140" i="22" a="1"/>
  <c r="Q140" i="22" s="1"/>
  <c r="R140" i="22" a="1"/>
  <c r="R140" i="22" s="1"/>
  <c r="AC140" i="22" s="1" a="1"/>
  <c r="AC140" i="22" s="1"/>
  <c r="S140" i="22" a="1"/>
  <c r="S140" i="22" s="1"/>
  <c r="AD140" i="22" s="1" a="1"/>
  <c r="AD140" i="22" s="1"/>
  <c r="T140" i="22" a="1"/>
  <c r="T140" i="22" s="1"/>
  <c r="AE140" i="22" s="1" a="1"/>
  <c r="AE140" i="22" s="1"/>
  <c r="U140" i="22" a="1"/>
  <c r="U140" i="22" s="1"/>
  <c r="AF140" i="22" s="1" a="1"/>
  <c r="AF140" i="22" s="1"/>
  <c r="V140" i="22" a="1"/>
  <c r="V140" i="22" s="1"/>
  <c r="AG140" i="22" s="1" a="1"/>
  <c r="AG140" i="22" s="1"/>
  <c r="W140" i="22" a="1"/>
  <c r="W140" i="22" s="1"/>
  <c r="AH140" i="22" s="1" a="1"/>
  <c r="AH140" i="22" s="1"/>
  <c r="X140" i="22" a="1"/>
  <c r="X140" i="22" s="1"/>
  <c r="AI140" i="22" s="1" a="1"/>
  <c r="AI140" i="22" s="1"/>
  <c r="Q141" i="22" a="1"/>
  <c r="Q141" i="22" s="1"/>
  <c r="R141" i="22" a="1"/>
  <c r="R141" i="22" s="1"/>
  <c r="AC141" i="22" s="1" a="1"/>
  <c r="AC141" i="22" s="1"/>
  <c r="S141" i="22" a="1"/>
  <c r="S141" i="22" s="1"/>
  <c r="AD141" i="22" s="1" a="1"/>
  <c r="AD141" i="22" s="1"/>
  <c r="T141" i="22" a="1"/>
  <c r="T141" i="22"/>
  <c r="U141" i="22" a="1"/>
  <c r="U141" i="22" s="1"/>
  <c r="AF141" i="22" s="1" a="1"/>
  <c r="AF141" i="22" s="1"/>
  <c r="V141" i="22" a="1"/>
  <c r="V141" i="22" s="1"/>
  <c r="AG141" i="22" s="1" a="1"/>
  <c r="AG141" i="22" s="1"/>
  <c r="W141" i="22" a="1"/>
  <c r="W141" i="22" s="1"/>
  <c r="AH141" i="22" s="1" a="1"/>
  <c r="AH141" i="22" s="1"/>
  <c r="X141" i="22" a="1"/>
  <c r="X141" i="22"/>
  <c r="AI141" i="22" s="1" a="1"/>
  <c r="AI141" i="22" s="1"/>
  <c r="Q142" i="22" a="1"/>
  <c r="Q142" i="22" s="1"/>
  <c r="R142" i="22" a="1"/>
  <c r="R142" i="22" s="1"/>
  <c r="AC142" i="22" s="1" a="1"/>
  <c r="AC142" i="22" s="1"/>
  <c r="S142" i="22" a="1"/>
  <c r="S142" i="22" s="1"/>
  <c r="AD142" i="22" s="1" a="1"/>
  <c r="AD142" i="22" s="1"/>
  <c r="T142" i="22" a="1"/>
  <c r="T142" i="22" s="1"/>
  <c r="AE142" i="22" s="1" a="1"/>
  <c r="AE142" i="22" s="1"/>
  <c r="U142" i="22" a="1"/>
  <c r="U142" i="22" s="1"/>
  <c r="AF142" i="22" s="1" a="1"/>
  <c r="AF142" i="22" s="1"/>
  <c r="V142" i="22" a="1"/>
  <c r="V142" i="22" s="1"/>
  <c r="AG142" i="22" s="1" a="1"/>
  <c r="AG142" i="22" s="1"/>
  <c r="W142" i="22" a="1"/>
  <c r="W142" i="22" s="1"/>
  <c r="AH142" i="22" s="1" a="1"/>
  <c r="AH142" i="22" s="1"/>
  <c r="X142" i="22" a="1"/>
  <c r="X142" i="22" s="1"/>
  <c r="AI142" i="22" s="1" a="1"/>
  <c r="AI142" i="22" s="1"/>
  <c r="Q143" i="22" a="1"/>
  <c r="Q143" i="22" s="1"/>
  <c r="R143" i="22" a="1"/>
  <c r="R143" i="22" s="1"/>
  <c r="S143" i="22" a="1"/>
  <c r="S143" i="22" s="1"/>
  <c r="AD143" i="22" s="1" a="1"/>
  <c r="AD143" i="22" s="1"/>
  <c r="T143" i="22" a="1"/>
  <c r="T143" i="22" s="1"/>
  <c r="AE143" i="22" s="1" a="1"/>
  <c r="AE143" i="22" s="1"/>
  <c r="U143" i="22" a="1"/>
  <c r="U143" i="22" s="1"/>
  <c r="AF143" i="22" s="1" a="1"/>
  <c r="AF143" i="22" s="1"/>
  <c r="V143" i="22" a="1"/>
  <c r="V143" i="22" s="1"/>
  <c r="AG143" i="22" s="1" a="1"/>
  <c r="AG143" i="22" s="1"/>
  <c r="W143" i="22" a="1"/>
  <c r="W143" i="22" s="1"/>
  <c r="AH143" i="22" s="1" a="1"/>
  <c r="AH143" i="22" s="1"/>
  <c r="X143" i="22" a="1"/>
  <c r="X143" i="22"/>
  <c r="AI143" i="22" s="1" a="1"/>
  <c r="AI143" i="22" s="1"/>
  <c r="Q144" i="22" a="1"/>
  <c r="Q144" i="22" s="1"/>
  <c r="R144" i="22" a="1"/>
  <c r="R144" i="22" s="1"/>
  <c r="AC144" i="22" s="1" a="1"/>
  <c r="AC144" i="22" s="1"/>
  <c r="S144" i="22" a="1"/>
  <c r="S144" i="22" s="1"/>
  <c r="AD144" i="22" s="1" a="1"/>
  <c r="AD144" i="22" s="1"/>
  <c r="T144" i="22" a="1"/>
  <c r="T144" i="22" s="1"/>
  <c r="U144" i="22" a="1"/>
  <c r="U144" i="22" s="1"/>
  <c r="AF144" i="22" s="1" a="1"/>
  <c r="AF144" i="22" s="1"/>
  <c r="V144" i="22" a="1"/>
  <c r="V144" i="22" s="1"/>
  <c r="AG144" i="22" s="1" a="1"/>
  <c r="AG144" i="22" s="1"/>
  <c r="W144" i="22" a="1"/>
  <c r="W144" i="22" s="1"/>
  <c r="AH144" i="22" s="1" a="1"/>
  <c r="AH144" i="22" s="1"/>
  <c r="X144" i="22" a="1"/>
  <c r="X144" i="22" s="1"/>
  <c r="AI144" i="22" s="1" a="1"/>
  <c r="AI144" i="22" s="1"/>
  <c r="Q145" i="22" a="1"/>
  <c r="Q145" i="22" s="1"/>
  <c r="R145" i="22" a="1"/>
  <c r="R145" i="22" s="1"/>
  <c r="AC145" i="22" s="1" a="1"/>
  <c r="AC145" i="22" s="1"/>
  <c r="S145" i="22" a="1"/>
  <c r="S145" i="22" s="1"/>
  <c r="AD145" i="22" s="1" a="1"/>
  <c r="AD145" i="22" s="1"/>
  <c r="T145" i="22" a="1"/>
  <c r="T145" i="22" s="1"/>
  <c r="AE145" i="22" s="1" a="1"/>
  <c r="AE145" i="22" s="1"/>
  <c r="U145" i="22" a="1"/>
  <c r="U145" i="22" s="1"/>
  <c r="AF145" i="22" s="1" a="1"/>
  <c r="AF145" i="22" s="1"/>
  <c r="V145" i="22" a="1"/>
  <c r="V145" i="22"/>
  <c r="AG145" i="22" s="1" a="1"/>
  <c r="AG145" i="22" s="1"/>
  <c r="W145" i="22" a="1"/>
  <c r="W145" i="22" s="1"/>
  <c r="X145" i="22" a="1"/>
  <c r="X145" i="22" s="1"/>
  <c r="AI145" i="22" s="1" a="1"/>
  <c r="AI145" i="22" s="1"/>
  <c r="Q146" i="22" a="1"/>
  <c r="Q146" i="22" s="1"/>
  <c r="R146" i="22" a="1"/>
  <c r="R146" i="22" s="1"/>
  <c r="AC146" i="22" s="1" a="1"/>
  <c r="AC146" i="22" s="1"/>
  <c r="S146" i="22" a="1"/>
  <c r="S146" i="22" s="1"/>
  <c r="T146" i="22" a="1"/>
  <c r="T146" i="22" s="1"/>
  <c r="AE146" i="22" s="1" a="1"/>
  <c r="AE146" i="22" s="1"/>
  <c r="U146" i="22" a="1"/>
  <c r="U146" i="22" s="1"/>
  <c r="AF146" i="22" s="1" a="1"/>
  <c r="AF146" i="22" s="1"/>
  <c r="V146" i="22" a="1"/>
  <c r="V146" i="22" s="1"/>
  <c r="AG146" i="22" s="1" a="1"/>
  <c r="AG146" i="22" s="1"/>
  <c r="W146" i="22" a="1"/>
  <c r="W146" i="22" s="1"/>
  <c r="AH146" i="22" s="1" a="1"/>
  <c r="AH146" i="22" s="1"/>
  <c r="X146" i="22" a="1"/>
  <c r="X146" i="22" s="1"/>
  <c r="AI146" i="22" a="1"/>
  <c r="AI146" i="22" s="1"/>
  <c r="Q147" i="22" a="1"/>
  <c r="Q147" i="22" s="1"/>
  <c r="R147" i="22" a="1"/>
  <c r="R147" i="22"/>
  <c r="AC147" i="22" s="1" a="1"/>
  <c r="AC147" i="22" s="1"/>
  <c r="S147" i="22" a="1"/>
  <c r="S147" i="22" s="1"/>
  <c r="AD147" i="22" s="1" a="1"/>
  <c r="AD147" i="22" s="1"/>
  <c r="T147" i="22" a="1"/>
  <c r="T147" i="22" s="1"/>
  <c r="AE147" i="22" s="1" a="1"/>
  <c r="AE147" i="22" s="1"/>
  <c r="U147" i="22" a="1"/>
  <c r="U147" i="22" s="1"/>
  <c r="AF147" i="22" s="1" a="1"/>
  <c r="AF147" i="22" s="1"/>
  <c r="V147" i="22" a="1"/>
  <c r="V147" i="22" s="1"/>
  <c r="AG147" i="22" s="1" a="1"/>
  <c r="W147" i="22" a="1"/>
  <c r="W147" i="22" s="1"/>
  <c r="AH147" i="22" s="1" a="1"/>
  <c r="AH147" i="22" s="1"/>
  <c r="X147" i="22" a="1"/>
  <c r="X147" i="22" s="1"/>
  <c r="AI147" i="22" s="1" a="1"/>
  <c r="AI147" i="22" s="1"/>
  <c r="AG147" i="22"/>
  <c r="Q148" i="22" a="1"/>
  <c r="Q148" i="22" s="1"/>
  <c r="R148" i="22" a="1"/>
  <c r="R148" i="22" s="1"/>
  <c r="AC148" i="22" s="1" a="1"/>
  <c r="AC148" i="22" s="1"/>
  <c r="S148" i="22" a="1"/>
  <c r="S148" i="22"/>
  <c r="AD148" i="22" s="1" a="1"/>
  <c r="AD148" i="22" s="1"/>
  <c r="T148" i="22" a="1"/>
  <c r="T148" i="22" s="1"/>
  <c r="AE148" i="22" s="1" a="1"/>
  <c r="AE148" i="22" s="1"/>
  <c r="U148" i="22" a="1"/>
  <c r="U148" i="22" s="1"/>
  <c r="AF148" i="22" s="1" a="1"/>
  <c r="AF148" i="22" s="1"/>
  <c r="V148" i="22" a="1"/>
  <c r="V148" i="22" s="1"/>
  <c r="AG148" i="22" s="1" a="1"/>
  <c r="AG148" i="22" s="1"/>
  <c r="W148" i="22" a="1"/>
  <c r="W148" i="22" s="1"/>
  <c r="AH148" i="22" s="1" a="1"/>
  <c r="AH148" i="22" s="1"/>
  <c r="X148" i="22" a="1"/>
  <c r="X148" i="22" s="1"/>
  <c r="AI148" i="22" s="1" a="1"/>
  <c r="AI148" i="22" s="1"/>
  <c r="Q149" i="22" a="1"/>
  <c r="Q149" i="22" s="1"/>
  <c r="R149" i="22" a="1"/>
  <c r="R149" i="22" s="1"/>
  <c r="S149" i="22" a="1"/>
  <c r="S149" i="22" s="1"/>
  <c r="AD149" i="22" s="1" a="1"/>
  <c r="AD149" i="22" s="1"/>
  <c r="T149" i="22" a="1"/>
  <c r="T149" i="22" s="1"/>
  <c r="AE149" i="22" s="1" a="1"/>
  <c r="AE149" i="22" s="1"/>
  <c r="U149" i="22" a="1"/>
  <c r="U149" i="22"/>
  <c r="AF149" i="22" s="1" a="1"/>
  <c r="AF149" i="22" s="1"/>
  <c r="V149" i="22" a="1"/>
  <c r="V149" i="22"/>
  <c r="AG149" i="22" s="1" a="1"/>
  <c r="AG149" i="22" s="1"/>
  <c r="W149" i="22" a="1"/>
  <c r="W149" i="22" s="1"/>
  <c r="AH149" i="22" s="1" a="1"/>
  <c r="AH149" i="22" s="1"/>
  <c r="X149" i="22" a="1"/>
  <c r="X149" i="22" s="1"/>
  <c r="AI149" i="22" s="1" a="1"/>
  <c r="AI149" i="22" s="1"/>
  <c r="Q150" i="22" a="1"/>
  <c r="Q150" i="22" s="1"/>
  <c r="R150" i="22" a="1"/>
  <c r="R150" i="22" s="1"/>
  <c r="AC150" i="22" s="1" a="1"/>
  <c r="AC150" i="22" s="1"/>
  <c r="S150" i="22" a="1"/>
  <c r="S150" i="22" s="1"/>
  <c r="AD150" i="22" s="1" a="1"/>
  <c r="AD150" i="22" s="1"/>
  <c r="T150" i="22" a="1"/>
  <c r="T150" i="22" s="1"/>
  <c r="AE150" i="22" s="1" a="1"/>
  <c r="AE150" i="22" s="1"/>
  <c r="U150" i="22" a="1"/>
  <c r="U150" i="22" s="1"/>
  <c r="AF150" i="22" s="1" a="1"/>
  <c r="AF150" i="22" s="1"/>
  <c r="V150" i="22" a="1"/>
  <c r="V150" i="22" s="1"/>
  <c r="AG150" i="22" s="1" a="1"/>
  <c r="AG150" i="22" s="1"/>
  <c r="W150" i="22" a="1"/>
  <c r="W150" i="22" s="1"/>
  <c r="AH150" i="22" s="1" a="1"/>
  <c r="AH150" i="22" s="1"/>
  <c r="X150" i="22" a="1"/>
  <c r="X150" i="22" s="1"/>
  <c r="AI150" i="22" s="1" a="1"/>
  <c r="AI150" i="22" s="1"/>
  <c r="Q151" i="22" a="1"/>
  <c r="Q151" i="22" s="1"/>
  <c r="R151" i="22" a="1"/>
  <c r="R151" i="22"/>
  <c r="S151" i="22" a="1"/>
  <c r="S151" i="22"/>
  <c r="AD151" i="22" s="1" a="1"/>
  <c r="AD151" i="22" s="1"/>
  <c r="T151" i="22" a="1"/>
  <c r="T151" i="22" s="1"/>
  <c r="AE151" i="22" s="1" a="1"/>
  <c r="AE151" i="22" s="1"/>
  <c r="U151" i="22" a="1"/>
  <c r="U151" i="22" s="1"/>
  <c r="AF151" i="22" s="1" a="1"/>
  <c r="AF151" i="22" s="1"/>
  <c r="V151" i="22" a="1"/>
  <c r="V151" i="22" s="1"/>
  <c r="AG151" i="22" s="1" a="1"/>
  <c r="AG151" i="22" s="1"/>
  <c r="W151" i="22" a="1"/>
  <c r="W151" i="22" s="1"/>
  <c r="AH151" i="22" s="1" a="1"/>
  <c r="AH151" i="22" s="1"/>
  <c r="X151" i="22" a="1"/>
  <c r="X151" i="22" s="1"/>
  <c r="AI151" i="22" s="1" a="1"/>
  <c r="AI151" i="22" s="1"/>
  <c r="Q152" i="22" a="1"/>
  <c r="Q152" i="22" s="1"/>
  <c r="R152" i="22" a="1"/>
  <c r="R152" i="22" s="1"/>
  <c r="AC152" i="22" s="1" a="1"/>
  <c r="AC152" i="22" s="1"/>
  <c r="S152" i="22" a="1"/>
  <c r="S152" i="22" s="1"/>
  <c r="AD152" i="22" s="1" a="1"/>
  <c r="AD152" i="22" s="1"/>
  <c r="T152" i="22" a="1"/>
  <c r="T152" i="22" s="1"/>
  <c r="AE152" i="22" s="1" a="1"/>
  <c r="AE152" i="22" s="1"/>
  <c r="U152" i="22" a="1"/>
  <c r="U152" i="22" s="1"/>
  <c r="AF152" i="22" s="1" a="1"/>
  <c r="AF152" i="22" s="1"/>
  <c r="V152" i="22" a="1"/>
  <c r="V152" i="22" s="1"/>
  <c r="AG152" i="22" s="1" a="1"/>
  <c r="AG152" i="22" s="1"/>
  <c r="W152" i="22" a="1"/>
  <c r="W152" i="22" s="1"/>
  <c r="AH152" i="22" s="1" a="1"/>
  <c r="AH152" i="22" s="1"/>
  <c r="X152" i="22" a="1"/>
  <c r="X152" i="22" s="1"/>
  <c r="AI152" i="22" s="1" a="1"/>
  <c r="AI152" i="22" s="1"/>
  <c r="Q153" i="22" a="1"/>
  <c r="Q153" i="22" s="1"/>
  <c r="R153" i="22" a="1"/>
  <c r="R153" i="22" s="1"/>
  <c r="S153" i="22" a="1"/>
  <c r="S153" i="22" s="1"/>
  <c r="AD153" i="22" s="1" a="1"/>
  <c r="T153" i="22" a="1"/>
  <c r="T153" i="22" s="1"/>
  <c r="AE153" i="22" s="1" a="1"/>
  <c r="AE153" i="22" s="1"/>
  <c r="U153" i="22" a="1"/>
  <c r="U153" i="22" s="1"/>
  <c r="AF153" i="22" s="1" a="1"/>
  <c r="AF153" i="22" s="1"/>
  <c r="V153" i="22" a="1"/>
  <c r="V153" i="22" s="1"/>
  <c r="AG153" i="22" s="1" a="1"/>
  <c r="AG153" i="22" s="1"/>
  <c r="W153" i="22" a="1"/>
  <c r="W153" i="22" s="1"/>
  <c r="AH153" i="22" s="1" a="1"/>
  <c r="AH153" i="22" s="1"/>
  <c r="X153" i="22" a="1"/>
  <c r="X153" i="22"/>
  <c r="AI153" i="22" s="1" a="1"/>
  <c r="AI153" i="22" s="1"/>
  <c r="AD153" i="22"/>
  <c r="Q154" i="22" a="1"/>
  <c r="Q154" i="22" s="1"/>
  <c r="R154" i="22" a="1"/>
  <c r="R154" i="22" s="1"/>
  <c r="AC154" i="22" s="1" a="1"/>
  <c r="AC154" i="22" s="1"/>
  <c r="S154" i="22" a="1"/>
  <c r="S154" i="22" s="1"/>
  <c r="AD154" i="22" s="1" a="1"/>
  <c r="AD154" i="22" s="1"/>
  <c r="T154" i="22" a="1"/>
  <c r="T154" i="22" s="1"/>
  <c r="AE154" i="22" s="1" a="1"/>
  <c r="AE154" i="22" s="1"/>
  <c r="U154" i="22" a="1"/>
  <c r="U154" i="22" s="1"/>
  <c r="AF154" i="22" s="1" a="1"/>
  <c r="AF154" i="22" s="1"/>
  <c r="V154" i="22" a="1"/>
  <c r="V154" i="22" s="1"/>
  <c r="AG154" i="22" s="1" a="1"/>
  <c r="AG154" i="22" s="1"/>
  <c r="W154" i="22" a="1"/>
  <c r="W154" i="22" s="1"/>
  <c r="X154" i="22" a="1"/>
  <c r="X154" i="22" s="1"/>
  <c r="AH154" i="22" a="1"/>
  <c r="AH154" i="22" s="1"/>
  <c r="AI154" i="22" a="1"/>
  <c r="AI154" i="22" s="1"/>
  <c r="Q155" i="22" a="1"/>
  <c r="Q155" i="22" s="1"/>
  <c r="R155" i="22" a="1"/>
  <c r="R155" i="22" s="1"/>
  <c r="AC155" i="22" s="1" a="1"/>
  <c r="AC155" i="22" s="1"/>
  <c r="S155" i="22" a="1"/>
  <c r="S155" i="22" s="1"/>
  <c r="AD155" i="22" s="1" a="1"/>
  <c r="AD155" i="22" s="1"/>
  <c r="T155" i="22" a="1"/>
  <c r="T155" i="22" s="1"/>
  <c r="AE155" i="22" s="1" a="1"/>
  <c r="AE155" i="22" s="1"/>
  <c r="U155" i="22" a="1"/>
  <c r="U155" i="22" s="1"/>
  <c r="AF155" i="22" s="1" a="1"/>
  <c r="AF155" i="22" s="1"/>
  <c r="V155" i="22" a="1"/>
  <c r="V155" i="22" s="1"/>
  <c r="AG155" i="22" s="1" a="1"/>
  <c r="AG155" i="22" s="1"/>
  <c r="W155" i="22" a="1"/>
  <c r="W155" i="22" s="1"/>
  <c r="AH155" i="22" s="1" a="1"/>
  <c r="AH155" i="22" s="1"/>
  <c r="X155" i="22" a="1"/>
  <c r="X155" i="22" s="1"/>
  <c r="AI155" i="22" s="1" a="1"/>
  <c r="AI155" i="22" s="1"/>
  <c r="Q156" i="22" a="1"/>
  <c r="Q156" i="22" s="1"/>
  <c r="R156" i="22" a="1"/>
  <c r="R156" i="22" s="1"/>
  <c r="AC156" i="22" s="1" a="1"/>
  <c r="AC156" i="22" s="1"/>
  <c r="S156" i="22" a="1"/>
  <c r="S156" i="22"/>
  <c r="T156" i="22" a="1"/>
  <c r="T156" i="22"/>
  <c r="AE156" i="22" s="1" a="1"/>
  <c r="AE156" i="22" s="1"/>
  <c r="U156" i="22" a="1"/>
  <c r="U156" i="22" s="1"/>
  <c r="AF156" i="22" s="1" a="1"/>
  <c r="AF156" i="22" s="1"/>
  <c r="V156" i="22" a="1"/>
  <c r="V156" i="22" s="1"/>
  <c r="AG156" i="22" s="1" a="1"/>
  <c r="AG156" i="22" s="1"/>
  <c r="W156" i="22" a="1"/>
  <c r="W156" i="22" s="1"/>
  <c r="AH156" i="22" s="1" a="1"/>
  <c r="AH156" i="22" s="1"/>
  <c r="X156" i="22" a="1"/>
  <c r="X156" i="22" s="1"/>
  <c r="AI156" i="22" s="1" a="1"/>
  <c r="AI156" i="22" s="1"/>
  <c r="Q157" i="22" a="1"/>
  <c r="Q157" i="22" s="1"/>
  <c r="R157" i="22" a="1"/>
  <c r="R157" i="22" s="1"/>
  <c r="AC157" i="22" s="1" a="1"/>
  <c r="AC157" i="22" s="1"/>
  <c r="S157" i="22" a="1"/>
  <c r="S157" i="22" s="1"/>
  <c r="AD157" i="22" s="1" a="1"/>
  <c r="AD157" i="22" s="1"/>
  <c r="T157" i="22" a="1"/>
  <c r="T157" i="22" s="1"/>
  <c r="AE157" i="22" s="1" a="1"/>
  <c r="AE157" i="22" s="1"/>
  <c r="U157" i="22" a="1"/>
  <c r="U157" i="22" s="1"/>
  <c r="V157" i="22" a="1"/>
  <c r="V157" i="22" s="1"/>
  <c r="AG157" i="22" s="1" a="1"/>
  <c r="AG157" i="22" s="1"/>
  <c r="W157" i="22" a="1"/>
  <c r="W157" i="22" s="1"/>
  <c r="AH157" i="22" s="1" a="1"/>
  <c r="AH157" i="22" s="1"/>
  <c r="X157" i="22" a="1"/>
  <c r="X157" i="22" s="1"/>
  <c r="AI157" i="22" s="1" a="1"/>
  <c r="AI157" i="22"/>
  <c r="Q158" i="22" a="1"/>
  <c r="Q158" i="22" s="1"/>
  <c r="R158" i="22" a="1"/>
  <c r="R158" i="22" s="1"/>
  <c r="AC158" i="22" s="1" a="1"/>
  <c r="AC158" i="22" s="1"/>
  <c r="S158" i="22" a="1"/>
  <c r="S158" i="22" s="1"/>
  <c r="AD158" i="22" s="1" a="1"/>
  <c r="AD158" i="22" s="1"/>
  <c r="T158" i="22" a="1"/>
  <c r="T158" i="22"/>
  <c r="AE158" i="22" s="1" a="1"/>
  <c r="AE158" i="22" s="1"/>
  <c r="U158" i="22" a="1"/>
  <c r="U158" i="22" s="1"/>
  <c r="AF158" i="22" s="1" a="1"/>
  <c r="AF158" i="22" s="1"/>
  <c r="V158" i="22" a="1"/>
  <c r="V158" i="22"/>
  <c r="AG158" i="22" s="1" a="1"/>
  <c r="AG158" i="22" s="1"/>
  <c r="W158" i="22" a="1"/>
  <c r="W158" i="22" s="1"/>
  <c r="AH158" i="22" s="1" a="1"/>
  <c r="AH158" i="22" s="1"/>
  <c r="X158" i="22" a="1"/>
  <c r="X158" i="22" s="1"/>
  <c r="AI158" i="22" s="1" a="1"/>
  <c r="AI158" i="22" s="1"/>
  <c r="Q159" i="22" a="1"/>
  <c r="Q159" i="22" s="1"/>
  <c r="R159" i="22" a="1"/>
  <c r="R159" i="22" s="1"/>
  <c r="AC159" i="22" s="1" a="1"/>
  <c r="AC159" i="22" s="1"/>
  <c r="S159" i="22" a="1"/>
  <c r="S159" i="22" s="1"/>
  <c r="AD159" i="22" s="1" a="1"/>
  <c r="AD159" i="22" s="1"/>
  <c r="T159" i="22" a="1"/>
  <c r="T159" i="22" s="1"/>
  <c r="AE159" i="22" s="1" a="1"/>
  <c r="AE159" i="22" s="1"/>
  <c r="U159" i="22" a="1"/>
  <c r="U159" i="22" s="1"/>
  <c r="AF159" i="22" s="1" a="1"/>
  <c r="AF159" i="22" s="1"/>
  <c r="V159" i="22" a="1"/>
  <c r="V159" i="22" s="1"/>
  <c r="AG159" i="22" s="1" a="1"/>
  <c r="AG159" i="22" s="1"/>
  <c r="W159" i="22" a="1"/>
  <c r="W159" i="22" s="1"/>
  <c r="X159" i="22" a="1"/>
  <c r="X159" i="22" s="1"/>
  <c r="AI159" i="22" s="1" a="1"/>
  <c r="AI159" i="22" s="1"/>
  <c r="AH159" i="22" a="1"/>
  <c r="AH159" i="22" s="1"/>
  <c r="Q160" i="22" a="1"/>
  <c r="Q160" i="22" s="1"/>
  <c r="R160" i="22" a="1"/>
  <c r="R160" i="22" s="1"/>
  <c r="AC160" i="22" s="1" a="1"/>
  <c r="AC160" i="22" s="1"/>
  <c r="S160" i="22" a="1"/>
  <c r="S160" i="22" s="1"/>
  <c r="AD160" i="22" s="1" a="1"/>
  <c r="AD160" i="22" s="1"/>
  <c r="T160" i="22" a="1"/>
  <c r="T160" i="22" s="1"/>
  <c r="U160" i="22" a="1"/>
  <c r="U160" i="22" s="1"/>
  <c r="AF160" i="22" s="1" a="1"/>
  <c r="AF160" i="22" s="1"/>
  <c r="V160" i="22" a="1"/>
  <c r="V160" i="22" s="1"/>
  <c r="AG160" i="22" s="1" a="1"/>
  <c r="AG160" i="22" s="1"/>
  <c r="W160" i="22" a="1"/>
  <c r="W160" i="22" s="1"/>
  <c r="AH160" i="22" s="1" a="1"/>
  <c r="AH160" i="22" s="1"/>
  <c r="X160" i="22" a="1"/>
  <c r="X160" i="22" s="1"/>
  <c r="AI160" i="22" s="1" a="1"/>
  <c r="AI160" i="22" s="1"/>
  <c r="Q161" i="22" a="1"/>
  <c r="Q161" i="22" s="1"/>
  <c r="R161" i="22" a="1"/>
  <c r="R161" i="22" s="1"/>
  <c r="AC161" i="22" s="1" a="1"/>
  <c r="AC161" i="22" s="1"/>
  <c r="S161" i="22" a="1"/>
  <c r="S161" i="22" s="1"/>
  <c r="AD161" i="22" s="1" a="1"/>
  <c r="AD161" i="22" s="1"/>
  <c r="T161" i="22" a="1"/>
  <c r="T161" i="22" s="1"/>
  <c r="AE161" i="22" s="1" a="1"/>
  <c r="AE161" i="22" s="1"/>
  <c r="U161" i="22" a="1"/>
  <c r="U161" i="22" s="1"/>
  <c r="AF161" i="22" s="1" a="1"/>
  <c r="AF161" i="22" s="1"/>
  <c r="V161" i="22" a="1"/>
  <c r="V161" i="22" s="1"/>
  <c r="AG161" i="22" s="1" a="1"/>
  <c r="AG161" i="22" s="1"/>
  <c r="W161" i="22" a="1"/>
  <c r="W161" i="22" s="1"/>
  <c r="AH161" i="22" s="1" a="1"/>
  <c r="AH161" i="22" s="1"/>
  <c r="X161" i="22" a="1"/>
  <c r="X161" i="22"/>
  <c r="AI161" i="22" s="1" a="1"/>
  <c r="AI161" i="22" s="1"/>
  <c r="Q162" i="22" a="1"/>
  <c r="Q162" i="22" s="1"/>
  <c r="R162" i="22" a="1"/>
  <c r="R162" i="22" s="1"/>
  <c r="AC162" i="22" s="1" a="1"/>
  <c r="AC162" i="22" s="1"/>
  <c r="S162" i="22" a="1"/>
  <c r="S162" i="22" s="1"/>
  <c r="AD162" i="22" s="1" a="1"/>
  <c r="AD162" i="22" s="1"/>
  <c r="T162" i="22" a="1"/>
  <c r="T162" i="22" s="1"/>
  <c r="AE162" i="22" s="1" a="1"/>
  <c r="AE162" i="22" s="1"/>
  <c r="U162" i="22" a="1"/>
  <c r="U162" i="22" s="1"/>
  <c r="AF162" i="22" s="1" a="1"/>
  <c r="AF162" i="22" s="1"/>
  <c r="V162" i="22" a="1"/>
  <c r="V162" i="22" s="1"/>
  <c r="AG162" i="22" s="1" a="1"/>
  <c r="AG162" i="22" s="1"/>
  <c r="W162" i="22" a="1"/>
  <c r="W162" i="22" s="1"/>
  <c r="AH162" i="22" s="1" a="1"/>
  <c r="AH162" i="22" s="1"/>
  <c r="X162" i="22" a="1"/>
  <c r="X162" i="22" s="1"/>
  <c r="AI162" i="22" s="1" a="1"/>
  <c r="AI162" i="22" s="1"/>
  <c r="Q163" i="22" a="1"/>
  <c r="Q163" i="22" s="1"/>
  <c r="R163" i="22" a="1"/>
  <c r="R163" i="22" s="1"/>
  <c r="AC163" i="22" s="1" a="1"/>
  <c r="AC163" i="22" s="1"/>
  <c r="S163" i="22" a="1"/>
  <c r="S163" i="22" s="1"/>
  <c r="T163" i="22" a="1"/>
  <c r="T163" i="22" s="1"/>
  <c r="AE163" i="22" s="1" a="1"/>
  <c r="U163" i="22" a="1"/>
  <c r="U163" i="22" s="1"/>
  <c r="AF163" i="22" s="1" a="1"/>
  <c r="AF163" i="22" s="1"/>
  <c r="V163" i="22" a="1"/>
  <c r="V163" i="22"/>
  <c r="AG163" i="22" s="1" a="1"/>
  <c r="AG163" i="22" s="1"/>
  <c r="W163" i="22" a="1"/>
  <c r="W163" i="22"/>
  <c r="AH163" i="22" s="1" a="1"/>
  <c r="AH163" i="22" s="1"/>
  <c r="X163" i="22" a="1"/>
  <c r="X163" i="22" s="1"/>
  <c r="AI163" i="22" s="1" a="1"/>
  <c r="AI163" i="22" s="1"/>
  <c r="AE163" i="22"/>
  <c r="Q164" i="22" a="1"/>
  <c r="Q164" i="22" s="1"/>
  <c r="R164" i="22" a="1"/>
  <c r="R164" i="22" s="1"/>
  <c r="AC164" i="22" s="1" a="1"/>
  <c r="AC164" i="22" s="1"/>
  <c r="S164" i="22" a="1"/>
  <c r="S164" i="22" s="1"/>
  <c r="AD164" i="22" s="1" a="1"/>
  <c r="AD164" i="22" s="1"/>
  <c r="T164" i="22" a="1"/>
  <c r="T164" i="22" s="1"/>
  <c r="U164" i="22" a="1"/>
  <c r="U164" i="22" s="1"/>
  <c r="AF164" i="22" s="1" a="1"/>
  <c r="AF164" i="22" s="1"/>
  <c r="V164" i="22" a="1"/>
  <c r="V164" i="22"/>
  <c r="AG164" i="22" s="1" a="1"/>
  <c r="AG164" i="22" s="1"/>
  <c r="W164" i="22" a="1"/>
  <c r="W164" i="22" s="1"/>
  <c r="AH164" i="22" s="1" a="1"/>
  <c r="AH164" i="22" s="1"/>
  <c r="X164" i="22" a="1"/>
  <c r="X164" i="22" s="1"/>
  <c r="AI164" i="22" s="1" a="1"/>
  <c r="AI164" i="22" s="1"/>
  <c r="Q165" i="22" a="1"/>
  <c r="Q165" i="22" s="1"/>
  <c r="R165" i="22" a="1"/>
  <c r="R165" i="22" s="1"/>
  <c r="AC165" i="22" s="1" a="1"/>
  <c r="AC165" i="22" s="1"/>
  <c r="S165" i="22" a="1"/>
  <c r="S165" i="22" s="1"/>
  <c r="AD165" i="22" s="1" a="1"/>
  <c r="AD165" i="22" s="1"/>
  <c r="T165" i="22" a="1"/>
  <c r="T165" i="22" s="1"/>
  <c r="U165" i="22" a="1"/>
  <c r="U165" i="22"/>
  <c r="AF165" i="22" s="1" a="1"/>
  <c r="AF165" i="22" s="1"/>
  <c r="V165" i="22" a="1"/>
  <c r="V165" i="22" s="1"/>
  <c r="AG165" i="22" s="1" a="1"/>
  <c r="AG165" i="22" s="1"/>
  <c r="W165" i="22" a="1"/>
  <c r="W165" i="22" s="1"/>
  <c r="AH165" i="22" s="1" a="1"/>
  <c r="AH165" i="22" s="1"/>
  <c r="X165" i="22" a="1"/>
  <c r="X165" i="22" s="1"/>
  <c r="AI165" i="22" s="1" a="1"/>
  <c r="AI165" i="22" s="1"/>
  <c r="Q166" i="22" a="1"/>
  <c r="Q166" i="22" s="1"/>
  <c r="R166" i="22" a="1"/>
  <c r="R166" i="22" s="1"/>
  <c r="AC166" i="22" s="1" a="1"/>
  <c r="AC166" i="22" s="1"/>
  <c r="S166" i="22" a="1"/>
  <c r="S166" i="22"/>
  <c r="AD166" i="22" s="1" a="1"/>
  <c r="AD166" i="22" s="1"/>
  <c r="T166" i="22" a="1"/>
  <c r="T166" i="22" s="1"/>
  <c r="AE166" i="22" s="1" a="1"/>
  <c r="AE166" i="22" s="1"/>
  <c r="U166" i="22" a="1"/>
  <c r="U166" i="22" s="1"/>
  <c r="AF166" i="22" s="1" a="1"/>
  <c r="AF166" i="22" s="1"/>
  <c r="V166" i="22" a="1"/>
  <c r="V166" i="22" s="1"/>
  <c r="AG166" i="22" s="1" a="1"/>
  <c r="AG166" i="22" s="1"/>
  <c r="W166" i="22" a="1"/>
  <c r="W166" i="22" s="1"/>
  <c r="AH166" i="22" s="1" a="1"/>
  <c r="AH166" i="22" s="1"/>
  <c r="X166" i="22" a="1"/>
  <c r="X166" i="22" s="1"/>
  <c r="Q167" i="22" a="1"/>
  <c r="Q167" i="22" s="1"/>
  <c r="R167" i="22" a="1"/>
  <c r="R167" i="22" s="1"/>
  <c r="S167" i="22" a="1"/>
  <c r="S167" i="22" s="1"/>
  <c r="AD167" i="22" s="1" a="1"/>
  <c r="AD167" i="22" s="1"/>
  <c r="T167" i="22" a="1"/>
  <c r="T167" i="22" s="1"/>
  <c r="AE167" i="22" s="1" a="1"/>
  <c r="AE167" i="22" s="1"/>
  <c r="U167" i="22" a="1"/>
  <c r="U167" i="22" s="1"/>
  <c r="AF167" i="22" s="1" a="1"/>
  <c r="AF167" i="22" s="1"/>
  <c r="V167" i="22" a="1"/>
  <c r="V167" i="22" s="1"/>
  <c r="AG167" i="22" s="1" a="1"/>
  <c r="AG167" i="22" s="1"/>
  <c r="W167" i="22" a="1"/>
  <c r="W167" i="22" s="1"/>
  <c r="AH167" i="22" s="1" a="1"/>
  <c r="AH167" i="22" s="1"/>
  <c r="X167" i="22" a="1"/>
  <c r="X167" i="22" s="1"/>
  <c r="AI167" i="22" s="1" a="1"/>
  <c r="AI167" i="22" s="1"/>
  <c r="Q168" i="22" a="1"/>
  <c r="Q168" i="22" s="1"/>
  <c r="R168" i="22" a="1"/>
  <c r="R168" i="22" s="1"/>
  <c r="AC168" i="22" s="1" a="1"/>
  <c r="AC168" i="22" s="1"/>
  <c r="S168" i="22" a="1"/>
  <c r="S168" i="22" s="1"/>
  <c r="AD168" i="22" s="1" a="1"/>
  <c r="AD168" i="22" s="1"/>
  <c r="T168" i="22" a="1"/>
  <c r="T168" i="22"/>
  <c r="AE168" i="22" s="1" a="1"/>
  <c r="AE168" i="22" s="1"/>
  <c r="U168" i="22" a="1"/>
  <c r="U168" i="22" s="1"/>
  <c r="AF168" i="22" s="1" a="1"/>
  <c r="AF168" i="22" s="1"/>
  <c r="V168" i="22" a="1"/>
  <c r="V168" i="22" s="1"/>
  <c r="AG168" i="22" s="1" a="1"/>
  <c r="AG168" i="22" s="1"/>
  <c r="W168" i="22" a="1"/>
  <c r="W168" i="22" s="1"/>
  <c r="AH168" i="22" s="1" a="1"/>
  <c r="AH168" i="22" s="1"/>
  <c r="X168" i="22" a="1"/>
  <c r="X168" i="22" s="1"/>
  <c r="AI168" i="22" s="1" a="1"/>
  <c r="AI168" i="22" s="1"/>
  <c r="Q169" i="22" a="1"/>
  <c r="Q169" i="22" s="1"/>
  <c r="R169" i="22" a="1"/>
  <c r="R169" i="22" s="1"/>
  <c r="AC169" i="22" s="1" a="1"/>
  <c r="AC169" i="22" s="1"/>
  <c r="S169" i="22" a="1"/>
  <c r="S169" i="22" s="1"/>
  <c r="AD169" i="22" s="1" a="1"/>
  <c r="AD169" i="22" s="1"/>
  <c r="T169" i="22" a="1"/>
  <c r="T169" i="22" s="1"/>
  <c r="AE169" i="22" s="1" a="1"/>
  <c r="AE169" i="22" s="1"/>
  <c r="U169" i="22" a="1"/>
  <c r="U169" i="22" s="1"/>
  <c r="AF169" i="22" s="1" a="1"/>
  <c r="AF169" i="22" s="1"/>
  <c r="V169" i="22" a="1"/>
  <c r="V169" i="22" s="1"/>
  <c r="AG169" i="22" s="1" a="1"/>
  <c r="W169" i="22" a="1"/>
  <c r="W169" i="22" s="1"/>
  <c r="AH169" i="22" s="1" a="1"/>
  <c r="AH169" i="22" s="1"/>
  <c r="X169" i="22" a="1"/>
  <c r="X169" i="22" s="1"/>
  <c r="AI169" i="22" s="1" a="1"/>
  <c r="AI169" i="22" s="1"/>
  <c r="AG169" i="22"/>
  <c r="Q170" i="22" a="1"/>
  <c r="Q170" i="22" s="1"/>
  <c r="R170" i="22" a="1"/>
  <c r="R170" i="22" s="1"/>
  <c r="AC170" i="22" s="1" a="1"/>
  <c r="AC170" i="22" s="1"/>
  <c r="S170" i="22" a="1"/>
  <c r="S170" i="22" s="1"/>
  <c r="AD170" i="22" s="1" a="1"/>
  <c r="AD170" i="22" s="1"/>
  <c r="T170" i="22" a="1"/>
  <c r="T170" i="22" s="1"/>
  <c r="AE170" i="22" s="1" a="1"/>
  <c r="AE170" i="22" s="1"/>
  <c r="U170" i="22" a="1"/>
  <c r="U170" i="22" s="1"/>
  <c r="AF170" i="22" s="1" a="1"/>
  <c r="AF170" i="22" s="1"/>
  <c r="V170" i="22" a="1"/>
  <c r="V170" i="22" s="1"/>
  <c r="AG170" i="22" s="1" a="1"/>
  <c r="AG170" i="22" s="1"/>
  <c r="W170" i="22" a="1"/>
  <c r="W170" i="22" s="1"/>
  <c r="AH170" i="22" s="1" a="1"/>
  <c r="AH170" i="22" s="1"/>
  <c r="X170" i="22" a="1"/>
  <c r="X170" i="22" s="1"/>
  <c r="AI170" i="22" s="1" a="1"/>
  <c r="AI170" i="22" s="1"/>
  <c r="Q171" i="22" a="1"/>
  <c r="Q171" i="22" s="1"/>
  <c r="R171" i="22" a="1"/>
  <c r="R171" i="22" s="1"/>
  <c r="AC171" i="22" s="1" a="1"/>
  <c r="AC171" i="22" s="1"/>
  <c r="S171" i="22" a="1"/>
  <c r="S171" i="22" s="1"/>
  <c r="AD171" i="22" s="1" a="1"/>
  <c r="AD171" i="22" s="1"/>
  <c r="T171" i="22" a="1"/>
  <c r="T171" i="22" s="1"/>
  <c r="AE171" i="22" s="1" a="1"/>
  <c r="AE171" i="22" s="1"/>
  <c r="U171" i="22" a="1"/>
  <c r="U171" i="22" s="1"/>
  <c r="AF171" i="22" s="1" a="1"/>
  <c r="AF171" i="22" s="1"/>
  <c r="V171" i="22" a="1"/>
  <c r="V171" i="22" s="1"/>
  <c r="AG171" i="22" s="1" a="1"/>
  <c r="AG171" i="22" s="1"/>
  <c r="W171" i="22" a="1"/>
  <c r="W171" i="22" s="1"/>
  <c r="AH171" i="22" s="1" a="1"/>
  <c r="AH171" i="22" s="1"/>
  <c r="X171" i="22" a="1"/>
  <c r="X171" i="22" s="1"/>
  <c r="AI171" i="22" s="1" a="1"/>
  <c r="AI171" i="22" s="1"/>
  <c r="Q172" i="22" a="1"/>
  <c r="Q172" i="22" s="1"/>
  <c r="R172" i="22" a="1"/>
  <c r="R172" i="22" s="1"/>
  <c r="S172" i="22" a="1"/>
  <c r="S172" i="22" s="1"/>
  <c r="AD172" i="22" s="1" a="1"/>
  <c r="AD172" i="22" s="1"/>
  <c r="T172" i="22" a="1"/>
  <c r="T172" i="22" s="1"/>
  <c r="AE172" i="22" s="1" a="1"/>
  <c r="AE172" i="22" s="1"/>
  <c r="U172" i="22" a="1"/>
  <c r="U172" i="22"/>
  <c r="AF172" i="22" s="1" a="1"/>
  <c r="AF172" i="22" s="1"/>
  <c r="V172" i="22" a="1"/>
  <c r="V172" i="22" s="1"/>
  <c r="AG172" i="22" s="1" a="1"/>
  <c r="AG172" i="22" s="1"/>
  <c r="W172" i="22" a="1"/>
  <c r="W172" i="22" s="1"/>
  <c r="AH172" i="22" s="1" a="1"/>
  <c r="AH172" i="22" s="1"/>
  <c r="X172" i="22" a="1"/>
  <c r="X172" i="22" s="1"/>
  <c r="AI172" i="22" s="1" a="1"/>
  <c r="AI172" i="22" s="1"/>
  <c r="Q173" i="22" a="1"/>
  <c r="Q173" i="22" s="1"/>
  <c r="R173" i="22" a="1"/>
  <c r="R173" i="22" s="1"/>
  <c r="AC173" i="22" s="1" a="1"/>
  <c r="AC173" i="22" s="1"/>
  <c r="S173" i="22" a="1"/>
  <c r="S173" i="22" s="1"/>
  <c r="AD173" i="22" s="1" a="1"/>
  <c r="AD173" i="22" s="1"/>
  <c r="T173" i="22" a="1"/>
  <c r="T173" i="22" s="1"/>
  <c r="AE173" i="22" s="1" a="1"/>
  <c r="AE173" i="22" s="1"/>
  <c r="U173" i="22" a="1"/>
  <c r="U173" i="22"/>
  <c r="AF173" i="22" s="1" a="1"/>
  <c r="AF173" i="22" s="1"/>
  <c r="V173" i="22" a="1"/>
  <c r="V173" i="22" s="1"/>
  <c r="AG173" i="22" s="1" a="1"/>
  <c r="AG173" i="22" s="1"/>
  <c r="W173" i="22" a="1"/>
  <c r="W173" i="22" s="1"/>
  <c r="AH173" i="22" s="1" a="1"/>
  <c r="AH173" i="22" s="1"/>
  <c r="X173" i="22" a="1"/>
  <c r="X173" i="22" s="1"/>
  <c r="AI173" i="22" a="1"/>
  <c r="AI173" i="22" s="1"/>
  <c r="Q174" i="22" a="1"/>
  <c r="Q174" i="22" s="1"/>
  <c r="R174" i="22" a="1"/>
  <c r="R174" i="22" s="1"/>
  <c r="AC174" i="22" s="1" a="1"/>
  <c r="AC174" i="22" s="1"/>
  <c r="S174" i="22" a="1"/>
  <c r="S174" i="22" s="1"/>
  <c r="AD174" i="22" s="1" a="1"/>
  <c r="AD174" i="22" s="1"/>
  <c r="T174" i="22" a="1"/>
  <c r="T174" i="22" s="1"/>
  <c r="U174" i="22" a="1"/>
  <c r="U174" i="22" s="1"/>
  <c r="V174" i="22" a="1"/>
  <c r="V174" i="22" s="1"/>
  <c r="AG174" i="22" s="1" a="1"/>
  <c r="AG174" i="22" s="1"/>
  <c r="W174" i="22" a="1"/>
  <c r="W174" i="22" s="1"/>
  <c r="AH174" i="22" s="1" a="1"/>
  <c r="AH174" i="22" s="1"/>
  <c r="X174" i="22" a="1"/>
  <c r="X174" i="22"/>
  <c r="AI174" i="22" s="1" a="1"/>
  <c r="AI174" i="22" s="1"/>
  <c r="AE174" i="22" a="1"/>
  <c r="AE174" i="22" s="1"/>
  <c r="AF174" i="22" a="1"/>
  <c r="AF174" i="22" s="1"/>
  <c r="Q175" i="22" a="1"/>
  <c r="Q175" i="22" s="1"/>
  <c r="R175" i="22" a="1"/>
  <c r="R175" i="22" s="1"/>
  <c r="AC175" i="22" s="1" a="1"/>
  <c r="AC175" i="22" s="1"/>
  <c r="S175" i="22" a="1"/>
  <c r="S175" i="22"/>
  <c r="AD175" i="22" s="1" a="1"/>
  <c r="AD175" i="22" s="1"/>
  <c r="T175" i="22" a="1"/>
  <c r="T175" i="22" s="1"/>
  <c r="AE175" i="22" s="1" a="1"/>
  <c r="AE175" i="22" s="1"/>
  <c r="U175" i="22" a="1"/>
  <c r="U175" i="22" s="1"/>
  <c r="AF175" i="22" s="1" a="1"/>
  <c r="AF175" i="22" s="1"/>
  <c r="V175" i="22" a="1"/>
  <c r="V175" i="22" s="1"/>
  <c r="AG175" i="22" s="1" a="1"/>
  <c r="AG175" i="22" s="1"/>
  <c r="W175" i="22" a="1"/>
  <c r="W175" i="22" s="1"/>
  <c r="AH175" i="22" s="1" a="1"/>
  <c r="AH175" i="22" s="1"/>
  <c r="X175" i="22" a="1"/>
  <c r="X175" i="22" s="1"/>
  <c r="AI175" i="22" s="1" a="1"/>
  <c r="AI175" i="22" s="1"/>
  <c r="Q176" i="22" a="1"/>
  <c r="Q176" i="22" s="1"/>
  <c r="R176" i="22" a="1"/>
  <c r="R176" i="22"/>
  <c r="AC176" i="22" s="1" a="1"/>
  <c r="AC176" i="22" s="1"/>
  <c r="S176" i="22" a="1"/>
  <c r="S176" i="22" s="1"/>
  <c r="AD176" i="22" s="1" a="1"/>
  <c r="AD176" i="22" s="1"/>
  <c r="T176" i="22" a="1"/>
  <c r="T176" i="22" s="1"/>
  <c r="AE176" i="22" s="1" a="1"/>
  <c r="AE176" i="22" s="1"/>
  <c r="U176" i="22" a="1"/>
  <c r="U176" i="22" s="1"/>
  <c r="AF176" i="22" s="1" a="1"/>
  <c r="AF176" i="22" s="1"/>
  <c r="V176" i="22" a="1"/>
  <c r="V176" i="22" s="1"/>
  <c r="AG176" i="22" s="1" a="1"/>
  <c r="AG176" i="22" s="1"/>
  <c r="W176" i="22" a="1"/>
  <c r="W176" i="22" s="1"/>
  <c r="AH176" i="22" s="1" a="1"/>
  <c r="AH176" i="22" s="1"/>
  <c r="X176" i="22" a="1"/>
  <c r="X176" i="22" s="1"/>
  <c r="AI176" i="22" s="1" a="1"/>
  <c r="AI176" i="22" s="1"/>
  <c r="Q177" i="22" a="1"/>
  <c r="Q177" i="22" s="1"/>
  <c r="R177" i="22" a="1"/>
  <c r="R177" i="22" s="1"/>
  <c r="AC177" i="22" s="1" a="1"/>
  <c r="AC177" i="22" s="1"/>
  <c r="S177" i="22" a="1"/>
  <c r="S177" i="22" s="1"/>
  <c r="AD177" i="22" s="1" a="1"/>
  <c r="AD177" i="22" s="1"/>
  <c r="T177" i="22" a="1"/>
  <c r="T177" i="22"/>
  <c r="AE177" i="22" s="1" a="1"/>
  <c r="AE177" i="22" s="1"/>
  <c r="U177" i="22" a="1"/>
  <c r="U177" i="22" s="1"/>
  <c r="AF177" i="22" s="1" a="1"/>
  <c r="AF177" i="22" s="1"/>
  <c r="V177" i="22" a="1"/>
  <c r="V177" i="22"/>
  <c r="AG177" i="22" s="1" a="1"/>
  <c r="AG177" i="22" s="1"/>
  <c r="W177" i="22" a="1"/>
  <c r="W177" i="22" s="1"/>
  <c r="AH177" i="22" s="1" a="1"/>
  <c r="AH177" i="22" s="1"/>
  <c r="X177" i="22" a="1"/>
  <c r="X177" i="22" s="1"/>
  <c r="AI177" i="22" s="1" a="1"/>
  <c r="AI177" i="22" s="1"/>
  <c r="Q178" i="22" a="1"/>
  <c r="Q178" i="22" s="1"/>
  <c r="R178" i="22" a="1"/>
  <c r="R178" i="22" s="1"/>
  <c r="AC178" i="22" s="1" a="1"/>
  <c r="AC178" i="22" s="1"/>
  <c r="S178" i="22" a="1"/>
  <c r="S178" i="22" s="1"/>
  <c r="AD178" i="22" s="1" a="1"/>
  <c r="AD178" i="22" s="1"/>
  <c r="T178" i="22" a="1"/>
  <c r="T178" i="22" s="1"/>
  <c r="U178" i="22" a="1"/>
  <c r="U178" i="22" s="1"/>
  <c r="AF178" i="22" s="1" a="1"/>
  <c r="AF178" i="22" s="1"/>
  <c r="V178" i="22" a="1"/>
  <c r="V178" i="22" s="1"/>
  <c r="AG178" i="22" s="1" a="1"/>
  <c r="AG178" i="22" s="1"/>
  <c r="W178" i="22" a="1"/>
  <c r="W178" i="22" s="1"/>
  <c r="AH178" i="22" s="1" a="1"/>
  <c r="AH178" i="22" s="1"/>
  <c r="X178" i="22" a="1"/>
  <c r="X178" i="22" s="1"/>
  <c r="AI178" i="22" s="1" a="1"/>
  <c r="AI178" i="22" s="1"/>
  <c r="Q179" i="22" a="1"/>
  <c r="Q179" i="22" s="1"/>
  <c r="R179" i="22" a="1"/>
  <c r="R179" i="22" s="1"/>
  <c r="AC179" i="22" s="1" a="1"/>
  <c r="AC179" i="22" s="1"/>
  <c r="S179" i="22" a="1"/>
  <c r="S179" i="22" s="1"/>
  <c r="AD179" i="22" s="1" a="1"/>
  <c r="AD179" i="22" s="1"/>
  <c r="T179" i="22" a="1"/>
  <c r="T179" i="22" s="1"/>
  <c r="AE179" i="22" s="1" a="1"/>
  <c r="AE179" i="22" s="1"/>
  <c r="U179" i="22" a="1"/>
  <c r="U179" i="22" s="1"/>
  <c r="AF179" i="22" s="1" a="1"/>
  <c r="AF179" i="22" s="1"/>
  <c r="V179" i="22" a="1"/>
  <c r="V179" i="22" s="1"/>
  <c r="AG179" i="22" s="1" a="1"/>
  <c r="AG179" i="22" s="1"/>
  <c r="W179" i="22" a="1"/>
  <c r="W179" i="22" s="1"/>
  <c r="AH179" i="22" s="1" a="1"/>
  <c r="AH179" i="22" s="1"/>
  <c r="X179" i="22" a="1"/>
  <c r="X179" i="22" s="1"/>
  <c r="AI179" i="22" s="1" a="1"/>
  <c r="AI179" i="22" s="1"/>
  <c r="Q180" i="22" a="1"/>
  <c r="Q180" i="22"/>
  <c r="R180" i="22" a="1"/>
  <c r="R180" i="22" s="1"/>
  <c r="AC180" i="22" s="1" a="1"/>
  <c r="AC180" i="22" s="1"/>
  <c r="S180" i="22" a="1"/>
  <c r="S180" i="22" s="1"/>
  <c r="AD180" i="22" s="1" a="1"/>
  <c r="AD180" i="22" s="1"/>
  <c r="T180" i="22" a="1"/>
  <c r="T180" i="22" s="1"/>
  <c r="AE180" i="22" s="1" a="1"/>
  <c r="AE180" i="22" s="1"/>
  <c r="U180" i="22" a="1"/>
  <c r="U180" i="22" s="1"/>
  <c r="AF180" i="22" s="1" a="1"/>
  <c r="AF180" i="22" s="1"/>
  <c r="V180" i="22" a="1"/>
  <c r="V180" i="22"/>
  <c r="AG180" i="22" s="1" a="1"/>
  <c r="AG180" i="22" s="1"/>
  <c r="W180" i="22" a="1"/>
  <c r="W180" i="22" s="1"/>
  <c r="AH180" i="22" s="1" a="1"/>
  <c r="AH180" i="22" s="1"/>
  <c r="X180" i="22" a="1"/>
  <c r="X180" i="22" s="1"/>
  <c r="AI180" i="22" s="1" a="1"/>
  <c r="AI180" i="22" s="1"/>
  <c r="Q181" i="22" a="1"/>
  <c r="Q181" i="22" s="1"/>
  <c r="R181" i="22" a="1"/>
  <c r="R181" i="22" s="1"/>
  <c r="AC181" i="22" s="1" a="1"/>
  <c r="AC181" i="22" s="1"/>
  <c r="S181" i="22" a="1"/>
  <c r="S181" i="22" s="1"/>
  <c r="AD181" i="22" s="1" a="1"/>
  <c r="AD181" i="22" s="1"/>
  <c r="T181" i="22" a="1"/>
  <c r="T181" i="22" s="1"/>
  <c r="AE181" i="22" s="1" a="1"/>
  <c r="AE181" i="22" s="1"/>
  <c r="U181" i="22" a="1"/>
  <c r="U181" i="22" s="1"/>
  <c r="AF181" i="22" s="1" a="1"/>
  <c r="AF181" i="22" s="1"/>
  <c r="V181" i="22" a="1"/>
  <c r="V181" i="22" s="1"/>
  <c r="AG181" i="22" s="1" a="1"/>
  <c r="AG181" i="22" s="1"/>
  <c r="W181" i="22" a="1"/>
  <c r="W181" i="22" s="1"/>
  <c r="AH181" i="22" s="1" a="1"/>
  <c r="AH181" i="22" s="1"/>
  <c r="X181" i="22" a="1"/>
  <c r="X181" i="22" s="1"/>
  <c r="AI181" i="22" s="1" a="1"/>
  <c r="AI181" i="22" s="1"/>
  <c r="Q182" i="22" a="1"/>
  <c r="Q182" i="22" s="1"/>
  <c r="R182" i="22" a="1"/>
  <c r="R182" i="22" s="1"/>
  <c r="AC182" i="22" s="1" a="1"/>
  <c r="AC182" i="22" s="1"/>
  <c r="S182" i="22" a="1"/>
  <c r="S182" i="22" s="1"/>
  <c r="AD182" i="22" s="1" a="1"/>
  <c r="AD182" i="22" s="1"/>
  <c r="T182" i="22" a="1"/>
  <c r="T182" i="22" s="1"/>
  <c r="U182" i="22" a="1"/>
  <c r="U182" i="22" s="1"/>
  <c r="V182" i="22" a="1"/>
  <c r="V182" i="22" s="1"/>
  <c r="AG182" i="22" s="1" a="1"/>
  <c r="AG182" i="22" s="1"/>
  <c r="W182" i="22" a="1"/>
  <c r="W182" i="22" s="1"/>
  <c r="AH182" i="22" s="1" a="1"/>
  <c r="AH182" i="22" s="1"/>
  <c r="X182" i="22" a="1"/>
  <c r="X182" i="22"/>
  <c r="AI182" i="22" s="1" a="1"/>
  <c r="AI182" i="22" s="1"/>
  <c r="AE182" i="22" a="1"/>
  <c r="AE182" i="22" s="1"/>
  <c r="Q183" i="22" a="1"/>
  <c r="Q183" i="22"/>
  <c r="R183" i="22" a="1"/>
  <c r="R183" i="22" s="1"/>
  <c r="AC183" i="22" s="1" a="1"/>
  <c r="AC183" i="22" s="1"/>
  <c r="S183" i="22" a="1"/>
  <c r="S183" i="22" s="1"/>
  <c r="AD183" i="22" s="1" a="1"/>
  <c r="AD183" i="22" s="1"/>
  <c r="T183" i="22" a="1"/>
  <c r="T183" i="22" s="1"/>
  <c r="AE183" i="22" s="1" a="1"/>
  <c r="AE183" i="22" s="1"/>
  <c r="U183" i="22" a="1"/>
  <c r="U183" i="22" s="1"/>
  <c r="AF183" i="22" s="1" a="1"/>
  <c r="AF183" i="22" s="1"/>
  <c r="V183" i="22" a="1"/>
  <c r="V183" i="22" s="1"/>
  <c r="AG183" i="22" s="1" a="1"/>
  <c r="AG183" i="22" s="1"/>
  <c r="W183" i="22" a="1"/>
  <c r="W183" i="22" s="1"/>
  <c r="AH183" i="22" s="1" a="1"/>
  <c r="X183" i="22" a="1"/>
  <c r="X183" i="22" s="1"/>
  <c r="AI183" i="22" s="1" a="1"/>
  <c r="AI183" i="22" s="1"/>
  <c r="AH183" i="22"/>
  <c r="Q184" i="22" a="1"/>
  <c r="Q184" i="22" s="1"/>
  <c r="R184" i="22" a="1"/>
  <c r="R184" i="22" s="1"/>
  <c r="AC184" i="22" s="1" a="1"/>
  <c r="AC184" i="22" s="1"/>
  <c r="S184" i="22" a="1"/>
  <c r="S184" i="22" s="1"/>
  <c r="T184" i="22" a="1"/>
  <c r="T184" i="22" s="1"/>
  <c r="AE184" i="22" s="1" a="1"/>
  <c r="AE184" i="22" s="1"/>
  <c r="U184" i="22" a="1"/>
  <c r="U184" i="22" s="1"/>
  <c r="AF184" i="22" s="1" a="1"/>
  <c r="AF184" i="22" s="1"/>
  <c r="V184" i="22" a="1"/>
  <c r="V184" i="22" s="1"/>
  <c r="AG184" i="22" s="1" a="1"/>
  <c r="AG184" i="22" s="1"/>
  <c r="W184" i="22" a="1"/>
  <c r="W184" i="22" s="1"/>
  <c r="AH184" i="22" s="1" a="1"/>
  <c r="AH184" i="22" s="1"/>
  <c r="X184" i="22" a="1"/>
  <c r="X184" i="22" s="1"/>
  <c r="AI184" i="22" s="1" a="1"/>
  <c r="AI184" i="22" s="1"/>
  <c r="Q185" i="22" a="1"/>
  <c r="Q185" i="22" s="1"/>
  <c r="R185" i="22" a="1"/>
  <c r="R185" i="22"/>
  <c r="AC185" i="22" s="1" a="1"/>
  <c r="AC185" i="22" s="1"/>
  <c r="S185" i="22" a="1"/>
  <c r="S185" i="22"/>
  <c r="AD185" i="22" s="1" a="1"/>
  <c r="AD185" i="22" s="1"/>
  <c r="T185" i="22" a="1"/>
  <c r="T185" i="22" s="1"/>
  <c r="AE185" i="22" s="1" a="1"/>
  <c r="AE185" i="22" s="1"/>
  <c r="U185" i="22" a="1"/>
  <c r="U185" i="22" s="1"/>
  <c r="AF185" i="22" s="1" a="1"/>
  <c r="AF185" i="22" s="1"/>
  <c r="V185" i="22" a="1"/>
  <c r="V185" i="22" s="1"/>
  <c r="AG185" i="22" s="1" a="1"/>
  <c r="AG185" i="22" s="1"/>
  <c r="W185" i="22" a="1"/>
  <c r="W185" i="22" s="1"/>
  <c r="AH185" i="22" s="1" a="1"/>
  <c r="AH185" i="22" s="1"/>
  <c r="X185" i="22" a="1"/>
  <c r="X185" i="22" s="1"/>
  <c r="AI185" i="22" s="1" a="1"/>
  <c r="AI185" i="22" s="1"/>
  <c r="Q186" i="22" a="1"/>
  <c r="Q186" i="22"/>
  <c r="R186" i="22" a="1"/>
  <c r="R186" i="22" s="1"/>
  <c r="S186" i="22" a="1"/>
  <c r="S186" i="22" s="1"/>
  <c r="AD186" i="22" s="1" a="1"/>
  <c r="AD186" i="22" s="1"/>
  <c r="T186" i="22" a="1"/>
  <c r="T186" i="22"/>
  <c r="AE186" i="22" s="1" a="1"/>
  <c r="AE186" i="22" s="1"/>
  <c r="U186" i="22" a="1"/>
  <c r="U186" i="22" s="1"/>
  <c r="AF186" i="22" s="1" a="1"/>
  <c r="AF186" i="22" s="1"/>
  <c r="V186" i="22" a="1"/>
  <c r="V186" i="22" s="1"/>
  <c r="AG186" i="22" s="1" a="1"/>
  <c r="AG186" i="22" s="1"/>
  <c r="W186" i="22" a="1"/>
  <c r="W186" i="22" s="1"/>
  <c r="AH186" i="22" s="1" a="1"/>
  <c r="AH186" i="22" s="1"/>
  <c r="X186" i="22" a="1"/>
  <c r="X186" i="22" s="1"/>
  <c r="AI186" i="22" s="1" a="1"/>
  <c r="AI186" i="22" s="1"/>
  <c r="Q187" i="22" a="1"/>
  <c r="Q187" i="22" s="1"/>
  <c r="R187" i="22" a="1"/>
  <c r="R187" i="22" s="1"/>
  <c r="S187" i="22" a="1"/>
  <c r="S187" i="22" s="1"/>
  <c r="AD187" i="22" s="1" a="1"/>
  <c r="AD187" i="22" s="1"/>
  <c r="T187" i="22" a="1"/>
  <c r="T187" i="22" s="1"/>
  <c r="AE187" i="22" s="1" a="1"/>
  <c r="AE187" i="22" s="1"/>
  <c r="U187" i="22" a="1"/>
  <c r="U187" i="22" s="1"/>
  <c r="AF187" i="22" s="1" a="1"/>
  <c r="AF187" i="22" s="1"/>
  <c r="V187" i="22" a="1"/>
  <c r="V187" i="22"/>
  <c r="AG187" i="22" s="1" a="1"/>
  <c r="AG187" i="22" s="1"/>
  <c r="W187" i="22" a="1"/>
  <c r="W187" i="22" s="1"/>
  <c r="AH187" i="22" s="1" a="1"/>
  <c r="AH187" i="22" s="1"/>
  <c r="X187" i="22" a="1"/>
  <c r="X187" i="22" s="1"/>
  <c r="AI187" i="22" s="1" a="1"/>
  <c r="AI187" i="22" s="1"/>
  <c r="Q188" i="22" a="1"/>
  <c r="Q188" i="22" s="1"/>
  <c r="R188" i="22" a="1"/>
  <c r="R188" i="22" s="1"/>
  <c r="AC188" i="22" s="1" a="1"/>
  <c r="AC188" i="22" s="1"/>
  <c r="S188" i="22" a="1"/>
  <c r="S188" i="22" s="1"/>
  <c r="AD188" i="22" s="1" a="1"/>
  <c r="AD188" i="22" s="1"/>
  <c r="T188" i="22" a="1"/>
  <c r="T188" i="22" s="1"/>
  <c r="U188" i="22" a="1"/>
  <c r="U188" i="22" s="1"/>
  <c r="AF188" i="22" s="1" a="1"/>
  <c r="AF188" i="22" s="1"/>
  <c r="V188" i="22" a="1"/>
  <c r="V188" i="22" s="1"/>
  <c r="AG188" i="22" s="1" a="1"/>
  <c r="AG188" i="22" s="1"/>
  <c r="W188" i="22" a="1"/>
  <c r="W188" i="22" s="1"/>
  <c r="AH188" i="22" s="1" a="1"/>
  <c r="AH188" i="22" s="1"/>
  <c r="X188" i="22" a="1"/>
  <c r="X188" i="22" s="1"/>
  <c r="AI188" i="22" s="1" a="1"/>
  <c r="AI188" i="22" s="1"/>
  <c r="Q189" i="22" a="1"/>
  <c r="Q189" i="22" s="1"/>
  <c r="R189" i="22" a="1"/>
  <c r="R189" i="22" s="1"/>
  <c r="AC189" i="22" s="1" a="1"/>
  <c r="AC189" i="22" s="1"/>
  <c r="S189" i="22" a="1"/>
  <c r="S189" i="22" s="1"/>
  <c r="T189" i="22" a="1"/>
  <c r="T189" i="22" s="1"/>
  <c r="AE189" i="22" s="1" a="1"/>
  <c r="AE189" i="22" s="1"/>
  <c r="U189" i="22" a="1"/>
  <c r="U189" i="22" s="1"/>
  <c r="AF189" i="22" s="1" a="1"/>
  <c r="AF189" i="22" s="1"/>
  <c r="V189" i="22" a="1"/>
  <c r="V189" i="22" s="1"/>
  <c r="W189" i="22" a="1"/>
  <c r="W189" i="22" s="1"/>
  <c r="AH189" i="22" s="1" a="1"/>
  <c r="AH189" i="22" s="1"/>
  <c r="X189" i="22" a="1"/>
  <c r="X189" i="22" s="1"/>
  <c r="AI189" i="22" s="1" a="1"/>
  <c r="AI189" i="22" s="1"/>
  <c r="AG189" i="22" a="1"/>
  <c r="AG189" i="22" s="1"/>
  <c r="Q190" i="22" a="1"/>
  <c r="Q190" i="22" s="1"/>
  <c r="R190" i="22" a="1"/>
  <c r="R190" i="22" s="1"/>
  <c r="AC190" i="22" s="1" a="1"/>
  <c r="AC190" i="22" s="1"/>
  <c r="S190" i="22" a="1"/>
  <c r="S190" i="22" s="1"/>
  <c r="AD190" i="22" s="1" a="1"/>
  <c r="AD190" i="22" s="1"/>
  <c r="T190" i="22" a="1"/>
  <c r="T190" i="22"/>
  <c r="AE190" i="22" s="1" a="1"/>
  <c r="AE190" i="22" s="1"/>
  <c r="U190" i="22" a="1"/>
  <c r="U190" i="22" s="1"/>
  <c r="AF190" i="22" s="1" a="1"/>
  <c r="AF190" i="22" s="1"/>
  <c r="V190" i="22" a="1"/>
  <c r="V190" i="22"/>
  <c r="AG190" i="22" s="1" a="1"/>
  <c r="AG190" i="22" s="1"/>
  <c r="W190" i="22" a="1"/>
  <c r="W190" i="22" s="1"/>
  <c r="AH190" i="22" s="1" a="1"/>
  <c r="AH190" i="22" s="1"/>
  <c r="X190" i="22" a="1"/>
  <c r="X190" i="22" s="1"/>
  <c r="AI190" i="22" s="1" a="1"/>
  <c r="AI190" i="22" s="1"/>
  <c r="Q191" i="22" a="1"/>
  <c r="Q191" i="22" s="1"/>
  <c r="R191" i="22" a="1"/>
  <c r="R191" i="22" s="1"/>
  <c r="S191" i="22" a="1"/>
  <c r="S191" i="22" s="1"/>
  <c r="AD191" i="22" s="1" a="1"/>
  <c r="AD191" i="22" s="1"/>
  <c r="T191" i="22" a="1"/>
  <c r="T191" i="22" s="1"/>
  <c r="AE191" i="22" s="1" a="1"/>
  <c r="AE191" i="22" s="1"/>
  <c r="U191" i="22" a="1"/>
  <c r="U191" i="22" s="1"/>
  <c r="AF191" i="22" s="1" a="1"/>
  <c r="AF191" i="22" s="1"/>
  <c r="V191" i="22" a="1"/>
  <c r="V191" i="22" s="1"/>
  <c r="AG191" i="22" s="1" a="1"/>
  <c r="AG191" i="22" s="1"/>
  <c r="W191" i="22" a="1"/>
  <c r="W191" i="22" s="1"/>
  <c r="AH191" i="22" s="1" a="1"/>
  <c r="AH191" i="22" s="1"/>
  <c r="X191" i="22" a="1"/>
  <c r="X191" i="22" s="1"/>
  <c r="AI191" i="22" s="1" a="1"/>
  <c r="AI191" i="22" s="1"/>
  <c r="Q192" i="22" a="1"/>
  <c r="Q192" i="22" s="1"/>
  <c r="R192" i="22" a="1"/>
  <c r="R192" i="22"/>
  <c r="AC192" i="22" s="1" a="1"/>
  <c r="AC192" i="22" s="1"/>
  <c r="S192" i="22" a="1"/>
  <c r="S192" i="22" s="1"/>
  <c r="AD192" i="22" s="1" a="1"/>
  <c r="AD192" i="22" s="1"/>
  <c r="T192" i="22" a="1"/>
  <c r="T192" i="22"/>
  <c r="AE192" i="22" s="1" a="1"/>
  <c r="AE192" i="22" s="1"/>
  <c r="U192" i="22" a="1"/>
  <c r="U192" i="22" s="1"/>
  <c r="AF192" i="22" s="1" a="1"/>
  <c r="AF192" i="22" s="1"/>
  <c r="V192" i="22" a="1"/>
  <c r="V192" i="22" s="1"/>
  <c r="AG192" i="22" s="1" a="1"/>
  <c r="AG192" i="22" s="1"/>
  <c r="W192" i="22" a="1"/>
  <c r="W192" i="22" s="1"/>
  <c r="AH192" i="22" s="1" a="1"/>
  <c r="AH192" i="22" s="1"/>
  <c r="X192" i="22" a="1"/>
  <c r="X192" i="22" s="1"/>
  <c r="AI192" i="22" s="1" a="1"/>
  <c r="AI192" i="22" s="1"/>
  <c r="Q193" i="22" a="1"/>
  <c r="Q193" i="22" s="1"/>
  <c r="R193" i="22" a="1"/>
  <c r="R193" i="22" s="1"/>
  <c r="AC193" i="22" s="1" a="1"/>
  <c r="AC193" i="22" s="1"/>
  <c r="S193" i="22" a="1"/>
  <c r="S193" i="22" s="1"/>
  <c r="AD193" i="22" s="1" a="1"/>
  <c r="AD193" i="22" s="1"/>
  <c r="T193" i="22" a="1"/>
  <c r="T193" i="22" s="1"/>
  <c r="AE193" i="22" s="1" a="1"/>
  <c r="AE193" i="22" s="1"/>
  <c r="U193" i="22" a="1"/>
  <c r="U193" i="22" s="1"/>
  <c r="AF193" i="22" s="1" a="1"/>
  <c r="AF193" i="22" s="1"/>
  <c r="V193" i="22" a="1"/>
  <c r="V193" i="22" s="1"/>
  <c r="AG193" i="22" s="1" a="1"/>
  <c r="AG193" i="22" s="1"/>
  <c r="W193" i="22" a="1"/>
  <c r="W193" i="22"/>
  <c r="AH193" i="22" s="1" a="1"/>
  <c r="AH193" i="22" s="1"/>
  <c r="X193" i="22" a="1"/>
  <c r="X193" i="22" s="1"/>
  <c r="AI193" i="22" s="1" a="1"/>
  <c r="AI193" i="22" s="1"/>
  <c r="Q194" i="22" a="1"/>
  <c r="Q194" i="22" s="1"/>
  <c r="R194" i="22" a="1"/>
  <c r="R194" i="22" s="1"/>
  <c r="S194" i="22" a="1"/>
  <c r="S194" i="22" s="1"/>
  <c r="AD194" i="22" s="1" a="1"/>
  <c r="AD194" i="22" s="1"/>
  <c r="T194" i="22" a="1"/>
  <c r="T194" i="22" s="1"/>
  <c r="AE194" i="22" s="1" a="1"/>
  <c r="AE194" i="22" s="1"/>
  <c r="U194" i="22" a="1"/>
  <c r="U194" i="22" s="1"/>
  <c r="AF194" i="22" s="1" a="1"/>
  <c r="AF194" i="22" s="1"/>
  <c r="V194" i="22" a="1"/>
  <c r="V194" i="22"/>
  <c r="AG194" i="22" s="1" a="1"/>
  <c r="AG194" i="22" s="1"/>
  <c r="W194" i="22" a="1"/>
  <c r="W194" i="22" s="1"/>
  <c r="AH194" i="22" s="1" a="1"/>
  <c r="AH194" i="22" s="1"/>
  <c r="X194" i="22" a="1"/>
  <c r="X194" i="22"/>
  <c r="AI194" i="22" s="1" a="1"/>
  <c r="AI194" i="22" s="1"/>
  <c r="Q195" i="22" a="1"/>
  <c r="Q195" i="22" s="1"/>
  <c r="R195" i="22" a="1"/>
  <c r="R195" i="22" s="1"/>
  <c r="AC195" i="22" s="1" a="1"/>
  <c r="AC195" i="22" s="1"/>
  <c r="S195" i="22" a="1"/>
  <c r="S195" i="22" s="1"/>
  <c r="AD195" i="22" s="1" a="1"/>
  <c r="AD195" i="22" s="1"/>
  <c r="T195" i="22" a="1"/>
  <c r="T195" i="22" s="1"/>
  <c r="AE195" i="22" s="1" a="1"/>
  <c r="AE195" i="22" s="1"/>
  <c r="U195" i="22" a="1"/>
  <c r="U195" i="22" s="1"/>
  <c r="AF195" i="22" s="1" a="1"/>
  <c r="AF195" i="22" s="1"/>
  <c r="V195" i="22" a="1"/>
  <c r="V195" i="22" s="1"/>
  <c r="AG195" i="22" s="1" a="1"/>
  <c r="AG195" i="22" s="1"/>
  <c r="W195" i="22" a="1"/>
  <c r="W195" i="22" s="1"/>
  <c r="AH195" i="22" s="1" a="1"/>
  <c r="AH195" i="22" s="1"/>
  <c r="X195" i="22" a="1"/>
  <c r="X195" i="22" s="1"/>
  <c r="AI195" i="22" s="1" a="1"/>
  <c r="AI195" i="22" s="1"/>
  <c r="Q196" i="22" a="1"/>
  <c r="Q196" i="22" s="1"/>
  <c r="R196" i="22" a="1"/>
  <c r="R196" i="22" s="1"/>
  <c r="S196" i="22" a="1"/>
  <c r="S196" i="22" s="1"/>
  <c r="AD196" i="22" s="1" a="1"/>
  <c r="AD196" i="22" s="1"/>
  <c r="T196" i="22" a="1"/>
  <c r="T196" i="22" s="1"/>
  <c r="AE196" i="22" s="1" a="1"/>
  <c r="AE196" i="22" s="1"/>
  <c r="U196" i="22" a="1"/>
  <c r="U196" i="22" s="1"/>
  <c r="AF196" i="22" s="1" a="1"/>
  <c r="AF196" i="22" s="1"/>
  <c r="V196" i="22" a="1"/>
  <c r="V196" i="22" s="1"/>
  <c r="AG196" i="22" s="1" a="1"/>
  <c r="AG196" i="22" s="1"/>
  <c r="W196" i="22" a="1"/>
  <c r="W196" i="22" s="1"/>
  <c r="AH196" i="22" s="1" a="1"/>
  <c r="AH196" i="22" s="1"/>
  <c r="X196" i="22" a="1"/>
  <c r="X196" i="22"/>
  <c r="AI196" i="22" s="1" a="1"/>
  <c r="AI196" i="22" s="1"/>
  <c r="Q197" i="22" a="1"/>
  <c r="Q197" i="22" s="1"/>
  <c r="R197" i="22" a="1"/>
  <c r="R197" i="22" s="1"/>
  <c r="AC197" i="22" s="1" a="1"/>
  <c r="AC197" i="22" s="1"/>
  <c r="S197" i="22" a="1"/>
  <c r="S197" i="22"/>
  <c r="AD197" i="22" s="1" a="1"/>
  <c r="AD197" i="22" s="1"/>
  <c r="T197" i="22" a="1"/>
  <c r="T197" i="22" s="1"/>
  <c r="AE197" i="22" s="1" a="1"/>
  <c r="AE197" i="22" s="1"/>
  <c r="U197" i="22" a="1"/>
  <c r="U197" i="22" s="1"/>
  <c r="AF197" i="22" s="1" a="1"/>
  <c r="AF197" i="22" s="1"/>
  <c r="V197" i="22" a="1"/>
  <c r="V197" i="22" s="1"/>
  <c r="AG197" i="22" s="1" a="1"/>
  <c r="AG197" i="22" s="1"/>
  <c r="W197" i="22" a="1"/>
  <c r="W197" i="22" s="1"/>
  <c r="AH197" i="22" s="1" a="1"/>
  <c r="AH197" i="22" s="1"/>
  <c r="X197" i="22" a="1"/>
  <c r="X197" i="22" s="1"/>
  <c r="AI197" i="22" s="1" a="1"/>
  <c r="AI197" i="22" s="1"/>
  <c r="Q198" i="22" a="1"/>
  <c r="Q198" i="22" s="1"/>
  <c r="R198" i="22" a="1"/>
  <c r="R198" i="22" s="1"/>
  <c r="AC198" i="22" s="1" a="1"/>
  <c r="AC198" i="22" s="1"/>
  <c r="S198" i="22" a="1"/>
  <c r="S198" i="22" s="1"/>
  <c r="AD198" i="22" s="1" a="1"/>
  <c r="AD198" i="22" s="1"/>
  <c r="T198" i="22" a="1"/>
  <c r="T198" i="22"/>
  <c r="U198" i="22" a="1"/>
  <c r="U198" i="22" s="1"/>
  <c r="V198" i="22" a="1"/>
  <c r="V198" i="22" s="1"/>
  <c r="AG198" i="22" s="1" a="1"/>
  <c r="AG198" i="22" s="1"/>
  <c r="W198" i="22" a="1"/>
  <c r="W198" i="22" s="1"/>
  <c r="AH198" i="22" s="1" a="1"/>
  <c r="AH198" i="22" s="1"/>
  <c r="X198" i="22" a="1"/>
  <c r="X198" i="22" s="1"/>
  <c r="AI198" i="22" s="1" a="1"/>
  <c r="AI198" i="22" s="1"/>
  <c r="AE198" i="22" a="1"/>
  <c r="AE198" i="22" s="1"/>
  <c r="AF198" i="22" a="1"/>
  <c r="AF198" i="22" s="1"/>
  <c r="Q199" i="22" a="1"/>
  <c r="Q199" i="22" s="1"/>
  <c r="R199" i="22" a="1"/>
  <c r="R199" i="22" s="1"/>
  <c r="AC199" i="22" s="1" a="1"/>
  <c r="AC199" i="22" s="1"/>
  <c r="S199" i="22" a="1"/>
  <c r="S199" i="22" s="1"/>
  <c r="AD199" i="22" s="1" a="1"/>
  <c r="AD199" i="22" s="1"/>
  <c r="T199" i="22" a="1"/>
  <c r="T199" i="22" s="1"/>
  <c r="AE199" i="22" s="1" a="1"/>
  <c r="AE199" i="22" s="1"/>
  <c r="U199" i="22" a="1"/>
  <c r="U199" i="22" s="1"/>
  <c r="AF199" i="22" s="1" a="1"/>
  <c r="AF199" i="22" s="1"/>
  <c r="V199" i="22" a="1"/>
  <c r="V199" i="22" s="1"/>
  <c r="AG199" i="22" s="1" a="1"/>
  <c r="AG199" i="22" s="1"/>
  <c r="W199" i="22" a="1"/>
  <c r="W199" i="22" s="1"/>
  <c r="AH199" i="22" s="1" a="1"/>
  <c r="AH199" i="22" s="1"/>
  <c r="X199" i="22" a="1"/>
  <c r="X199" i="22" s="1"/>
  <c r="AI199" i="22" s="1" a="1"/>
  <c r="AI199" i="22" s="1"/>
  <c r="Q200" i="22" a="1"/>
  <c r="Q200" i="22" s="1"/>
  <c r="R200" i="22" a="1"/>
  <c r="R200" i="22" s="1"/>
  <c r="AC200" i="22" s="1" a="1"/>
  <c r="AC200" i="22" s="1"/>
  <c r="S200" i="22" a="1"/>
  <c r="S200" i="22" s="1"/>
  <c r="AD200" i="22" s="1" a="1"/>
  <c r="AD200" i="22" s="1"/>
  <c r="T200" i="22" a="1"/>
  <c r="T200" i="22" s="1"/>
  <c r="AE200" i="22" s="1" a="1"/>
  <c r="AE200" i="22" s="1"/>
  <c r="U200" i="22" a="1"/>
  <c r="U200" i="22" s="1"/>
  <c r="AF200" i="22" s="1" a="1"/>
  <c r="AF200" i="22" s="1"/>
  <c r="V200" i="22" a="1"/>
  <c r="V200" i="22" s="1"/>
  <c r="AG200" i="22" s="1" a="1"/>
  <c r="AG200" i="22" s="1"/>
  <c r="W200" i="22" a="1"/>
  <c r="W200" i="22" s="1"/>
  <c r="AH200" i="22" s="1" a="1"/>
  <c r="AH200" i="22" s="1"/>
  <c r="X200" i="22" a="1"/>
  <c r="X200" i="22" s="1"/>
  <c r="AI200" i="22" s="1" a="1"/>
  <c r="AI200" i="22" s="1"/>
  <c r="Q201" i="22" a="1"/>
  <c r="Q201" i="22" s="1"/>
  <c r="R201" i="22" a="1"/>
  <c r="R201" i="22" s="1"/>
  <c r="S201" i="22" a="1"/>
  <c r="S201" i="22" s="1"/>
  <c r="AD201" i="22" s="1" a="1"/>
  <c r="AD201" i="22" s="1"/>
  <c r="T201" i="22" a="1"/>
  <c r="T201" i="22" s="1"/>
  <c r="AE201" i="22" s="1" a="1"/>
  <c r="AE201" i="22" s="1"/>
  <c r="U201" i="22" a="1"/>
  <c r="U201" i="22"/>
  <c r="AF201" i="22" s="1" a="1"/>
  <c r="AF201" i="22" s="1"/>
  <c r="V201" i="22" a="1"/>
  <c r="V201" i="22" s="1"/>
  <c r="AG201" i="22" s="1" a="1"/>
  <c r="AG201" i="22" s="1"/>
  <c r="W201" i="22" a="1"/>
  <c r="W201" i="22" s="1"/>
  <c r="AH201" i="22" s="1" a="1"/>
  <c r="AH201" i="22" s="1"/>
  <c r="X201" i="22" a="1"/>
  <c r="X201" i="22" s="1"/>
  <c r="AI201" i="22" s="1" a="1"/>
  <c r="AI201" i="22" s="1"/>
  <c r="Q202" i="22" a="1"/>
  <c r="Q202" i="22" s="1"/>
  <c r="R202" i="22" a="1"/>
  <c r="R202" i="22" s="1"/>
  <c r="AC202" i="22" s="1" a="1"/>
  <c r="AC202" i="22" s="1"/>
  <c r="S202" i="22" a="1"/>
  <c r="S202" i="22" s="1"/>
  <c r="AD202" i="22" s="1" a="1"/>
  <c r="AD202" i="22" s="1"/>
  <c r="T202" i="22" a="1"/>
  <c r="T202" i="22" s="1"/>
  <c r="AE202" i="22" s="1" a="1"/>
  <c r="AE202" i="22" s="1"/>
  <c r="U202" i="22" a="1"/>
  <c r="U202" i="22" s="1"/>
  <c r="AF202" i="22" s="1" a="1"/>
  <c r="AF202" i="22" s="1"/>
  <c r="V202" i="22" a="1"/>
  <c r="V202" i="22" s="1"/>
  <c r="AG202" i="22" s="1" a="1"/>
  <c r="AG202" i="22" s="1"/>
  <c r="W202" i="22" a="1"/>
  <c r="W202" i="22" s="1"/>
  <c r="AH202" i="22" s="1" a="1"/>
  <c r="AH202" i="22" s="1"/>
  <c r="X202" i="22" a="1"/>
  <c r="X202" i="22" s="1"/>
  <c r="AI202" i="22" s="1" a="1"/>
  <c r="AI202" i="22" s="1"/>
  <c r="Q203" i="22" a="1"/>
  <c r="Q203" i="22" s="1"/>
  <c r="R203" i="22" a="1"/>
  <c r="R203" i="22" s="1"/>
  <c r="AC203" i="22" s="1" a="1"/>
  <c r="AC203" i="22" s="1"/>
  <c r="S203" i="22" a="1"/>
  <c r="S203" i="22" s="1"/>
  <c r="AD203" i="22" s="1" a="1"/>
  <c r="AD203" i="22" s="1"/>
  <c r="T203" i="22" a="1"/>
  <c r="T203" i="22" s="1"/>
  <c r="AE203" i="22" s="1" a="1"/>
  <c r="AE203" i="22" s="1"/>
  <c r="U203" i="22" a="1"/>
  <c r="U203" i="22" s="1"/>
  <c r="AF203" i="22" s="1" a="1"/>
  <c r="AF203" i="22" s="1"/>
  <c r="V203" i="22" a="1"/>
  <c r="V203" i="22" s="1"/>
  <c r="AG203" i="22" s="1" a="1"/>
  <c r="AG203" i="22" s="1"/>
  <c r="W203" i="22" a="1"/>
  <c r="W203" i="22" s="1"/>
  <c r="AH203" i="22" s="1" a="1"/>
  <c r="AH203" i="22" s="1"/>
  <c r="X203" i="22" a="1"/>
  <c r="X203" i="22" s="1"/>
  <c r="AI203" i="22" s="1" a="1"/>
  <c r="AI203" i="22" s="1"/>
  <c r="Q204" i="22" a="1"/>
  <c r="Q204" i="22"/>
  <c r="R204" i="22" a="1"/>
  <c r="R204" i="22" s="1"/>
  <c r="AC204" i="22" s="1" a="1"/>
  <c r="AC204" i="22" s="1"/>
  <c r="S204" i="22" a="1"/>
  <c r="S204" i="22" s="1"/>
  <c r="AD204" i="22" s="1" a="1"/>
  <c r="AD204" i="22" s="1"/>
  <c r="T204" i="22" a="1"/>
  <c r="T204" i="22" s="1"/>
  <c r="AE204" i="22" s="1" a="1"/>
  <c r="AE204" i="22" s="1"/>
  <c r="U204" i="22" a="1"/>
  <c r="U204" i="22" s="1"/>
  <c r="AF204" i="22" s="1" a="1"/>
  <c r="AF204" i="22" s="1"/>
  <c r="V204" i="22" a="1"/>
  <c r="V204" i="22" s="1"/>
  <c r="AG204" i="22" s="1" a="1"/>
  <c r="AG204" i="22" s="1"/>
  <c r="W204" i="22" a="1"/>
  <c r="W204" i="22" s="1"/>
  <c r="AH204" i="22" s="1" a="1"/>
  <c r="AH204" i="22" s="1"/>
  <c r="X204" i="22" a="1"/>
  <c r="X204" i="22" s="1"/>
  <c r="AI204" i="22" s="1" a="1"/>
  <c r="AI204" i="22" s="1"/>
  <c r="Q205" i="22" a="1"/>
  <c r="Q205" i="22" s="1"/>
  <c r="R205" i="22" a="1"/>
  <c r="R205" i="22" s="1"/>
  <c r="AC205" i="22" s="1" a="1"/>
  <c r="AC205" i="22" s="1"/>
  <c r="S205" i="22" a="1"/>
  <c r="S205" i="22" s="1"/>
  <c r="AD205" i="22" s="1" a="1"/>
  <c r="AD205" i="22" s="1"/>
  <c r="T205" i="22" a="1"/>
  <c r="T205" i="22" s="1"/>
  <c r="AE205" i="22" s="1" a="1"/>
  <c r="AE205" i="22" s="1"/>
  <c r="U205" i="22" a="1"/>
  <c r="U205" i="22"/>
  <c r="AF205" i="22" s="1" a="1"/>
  <c r="AF205" i="22" s="1"/>
  <c r="V205" i="22" a="1"/>
  <c r="V205" i="22"/>
  <c r="AG205" i="22" s="1" a="1"/>
  <c r="AG205" i="22" s="1"/>
  <c r="W205" i="22" a="1"/>
  <c r="W205" i="22" s="1"/>
  <c r="AH205" i="22" s="1" a="1"/>
  <c r="AH205" i="22" s="1"/>
  <c r="X205" i="22" a="1"/>
  <c r="X205" i="22" s="1"/>
  <c r="AI205" i="22" s="1" a="1"/>
  <c r="AI205" i="22" s="1"/>
  <c r="Q206" i="22" a="1"/>
  <c r="Q206" i="22" s="1"/>
  <c r="R206" i="22" a="1"/>
  <c r="R206" i="22" s="1"/>
  <c r="AC206" i="22" s="1" a="1"/>
  <c r="AC206" i="22" s="1"/>
  <c r="S206" i="22" a="1"/>
  <c r="S206" i="22" s="1"/>
  <c r="AD206" i="22" s="1" a="1"/>
  <c r="AD206" i="22" s="1"/>
  <c r="T206" i="22" a="1"/>
  <c r="T206" i="22" s="1"/>
  <c r="AE206" i="22" s="1" a="1"/>
  <c r="AE206" i="22" s="1"/>
  <c r="U206" i="22" a="1"/>
  <c r="U206" i="22" s="1"/>
  <c r="AF206" i="22" s="1" a="1"/>
  <c r="AF206" i="22" s="1"/>
  <c r="V206" i="22" a="1"/>
  <c r="V206" i="22" s="1"/>
  <c r="AG206" i="22" s="1" a="1"/>
  <c r="AG206" i="22" s="1"/>
  <c r="W206" i="22" a="1"/>
  <c r="W206" i="22" s="1"/>
  <c r="AH206" i="22" s="1" a="1"/>
  <c r="AH206" i="22" s="1"/>
  <c r="X206" i="22" a="1"/>
  <c r="X206" i="22" s="1"/>
  <c r="AI206" i="22" s="1" a="1"/>
  <c r="AI206" i="22" s="1"/>
  <c r="Q207" i="22" a="1"/>
  <c r="Q207" i="22"/>
  <c r="R207" i="22" a="1"/>
  <c r="R207" i="22" s="1"/>
  <c r="AC207" i="22" s="1" a="1"/>
  <c r="AC207" i="22" s="1"/>
  <c r="S207" i="22" a="1"/>
  <c r="S207" i="22"/>
  <c r="AD207" i="22" s="1" a="1"/>
  <c r="AD207" i="22" s="1"/>
  <c r="T207" i="22" a="1"/>
  <c r="T207" i="22" s="1"/>
  <c r="AE207" i="22" s="1" a="1"/>
  <c r="AE207" i="22" s="1"/>
  <c r="U207" i="22" a="1"/>
  <c r="U207" i="22" s="1"/>
  <c r="AF207" i="22" s="1" a="1"/>
  <c r="AF207" i="22" s="1"/>
  <c r="V207" i="22" a="1"/>
  <c r="V207" i="22" s="1"/>
  <c r="AG207" i="22" s="1" a="1"/>
  <c r="AG207" i="22" s="1"/>
  <c r="W207" i="22" a="1"/>
  <c r="W207" i="22" s="1"/>
  <c r="AH207" i="22" s="1" a="1"/>
  <c r="AH207" i="22" s="1"/>
  <c r="X207" i="22" a="1"/>
  <c r="X207" i="22" s="1"/>
  <c r="AI207" i="22" s="1" a="1"/>
  <c r="AI207" i="22" s="1"/>
  <c r="Q208" i="22" a="1"/>
  <c r="Q208" i="22" s="1"/>
  <c r="R208" i="22" a="1"/>
  <c r="R208" i="22" s="1"/>
  <c r="AC208" i="22" s="1" a="1"/>
  <c r="AC208" i="22" s="1"/>
  <c r="S208" i="22" a="1"/>
  <c r="S208" i="22" s="1"/>
  <c r="AD208" i="22" s="1" a="1"/>
  <c r="AD208" i="22" s="1"/>
  <c r="T208" i="22" a="1"/>
  <c r="T208" i="22" s="1"/>
  <c r="AE208" i="22" s="1" a="1"/>
  <c r="AE208" i="22" s="1"/>
  <c r="U208" i="22" a="1"/>
  <c r="U208" i="22" s="1"/>
  <c r="AF208" i="22" s="1" a="1"/>
  <c r="AF208" i="22" s="1"/>
  <c r="V208" i="22" a="1"/>
  <c r="V208" i="22" s="1"/>
  <c r="AG208" i="22" s="1" a="1"/>
  <c r="AG208" i="22" s="1"/>
  <c r="W208" i="22" a="1"/>
  <c r="W208" i="22" s="1"/>
  <c r="AH208" i="22" s="1" a="1"/>
  <c r="AH208" i="22" s="1"/>
  <c r="X208" i="22" a="1"/>
  <c r="X208" i="22" s="1"/>
  <c r="AI208" i="22" s="1" a="1"/>
  <c r="AI208" i="22" s="1"/>
  <c r="Q209" i="22" a="1"/>
  <c r="Q209" i="22" s="1"/>
  <c r="R209" i="22" a="1"/>
  <c r="R209" i="22"/>
  <c r="AC209" i="22" s="1" a="1"/>
  <c r="AC209" i="22" s="1"/>
  <c r="S209" i="22" a="1"/>
  <c r="S209" i="22" s="1"/>
  <c r="AD209" i="22" s="1" a="1"/>
  <c r="AD209" i="22" s="1"/>
  <c r="T209" i="22" a="1"/>
  <c r="T209" i="22" s="1"/>
  <c r="AE209" i="22" s="1" a="1"/>
  <c r="AE209" i="22" s="1"/>
  <c r="U209" i="22" a="1"/>
  <c r="U209" i="22" s="1"/>
  <c r="AF209" i="22" s="1" a="1"/>
  <c r="AF209" i="22" s="1"/>
  <c r="V209" i="22" a="1"/>
  <c r="V209" i="22" s="1"/>
  <c r="AG209" i="22" s="1" a="1"/>
  <c r="AG209" i="22" s="1"/>
  <c r="W209" i="22" a="1"/>
  <c r="W209" i="22" s="1"/>
  <c r="AH209" i="22" s="1" a="1"/>
  <c r="AH209" i="22" s="1"/>
  <c r="X209" i="22" a="1"/>
  <c r="X209" i="22" s="1"/>
  <c r="AI209" i="22" s="1" a="1"/>
  <c r="AI209" i="22" s="1"/>
  <c r="Q210" i="22" a="1"/>
  <c r="Q210" i="22"/>
  <c r="R210" i="22" a="1"/>
  <c r="R210" i="22" s="1"/>
  <c r="AC210" i="22" s="1" a="1"/>
  <c r="AC210" i="22" s="1"/>
  <c r="S210" i="22" a="1"/>
  <c r="S210" i="22"/>
  <c r="AD210" i="22" s="1" a="1"/>
  <c r="AD210" i="22" s="1"/>
  <c r="T210" i="22" a="1"/>
  <c r="T210" i="22" s="1"/>
  <c r="AE210" i="22" s="1" a="1"/>
  <c r="AE210" i="22" s="1"/>
  <c r="U210" i="22" a="1"/>
  <c r="U210" i="22" s="1"/>
  <c r="AF210" i="22" s="1" a="1"/>
  <c r="AF210" i="22" s="1"/>
  <c r="V210" i="22" a="1"/>
  <c r="V210" i="22" s="1"/>
  <c r="AG210" i="22" s="1" a="1"/>
  <c r="AG210" i="22" s="1"/>
  <c r="W210" i="22" a="1"/>
  <c r="W210" i="22" s="1"/>
  <c r="AH210" i="22" s="1" a="1"/>
  <c r="AH210" i="22" s="1"/>
  <c r="X210" i="22" a="1"/>
  <c r="X210" i="22" s="1"/>
  <c r="AI210" i="22" s="1" a="1"/>
  <c r="AI210" i="22" s="1"/>
  <c r="Q211" i="22" a="1"/>
  <c r="Q211" i="22" s="1"/>
  <c r="R211" i="22" a="1"/>
  <c r="R211" i="22" s="1"/>
  <c r="AC211" i="22" s="1" a="1"/>
  <c r="AC211" i="22" s="1"/>
  <c r="S211" i="22" a="1"/>
  <c r="S211" i="22" s="1"/>
  <c r="AD211" i="22" s="1" a="1"/>
  <c r="AD211" i="22" s="1"/>
  <c r="T211" i="22" a="1"/>
  <c r="T211" i="22" s="1"/>
  <c r="AE211" i="22" s="1" a="1"/>
  <c r="AE211" i="22" s="1"/>
  <c r="U211" i="22" a="1"/>
  <c r="U211" i="22" s="1"/>
  <c r="AF211" i="22" s="1" a="1"/>
  <c r="AF211" i="22" s="1"/>
  <c r="V211" i="22" a="1"/>
  <c r="V211" i="22"/>
  <c r="AG211" i="22" s="1" a="1"/>
  <c r="AG211" i="22" s="1"/>
  <c r="W211" i="22" a="1"/>
  <c r="W211" i="22" s="1"/>
  <c r="AH211" i="22" s="1" a="1"/>
  <c r="AH211" i="22" s="1"/>
  <c r="X211" i="22" a="1"/>
  <c r="X211" i="22" s="1"/>
  <c r="AI211" i="22" s="1" a="1"/>
  <c r="AI211" i="22" s="1"/>
  <c r="Q212" i="22" a="1"/>
  <c r="Q212" i="22" s="1"/>
  <c r="R212" i="22" a="1"/>
  <c r="R212" i="22" s="1"/>
  <c r="AC212" i="22" s="1" a="1"/>
  <c r="AC212" i="22" s="1"/>
  <c r="S212" i="22" a="1"/>
  <c r="S212" i="22" s="1"/>
  <c r="AD212" i="22" s="1" a="1"/>
  <c r="AD212" i="22" s="1"/>
  <c r="T212" i="22" a="1"/>
  <c r="T212" i="22" s="1"/>
  <c r="AE212" i="22" s="1" a="1"/>
  <c r="AE212" i="22" s="1"/>
  <c r="U212" i="22" a="1"/>
  <c r="U212" i="22"/>
  <c r="AF212" i="22" s="1" a="1"/>
  <c r="AF212" i="22" s="1"/>
  <c r="V212" i="22" a="1"/>
  <c r="V212" i="22" s="1"/>
  <c r="AG212" i="22" s="1" a="1"/>
  <c r="AG212" i="22" s="1"/>
  <c r="W212" i="22" a="1"/>
  <c r="W212" i="22" s="1"/>
  <c r="AH212" i="22" s="1" a="1"/>
  <c r="AH212" i="22" s="1"/>
  <c r="X212" i="22" a="1"/>
  <c r="X212" i="22" s="1"/>
  <c r="AI212" i="22" s="1" a="1"/>
  <c r="AI212" i="22" s="1"/>
  <c r="Q213" i="22" a="1"/>
  <c r="Q213" i="22" s="1"/>
  <c r="R213" i="22" a="1"/>
  <c r="R213" i="22" s="1"/>
  <c r="AC213" i="22" s="1" a="1"/>
  <c r="AC213" i="22" s="1"/>
  <c r="S213" i="22" a="1"/>
  <c r="S213" i="22" s="1"/>
  <c r="T213" i="22" a="1"/>
  <c r="T213" i="22" s="1"/>
  <c r="AE213" i="22" s="1" a="1"/>
  <c r="AE213" i="22" s="1"/>
  <c r="U213" i="22" a="1"/>
  <c r="U213" i="22" s="1"/>
  <c r="AF213" i="22" s="1" a="1"/>
  <c r="AF213" i="22" s="1"/>
  <c r="V213" i="22" a="1"/>
  <c r="V213" i="22" s="1"/>
  <c r="AG213" i="22" s="1" a="1"/>
  <c r="AG213" i="22" s="1"/>
  <c r="W213" i="22" a="1"/>
  <c r="W213" i="22" s="1"/>
  <c r="AH213" i="22" s="1" a="1"/>
  <c r="X213" i="22" a="1"/>
  <c r="X213" i="22"/>
  <c r="AI213" i="22" s="1" a="1"/>
  <c r="AI213" i="22" s="1"/>
  <c r="AH213" i="22"/>
  <c r="Q214" i="22" a="1"/>
  <c r="Q214" i="22"/>
  <c r="R214" i="22" a="1"/>
  <c r="R214" i="22" s="1"/>
  <c r="S214" i="22" a="1"/>
  <c r="S214" i="22" s="1"/>
  <c r="AD214" i="22" s="1" a="1"/>
  <c r="AD214" i="22" s="1"/>
  <c r="T214" i="22" a="1"/>
  <c r="T214" i="22"/>
  <c r="AE214" i="22" s="1" a="1"/>
  <c r="AE214" i="22" s="1"/>
  <c r="U214" i="22" a="1"/>
  <c r="U214" i="22" s="1"/>
  <c r="AF214" i="22" s="1" a="1"/>
  <c r="AF214" i="22" s="1"/>
  <c r="V214" i="22" a="1"/>
  <c r="V214" i="22" s="1"/>
  <c r="AG214" i="22" s="1" a="1"/>
  <c r="AG214" i="22" s="1"/>
  <c r="W214" i="22" a="1"/>
  <c r="W214" i="22"/>
  <c r="AH214" i="22" s="1" a="1"/>
  <c r="AH214" i="22" s="1"/>
  <c r="X214" i="22" a="1"/>
  <c r="X214" i="22" s="1"/>
  <c r="AI214" i="22" s="1" a="1"/>
  <c r="AI214" i="22" s="1"/>
  <c r="Q215" i="22" a="1"/>
  <c r="Q215" i="22"/>
  <c r="R215" i="22" a="1"/>
  <c r="R215" i="22" s="1"/>
  <c r="AC215" i="22" s="1" a="1"/>
  <c r="AC215" i="22" s="1"/>
  <c r="S215" i="22" a="1"/>
  <c r="S215" i="22" s="1"/>
  <c r="AD215" i="22" s="1" a="1"/>
  <c r="AD215" i="22" s="1"/>
  <c r="T215" i="22" a="1"/>
  <c r="T215" i="22"/>
  <c r="AE215" i="22" s="1" a="1"/>
  <c r="AE215" i="22" s="1"/>
  <c r="U215" i="22" a="1"/>
  <c r="U215" i="22" s="1"/>
  <c r="AF215" i="22" s="1" a="1"/>
  <c r="AF215" i="22" s="1"/>
  <c r="V215" i="22" a="1"/>
  <c r="V215" i="22" s="1"/>
  <c r="AG215" i="22" s="1" a="1"/>
  <c r="AG215" i="22" s="1"/>
  <c r="W215" i="22" a="1"/>
  <c r="W215" i="22" s="1"/>
  <c r="AH215" i="22" s="1" a="1"/>
  <c r="AH215" i="22" s="1"/>
  <c r="X215" i="22" a="1"/>
  <c r="X215" i="22" s="1"/>
  <c r="AI215" i="22" s="1" a="1"/>
  <c r="AI215" i="22" s="1"/>
  <c r="Q216" i="22" a="1"/>
  <c r="Q216" i="22" s="1"/>
  <c r="R216" i="22" a="1"/>
  <c r="R216" i="22"/>
  <c r="AC216" i="22" s="1" a="1"/>
  <c r="AC216" i="22" s="1"/>
  <c r="S216" i="22" a="1"/>
  <c r="S216" i="22" s="1"/>
  <c r="AD216" i="22" s="1" a="1"/>
  <c r="AD216" i="22" s="1"/>
  <c r="T216" i="22" a="1"/>
  <c r="T216" i="22" s="1"/>
  <c r="AE216" i="22" s="1" a="1"/>
  <c r="AE216" i="22" s="1"/>
  <c r="U216" i="22" a="1"/>
  <c r="U216" i="22" s="1"/>
  <c r="V216" i="22" a="1"/>
  <c r="V216" i="22" s="1"/>
  <c r="AG216" i="22" s="1" a="1"/>
  <c r="AG216" i="22" s="1"/>
  <c r="W216" i="22" a="1"/>
  <c r="W216" i="22"/>
  <c r="AH216" i="22" s="1" a="1"/>
  <c r="AH216" i="22" s="1"/>
  <c r="X216" i="22" a="1"/>
  <c r="X216" i="22" s="1"/>
  <c r="AI216" i="22" s="1" a="1"/>
  <c r="AI216" i="22" s="1"/>
  <c r="AF216" i="22" a="1"/>
  <c r="AF216" i="22" s="1"/>
  <c r="Q217" i="22" a="1"/>
  <c r="Q217" i="22" s="1"/>
  <c r="R217" i="22" a="1"/>
  <c r="R217" i="22" s="1"/>
  <c r="AC217" i="22" s="1" a="1"/>
  <c r="AC217" i="22" s="1"/>
  <c r="S217" i="22" a="1"/>
  <c r="S217" i="22" s="1"/>
  <c r="AD217" i="22" s="1" a="1"/>
  <c r="AD217" i="22" s="1"/>
  <c r="T217" i="22" a="1"/>
  <c r="T217" i="22" s="1"/>
  <c r="AE217" i="22" s="1" a="1"/>
  <c r="AE217" i="22" s="1"/>
  <c r="U217" i="22" a="1"/>
  <c r="U217" i="22" s="1"/>
  <c r="AF217" i="22" s="1" a="1"/>
  <c r="AF217" i="22" s="1"/>
  <c r="V217" i="22" a="1"/>
  <c r="V217" i="22" s="1"/>
  <c r="AG217" i="22" s="1" a="1"/>
  <c r="AG217" i="22" s="1"/>
  <c r="W217" i="22" a="1"/>
  <c r="W217" i="22" s="1"/>
  <c r="AH217" i="22" s="1" a="1"/>
  <c r="AH217" i="22" s="1"/>
  <c r="X217" i="22" a="1"/>
  <c r="X217" i="22"/>
  <c r="AI217" i="22" s="1" a="1"/>
  <c r="AI217" i="22" s="1"/>
  <c r="Q218" i="22" a="1"/>
  <c r="Q218" i="22"/>
  <c r="R218" i="22" a="1"/>
  <c r="R218" i="22" s="1"/>
  <c r="AC218" i="22" s="1" a="1"/>
  <c r="AC218" i="22" s="1"/>
  <c r="S218" i="22" a="1"/>
  <c r="S218" i="22" s="1"/>
  <c r="AD218" i="22" s="1" a="1"/>
  <c r="AD218" i="22" s="1"/>
  <c r="T218" i="22" a="1"/>
  <c r="T218" i="22" s="1"/>
  <c r="U218" i="22" a="1"/>
  <c r="U218" i="22" s="1"/>
  <c r="AF218" i="22" s="1" a="1"/>
  <c r="AF218" i="22" s="1"/>
  <c r="V218" i="22" a="1"/>
  <c r="V218" i="22" s="1"/>
  <c r="W218" i="22" a="1"/>
  <c r="W218" i="22" s="1"/>
  <c r="AH218" i="22" s="1" a="1"/>
  <c r="AH218" i="22" s="1"/>
  <c r="X218" i="22" a="1"/>
  <c r="X218" i="22" s="1"/>
  <c r="AI218" i="22" s="1" a="1"/>
  <c r="AI218" i="22" s="1"/>
  <c r="AG218" i="22" a="1"/>
  <c r="AG218" i="22" s="1"/>
  <c r="Q219" i="22" a="1"/>
  <c r="Q219" i="22" s="1"/>
  <c r="R219" i="22" a="1"/>
  <c r="R219" i="22" s="1"/>
  <c r="AC219" i="22" s="1" a="1"/>
  <c r="AC219" i="22" s="1"/>
  <c r="S219" i="22" a="1"/>
  <c r="S219" i="22" s="1"/>
  <c r="AD219" i="22" s="1" a="1"/>
  <c r="AD219" i="22" s="1"/>
  <c r="T219" i="22" a="1"/>
  <c r="T219" i="22" s="1"/>
  <c r="AE219" i="22" s="1" a="1"/>
  <c r="AE219" i="22" s="1"/>
  <c r="U219" i="22" a="1"/>
  <c r="U219" i="22" s="1"/>
  <c r="AF219" i="22" s="1" a="1"/>
  <c r="AF219" i="22" s="1"/>
  <c r="V219" i="22" a="1"/>
  <c r="V219" i="22" s="1"/>
  <c r="AG219" i="22" s="1" a="1"/>
  <c r="AG219" i="22" s="1"/>
  <c r="W219" i="22" a="1"/>
  <c r="W219" i="22" s="1"/>
  <c r="AH219" i="22" s="1" a="1"/>
  <c r="AH219" i="22" s="1"/>
  <c r="X219" i="22" a="1"/>
  <c r="X219" i="22"/>
  <c r="AI219" i="22" s="1" a="1"/>
  <c r="AI219" i="22" s="1"/>
  <c r="Q220" i="22" a="1"/>
  <c r="Q220" i="22" s="1"/>
  <c r="R220" i="22" a="1"/>
  <c r="R220" i="22" s="1"/>
  <c r="S220" i="22" a="1"/>
  <c r="S220" i="22" s="1"/>
  <c r="AD220" i="22" s="1" a="1"/>
  <c r="AD220" i="22" s="1"/>
  <c r="T220" i="22" a="1"/>
  <c r="T220" i="22" s="1"/>
  <c r="AE220" i="22" s="1" a="1"/>
  <c r="AE220" i="22" s="1"/>
  <c r="U220" i="22" a="1"/>
  <c r="U220" i="22" s="1"/>
  <c r="AF220" i="22" s="1" a="1"/>
  <c r="AF220" i="22" s="1"/>
  <c r="V220" i="22" a="1"/>
  <c r="V220" i="22" s="1"/>
  <c r="AG220" i="22" s="1" a="1"/>
  <c r="AG220" i="22" s="1"/>
  <c r="W220" i="22" a="1"/>
  <c r="W220" i="22"/>
  <c r="AH220" i="22" s="1" a="1"/>
  <c r="AH220" i="22" s="1"/>
  <c r="X220" i="22" a="1"/>
  <c r="X220" i="22" s="1"/>
  <c r="AI220" i="22" s="1" a="1"/>
  <c r="AI220" i="22" s="1"/>
  <c r="Q221" i="22" a="1"/>
  <c r="Q221" i="22" s="1"/>
  <c r="R221" i="22" a="1"/>
  <c r="R221" i="22" s="1"/>
  <c r="AC221" i="22" s="1" a="1"/>
  <c r="AC221" i="22" s="1"/>
  <c r="S221" i="22" a="1"/>
  <c r="S221" i="22" s="1"/>
  <c r="AD221" i="22" s="1" a="1"/>
  <c r="AD221" i="22" s="1"/>
  <c r="T221" i="22" a="1"/>
  <c r="T221" i="22" s="1"/>
  <c r="U221" i="22" a="1"/>
  <c r="U221" i="22" s="1"/>
  <c r="AF221" i="22" s="1" a="1"/>
  <c r="AF221" i="22" s="1"/>
  <c r="V221" i="22" a="1"/>
  <c r="V221" i="22" s="1"/>
  <c r="AG221" i="22" s="1" a="1"/>
  <c r="AG221" i="22" s="1"/>
  <c r="W221" i="22" a="1"/>
  <c r="W221" i="22" s="1"/>
  <c r="AH221" i="22" s="1" a="1"/>
  <c r="AH221" i="22" s="1"/>
  <c r="X221" i="22" a="1"/>
  <c r="X221" i="22" s="1"/>
  <c r="AI221" i="22" s="1" a="1"/>
  <c r="AI221" i="22" s="1"/>
  <c r="Q222" i="22" a="1"/>
  <c r="Q222" i="22" s="1"/>
  <c r="R222" i="22" a="1"/>
  <c r="R222" i="22" s="1"/>
  <c r="AC222" i="22" s="1" a="1"/>
  <c r="AC222" i="22" s="1"/>
  <c r="S222" i="22" a="1"/>
  <c r="S222" i="22" s="1"/>
  <c r="AD222" i="22" s="1" a="1"/>
  <c r="AD222" i="22" s="1"/>
  <c r="T222" i="22" a="1"/>
  <c r="T222" i="22" s="1"/>
  <c r="AE222" i="22" s="1" a="1"/>
  <c r="AE222" i="22" s="1"/>
  <c r="U222" i="22" a="1"/>
  <c r="U222" i="22" s="1"/>
  <c r="AF222" i="22" s="1" a="1"/>
  <c r="AF222" i="22" s="1"/>
  <c r="V222" i="22" a="1"/>
  <c r="V222" i="22" s="1"/>
  <c r="AG222" i="22" s="1" a="1"/>
  <c r="AG222" i="22" s="1"/>
  <c r="W222" i="22" a="1"/>
  <c r="W222" i="22"/>
  <c r="AH222" i="22" s="1" a="1"/>
  <c r="AH222" i="22" s="1"/>
  <c r="X222" i="22" a="1"/>
  <c r="X222" i="22" s="1"/>
  <c r="AI222" i="22" s="1" a="1"/>
  <c r="AI222" i="22" s="1"/>
  <c r="Q223" i="22" a="1"/>
  <c r="Q223" i="22" s="1"/>
  <c r="R223" i="22" a="1"/>
  <c r="R223" i="22" s="1"/>
  <c r="AC223" i="22" s="1" a="1"/>
  <c r="AC223" i="22" s="1"/>
  <c r="S223" i="22" a="1"/>
  <c r="S223" i="22" s="1"/>
  <c r="AD223" i="22" s="1" a="1"/>
  <c r="AD223" i="22" s="1"/>
  <c r="T223" i="22" a="1"/>
  <c r="T223" i="22" s="1"/>
  <c r="AE223" i="22" s="1" a="1"/>
  <c r="AE223" i="22" s="1"/>
  <c r="U223" i="22" a="1"/>
  <c r="U223" i="22" s="1"/>
  <c r="AF223" i="22" s="1" a="1"/>
  <c r="AF223" i="22" s="1"/>
  <c r="V223" i="22" a="1"/>
  <c r="V223" i="22" s="1"/>
  <c r="AG223" i="22" s="1" a="1"/>
  <c r="AG223" i="22" s="1"/>
  <c r="W223" i="22" a="1"/>
  <c r="W223" i="22" s="1"/>
  <c r="AH223" i="22" s="1" a="1"/>
  <c r="AH223" i="22" s="1"/>
  <c r="X223" i="22" a="1"/>
  <c r="X223" i="22" s="1"/>
  <c r="AI223" i="22" s="1" a="1"/>
  <c r="AI223" i="22" s="1"/>
  <c r="Q224" i="22" a="1"/>
  <c r="Q224" i="22" s="1"/>
  <c r="R224" i="22" a="1"/>
  <c r="R224" i="22" s="1"/>
  <c r="AC224" i="22" s="1" a="1"/>
  <c r="AC224" i="22" s="1"/>
  <c r="S224" i="22" a="1"/>
  <c r="S224" i="22" s="1"/>
  <c r="AD224" i="22" s="1" a="1"/>
  <c r="AD224" i="22" s="1"/>
  <c r="T224" i="22" a="1"/>
  <c r="T224" i="22" s="1"/>
  <c r="AE224" i="22" s="1" a="1"/>
  <c r="AE224" i="22" s="1"/>
  <c r="U224" i="22" a="1"/>
  <c r="U224" i="22" s="1"/>
  <c r="AF224" i="22" s="1" a="1"/>
  <c r="AF224" i="22" s="1"/>
  <c r="V224" i="22" a="1"/>
  <c r="V224" i="22" s="1"/>
  <c r="AG224" i="22" s="1" a="1"/>
  <c r="AG224" i="22" s="1"/>
  <c r="W224" i="22" a="1"/>
  <c r="W224" i="22" s="1"/>
  <c r="AH224" i="22" s="1" a="1"/>
  <c r="AH224" i="22" s="1"/>
  <c r="X224" i="22" a="1"/>
  <c r="X224" i="22" s="1"/>
  <c r="AI224" i="22" a="1"/>
  <c r="AI224" i="22" s="1"/>
  <c r="Q225" i="22" a="1"/>
  <c r="Q225" i="22" s="1"/>
  <c r="R225" i="22" a="1"/>
  <c r="R225" i="22" s="1"/>
  <c r="AC225" i="22" s="1" a="1"/>
  <c r="AC225" i="22" s="1"/>
  <c r="S225" i="22" a="1"/>
  <c r="S225" i="22" s="1"/>
  <c r="AD225" i="22" s="1" a="1"/>
  <c r="AD225" i="22" s="1"/>
  <c r="T225" i="22" a="1"/>
  <c r="T225" i="22" s="1"/>
  <c r="AE225" i="22" s="1" a="1"/>
  <c r="AE225" i="22" s="1"/>
  <c r="U225" i="22" a="1"/>
  <c r="U225" i="22"/>
  <c r="AF225" i="22" s="1" a="1"/>
  <c r="AF225" i="22" s="1"/>
  <c r="V225" i="22" a="1"/>
  <c r="V225" i="22"/>
  <c r="AG225" i="22" s="1" a="1"/>
  <c r="AG225" i="22" s="1"/>
  <c r="W225" i="22" a="1"/>
  <c r="W225" i="22" s="1"/>
  <c r="AH225" i="22" s="1" a="1"/>
  <c r="AH225" i="22" s="1"/>
  <c r="X225" i="22" a="1"/>
  <c r="X225" i="22" s="1"/>
  <c r="AI225" i="22" s="1" a="1"/>
  <c r="AI225" i="22" s="1"/>
  <c r="Q226" i="22" a="1"/>
  <c r="Q226" i="22" s="1"/>
  <c r="R226" i="22" a="1"/>
  <c r="R226" i="22" s="1"/>
  <c r="AC226" i="22" s="1" a="1"/>
  <c r="AC226" i="22" s="1"/>
  <c r="S226" i="22" a="1"/>
  <c r="S226" i="22"/>
  <c r="T226" i="22" a="1"/>
  <c r="T226" i="22" s="1"/>
  <c r="AE226" i="22" s="1" a="1"/>
  <c r="AE226" i="22" s="1"/>
  <c r="U226" i="22" a="1"/>
  <c r="U226" i="22" s="1"/>
  <c r="AF226" i="22" s="1" a="1"/>
  <c r="AF226" i="22" s="1"/>
  <c r="V226" i="22" a="1"/>
  <c r="V226" i="22" s="1"/>
  <c r="AG226" i="22" s="1" a="1"/>
  <c r="AG226" i="22" s="1"/>
  <c r="W226" i="22" a="1"/>
  <c r="W226" i="22" s="1"/>
  <c r="X226" i="22" a="1"/>
  <c r="X226" i="22"/>
  <c r="AI226" i="22" s="1" a="1"/>
  <c r="AI226" i="22" s="1"/>
  <c r="AH226" i="22" a="1"/>
  <c r="AH226" i="22" s="1"/>
  <c r="Q227" i="22" a="1"/>
  <c r="Q227" i="22" s="1"/>
  <c r="R227" i="22" a="1"/>
  <c r="R227" i="22" s="1"/>
  <c r="AC227" i="22" s="1" a="1"/>
  <c r="AC227" i="22" s="1"/>
  <c r="S227" i="22" a="1"/>
  <c r="S227" i="22" s="1"/>
  <c r="AD227" i="22" s="1" a="1"/>
  <c r="AD227" i="22" s="1"/>
  <c r="T227" i="22" a="1"/>
  <c r="T227" i="22" s="1"/>
  <c r="AE227" i="22" s="1" a="1"/>
  <c r="AE227" i="22" s="1"/>
  <c r="U227" i="22" a="1"/>
  <c r="U227" i="22" s="1"/>
  <c r="AF227" i="22" s="1" a="1"/>
  <c r="AF227" i="22" s="1"/>
  <c r="V227" i="22" a="1"/>
  <c r="V227" i="22" s="1"/>
  <c r="AG227" i="22" s="1" a="1"/>
  <c r="AG227" i="22" s="1"/>
  <c r="W227" i="22" a="1"/>
  <c r="W227" i="22" s="1"/>
  <c r="AH227" i="22" s="1" a="1"/>
  <c r="AH227" i="22" s="1"/>
  <c r="X227" i="22" a="1"/>
  <c r="X227" i="22" s="1"/>
  <c r="AI227" i="22" s="1" a="1"/>
  <c r="AI227" i="22" s="1"/>
  <c r="Q228" i="22" a="1"/>
  <c r="Q228" i="22"/>
  <c r="R228" i="22" a="1"/>
  <c r="R228" i="22" s="1"/>
  <c r="AC228" i="22" s="1" a="1"/>
  <c r="AC228" i="22" s="1"/>
  <c r="S228" i="22" a="1"/>
  <c r="S228" i="22" s="1"/>
  <c r="AD228" i="22" s="1" a="1"/>
  <c r="AD228" i="22" s="1"/>
  <c r="T228" i="22" a="1"/>
  <c r="T228" i="22" s="1"/>
  <c r="AE228" i="22" s="1" a="1"/>
  <c r="AE228" i="22" s="1"/>
  <c r="U228" i="22" a="1"/>
  <c r="U228" i="22" s="1"/>
  <c r="AF228" i="22" s="1" a="1"/>
  <c r="AF228" i="22" s="1"/>
  <c r="V228" i="22" a="1"/>
  <c r="V228" i="22" s="1"/>
  <c r="AG228" i="22" s="1" a="1"/>
  <c r="AG228" i="22" s="1"/>
  <c r="W228" i="22" a="1"/>
  <c r="W228" i="22" s="1"/>
  <c r="AH228" i="22" s="1" a="1"/>
  <c r="AH228" i="22" s="1"/>
  <c r="X228" i="22" a="1"/>
  <c r="X228" i="22" s="1"/>
  <c r="AI228" i="22" s="1" a="1"/>
  <c r="AI228" i="22" s="1"/>
  <c r="Q229" i="22" a="1"/>
  <c r="Q229" i="22" s="1"/>
  <c r="R229" i="22" a="1"/>
  <c r="R229" i="22" s="1"/>
  <c r="AC229" i="22" s="1" a="1"/>
  <c r="AC229" i="22" s="1"/>
  <c r="S229" i="22" a="1"/>
  <c r="S229" i="22" s="1"/>
  <c r="AD229" i="22" s="1" a="1"/>
  <c r="AD229" i="22" s="1"/>
  <c r="T229" i="22" a="1"/>
  <c r="T229" i="22" s="1"/>
  <c r="AE229" i="22" s="1" a="1"/>
  <c r="AE229" i="22" s="1"/>
  <c r="U229" i="22" a="1"/>
  <c r="U229" i="22" s="1"/>
  <c r="AF229" i="22" s="1" a="1"/>
  <c r="AF229" i="22" s="1"/>
  <c r="V229" i="22" a="1"/>
  <c r="V229" i="22" s="1"/>
  <c r="AG229" i="22" s="1" a="1"/>
  <c r="AG229" i="22" s="1"/>
  <c r="W229" i="22" a="1"/>
  <c r="W229" i="22" s="1"/>
  <c r="AH229" i="22" s="1" a="1"/>
  <c r="AH229" i="22" s="1"/>
  <c r="X229" i="22" a="1"/>
  <c r="X229" i="22" s="1"/>
  <c r="AI229" i="22" s="1" a="1"/>
  <c r="AI229" i="22" s="1"/>
  <c r="Q230" i="22" a="1"/>
  <c r="Q230" i="22"/>
  <c r="R230" i="22" a="1"/>
  <c r="R230" i="22" s="1"/>
  <c r="AC230" i="22" s="1" a="1"/>
  <c r="AC230" i="22" s="1"/>
  <c r="S230" i="22" a="1"/>
  <c r="S230" i="22" s="1"/>
  <c r="AD230" i="22" s="1" a="1"/>
  <c r="AD230" i="22" s="1"/>
  <c r="T230" i="22" a="1"/>
  <c r="T230" i="22" s="1"/>
  <c r="U230" i="22" a="1"/>
  <c r="U230" i="22" s="1"/>
  <c r="AF230" i="22" s="1" a="1"/>
  <c r="AF230" i="22" s="1"/>
  <c r="V230" i="22" a="1"/>
  <c r="V230" i="22" s="1"/>
  <c r="AG230" i="22" s="1" a="1"/>
  <c r="AG230" i="22" s="1"/>
  <c r="W230" i="22" a="1"/>
  <c r="W230" i="22" s="1"/>
  <c r="AH230" i="22" s="1" a="1"/>
  <c r="AH230" i="22" s="1"/>
  <c r="X230" i="22" a="1"/>
  <c r="X230" i="22" s="1"/>
  <c r="AI230" i="22" s="1" a="1"/>
  <c r="AI230" i="22" s="1"/>
  <c r="Q231" i="22" a="1"/>
  <c r="Q231" i="22" s="1"/>
  <c r="R231" i="22" a="1"/>
  <c r="R231" i="22" s="1"/>
  <c r="AC231" i="22" s="1" a="1"/>
  <c r="AC231" i="22" s="1"/>
  <c r="S231" i="22" a="1"/>
  <c r="S231" i="22" s="1"/>
  <c r="AD231" i="22" s="1" a="1"/>
  <c r="AD231" i="22" s="1"/>
  <c r="T231" i="22" a="1"/>
  <c r="T231" i="22" s="1"/>
  <c r="AE231" i="22" s="1" a="1"/>
  <c r="U231" i="22" a="1"/>
  <c r="U231" i="22" s="1"/>
  <c r="AF231" i="22" s="1" a="1"/>
  <c r="AF231" i="22" s="1"/>
  <c r="V231" i="22" a="1"/>
  <c r="V231" i="22"/>
  <c r="AG231" i="22" s="1" a="1"/>
  <c r="AG231" i="22" s="1"/>
  <c r="W231" i="22" a="1"/>
  <c r="W231" i="22" s="1"/>
  <c r="AH231" i="22" s="1" a="1"/>
  <c r="AH231" i="22" s="1"/>
  <c r="X231" i="22" a="1"/>
  <c r="X231" i="22" s="1"/>
  <c r="AI231" i="22" s="1" a="1"/>
  <c r="AI231" i="22" s="1"/>
  <c r="AE231" i="22"/>
  <c r="Q232" i="22" a="1"/>
  <c r="Q232" i="22" s="1"/>
  <c r="R232" i="22" a="1"/>
  <c r="R232" i="22" s="1"/>
  <c r="S232" i="22" a="1"/>
  <c r="S232" i="22" s="1"/>
  <c r="AD232" i="22" s="1" a="1"/>
  <c r="AD232" i="22" s="1"/>
  <c r="T232" i="22" a="1"/>
  <c r="T232" i="22" s="1"/>
  <c r="AE232" i="22" s="1" a="1"/>
  <c r="AE232" i="22" s="1"/>
  <c r="U232" i="22" a="1"/>
  <c r="U232" i="22" s="1"/>
  <c r="AF232" i="22" s="1" a="1"/>
  <c r="AF232" i="22" s="1"/>
  <c r="V232" i="22" a="1"/>
  <c r="V232" i="22" s="1"/>
  <c r="AG232" i="22" s="1" a="1"/>
  <c r="AG232" i="22" s="1"/>
  <c r="W232" i="22" a="1"/>
  <c r="W232" i="22" s="1"/>
  <c r="AH232" i="22" s="1" a="1"/>
  <c r="AH232" i="22" s="1"/>
  <c r="X232" i="22" a="1"/>
  <c r="X232" i="22" s="1"/>
  <c r="AI232" i="22" s="1" a="1"/>
  <c r="AI232" i="22" s="1"/>
  <c r="Q233" i="22" a="1"/>
  <c r="Q233" i="22"/>
  <c r="R233" i="22" a="1"/>
  <c r="R233" i="22" s="1"/>
  <c r="AC233" i="22" s="1" a="1"/>
  <c r="AC233" i="22" s="1"/>
  <c r="S233" i="22" a="1"/>
  <c r="S233" i="22"/>
  <c r="AD233" i="22" s="1" a="1"/>
  <c r="AD233" i="22" s="1"/>
  <c r="T233" i="22" a="1"/>
  <c r="T233" i="22" s="1"/>
  <c r="AE233" i="22" s="1" a="1"/>
  <c r="AE233" i="22" s="1"/>
  <c r="U233" i="22" a="1"/>
  <c r="U233" i="22" s="1"/>
  <c r="AF233" i="22" s="1" a="1"/>
  <c r="AF233" i="22" s="1"/>
  <c r="V233" i="22" a="1"/>
  <c r="V233" i="22" s="1"/>
  <c r="AG233" i="22" s="1" a="1"/>
  <c r="AG233" i="22" s="1"/>
  <c r="W233" i="22" a="1"/>
  <c r="W233" i="22" s="1"/>
  <c r="AH233" i="22" s="1" a="1"/>
  <c r="AH233" i="22" s="1"/>
  <c r="X233" i="22" a="1"/>
  <c r="X233" i="22" s="1"/>
  <c r="AI233" i="22" s="1" a="1"/>
  <c r="AI233" i="22" s="1"/>
  <c r="Q234" i="22" a="1"/>
  <c r="Q234" i="22" s="1"/>
  <c r="R234" i="22" a="1"/>
  <c r="R234" i="22" s="1"/>
  <c r="AC234" i="22" s="1" a="1"/>
  <c r="AC234" i="22" s="1"/>
  <c r="S234" i="22" a="1"/>
  <c r="S234" i="22"/>
  <c r="AD234" i="22" s="1" a="1"/>
  <c r="AD234" i="22" s="1"/>
  <c r="T234" i="22" a="1"/>
  <c r="T234" i="22" s="1"/>
  <c r="U234" i="22" a="1"/>
  <c r="U234" i="22" s="1"/>
  <c r="AF234" i="22" s="1" a="1"/>
  <c r="AF234" i="22" s="1"/>
  <c r="V234" i="22" a="1"/>
  <c r="V234" i="22" s="1"/>
  <c r="AG234" i="22" s="1" a="1"/>
  <c r="AG234" i="22" s="1"/>
  <c r="W234" i="22" a="1"/>
  <c r="W234" i="22"/>
  <c r="AH234" i="22" s="1" a="1"/>
  <c r="AH234" i="22" s="1"/>
  <c r="X234" i="22" a="1"/>
  <c r="X234" i="22" s="1"/>
  <c r="AI234" i="22" s="1" a="1"/>
  <c r="AI234" i="22" s="1"/>
  <c r="AE234" i="22" a="1"/>
  <c r="AE234" i="22" s="1"/>
  <c r="Q235" i="22" a="1"/>
  <c r="Q235" i="22" s="1"/>
  <c r="R235" i="22" a="1"/>
  <c r="R235" i="22" s="1"/>
  <c r="AC235" i="22" s="1" a="1"/>
  <c r="AC235" i="22" s="1"/>
  <c r="S235" i="22" a="1"/>
  <c r="S235" i="22" s="1"/>
  <c r="AD235" i="22" s="1" a="1"/>
  <c r="AD235" i="22" s="1"/>
  <c r="T235" i="22" a="1"/>
  <c r="T235" i="22" s="1"/>
  <c r="AE235" i="22" s="1" a="1"/>
  <c r="AE235" i="22" s="1"/>
  <c r="U235" i="22" a="1"/>
  <c r="U235" i="22" s="1"/>
  <c r="AF235" i="22" s="1" a="1"/>
  <c r="AF235" i="22" s="1"/>
  <c r="V235" i="22" a="1"/>
  <c r="V235" i="22" s="1"/>
  <c r="AG235" i="22" s="1" a="1"/>
  <c r="AG235" i="22" s="1"/>
  <c r="W235" i="22" a="1"/>
  <c r="W235" i="22" s="1"/>
  <c r="AH235" i="22" s="1" a="1"/>
  <c r="AH235" i="22" s="1"/>
  <c r="X235" i="22" a="1"/>
  <c r="X235" i="22" s="1"/>
  <c r="AI235" i="22" s="1" a="1"/>
  <c r="AI235" i="22" s="1"/>
  <c r="Q236" i="22" a="1"/>
  <c r="Q236" i="22" s="1"/>
  <c r="R236" i="22" a="1"/>
  <c r="R236" i="22" s="1"/>
  <c r="AC236" i="22" s="1" a="1"/>
  <c r="AC236" i="22" s="1"/>
  <c r="S236" i="22" a="1"/>
  <c r="S236" i="22" s="1"/>
  <c r="AD236" i="22" s="1" a="1"/>
  <c r="AD236" i="22" s="1"/>
  <c r="T236" i="22" a="1"/>
  <c r="T236" i="22"/>
  <c r="AE236" i="22" s="1" a="1"/>
  <c r="AE236" i="22" s="1"/>
  <c r="U236" i="22" a="1"/>
  <c r="U236" i="22"/>
  <c r="AF236" i="22" s="1" a="1"/>
  <c r="AF236" i="22" s="1"/>
  <c r="V236" i="22" a="1"/>
  <c r="V236" i="22" s="1"/>
  <c r="AG236" i="22" s="1" a="1"/>
  <c r="AG236" i="22" s="1"/>
  <c r="W236" i="22" a="1"/>
  <c r="W236" i="22" s="1"/>
  <c r="AH236" i="22" s="1" a="1"/>
  <c r="AH236" i="22" s="1"/>
  <c r="X236" i="22" a="1"/>
  <c r="X236" i="22" s="1"/>
  <c r="AI236" i="22" s="1" a="1"/>
  <c r="AI236" i="22" s="1"/>
  <c r="Q237" i="22" a="1"/>
  <c r="Q237" i="22" s="1"/>
  <c r="R237" i="22" a="1"/>
  <c r="R237" i="22" s="1"/>
  <c r="AC237" i="22" s="1" a="1"/>
  <c r="AC237" i="22" s="1"/>
  <c r="S237" i="22" a="1"/>
  <c r="S237" i="22"/>
  <c r="AD237" i="22" s="1" a="1"/>
  <c r="AD237" i="22" s="1"/>
  <c r="T237" i="22" a="1"/>
  <c r="T237" i="22" s="1"/>
  <c r="AE237" i="22" s="1" a="1"/>
  <c r="AE237" i="22" s="1"/>
  <c r="U237" i="22" a="1"/>
  <c r="U237" i="22" s="1"/>
  <c r="AF237" i="22" s="1" a="1"/>
  <c r="AF237" i="22" s="1"/>
  <c r="V237" i="22" a="1"/>
  <c r="V237" i="22" s="1"/>
  <c r="AG237" i="22" s="1" a="1"/>
  <c r="AG237" i="22" s="1"/>
  <c r="W237" i="22" a="1"/>
  <c r="W237" i="22" s="1"/>
  <c r="AH237" i="22" s="1" a="1"/>
  <c r="AH237" i="22" s="1"/>
  <c r="X237" i="22" a="1"/>
  <c r="X237" i="22" s="1"/>
  <c r="AI237" i="22" s="1" a="1"/>
  <c r="AI237" i="22" s="1"/>
  <c r="Q238" i="22" a="1"/>
  <c r="Q238" i="22" s="1"/>
  <c r="R238" i="22" a="1"/>
  <c r="R238" i="22" s="1"/>
  <c r="AC238" i="22" s="1" a="1"/>
  <c r="AC238" i="22" s="1"/>
  <c r="S238" i="22" a="1"/>
  <c r="S238" i="22" s="1"/>
  <c r="AD238" i="22" s="1" a="1"/>
  <c r="AD238" i="22" s="1"/>
  <c r="T238" i="22" a="1"/>
  <c r="T238" i="22" s="1"/>
  <c r="U238" i="22" a="1"/>
  <c r="U238" i="22" s="1"/>
  <c r="AF238" i="22" s="1" a="1"/>
  <c r="AF238" i="22" s="1"/>
  <c r="V238" i="22" a="1"/>
  <c r="V238" i="22" s="1"/>
  <c r="AG238" i="22" s="1" a="1"/>
  <c r="AG238" i="22" s="1"/>
  <c r="W238" i="22" a="1"/>
  <c r="W238" i="22" s="1"/>
  <c r="AH238" i="22" s="1" a="1"/>
  <c r="AH238" i="22" s="1"/>
  <c r="X238" i="22" a="1"/>
  <c r="X238" i="22" s="1"/>
  <c r="AI238" i="22" s="1" a="1"/>
  <c r="AI238" i="22" s="1"/>
  <c r="Q239" i="22" a="1"/>
  <c r="Q239" i="22" s="1"/>
  <c r="R239" i="22" a="1"/>
  <c r="R239" i="22" s="1"/>
  <c r="AC239" i="22" s="1" a="1"/>
  <c r="AC239" i="22" s="1"/>
  <c r="S239" i="22" a="1"/>
  <c r="S239" i="22"/>
  <c r="AD239" i="22" s="1" a="1"/>
  <c r="AD239" i="22" s="1"/>
  <c r="T239" i="22" a="1"/>
  <c r="T239" i="22" s="1"/>
  <c r="AE239" i="22" s="1" a="1"/>
  <c r="AE239" i="22" s="1"/>
  <c r="U239" i="22" a="1"/>
  <c r="U239" i="22" s="1"/>
  <c r="AF239" i="22" s="1" a="1"/>
  <c r="AF239" i="22" s="1"/>
  <c r="V239" i="22" a="1"/>
  <c r="V239" i="22" s="1"/>
  <c r="AG239" i="22" s="1" a="1"/>
  <c r="AG239" i="22" s="1"/>
  <c r="W239" i="22" a="1"/>
  <c r="W239" i="22"/>
  <c r="AH239" i="22" s="1" a="1"/>
  <c r="AH239" i="22" s="1"/>
  <c r="X239" i="22" a="1"/>
  <c r="X239" i="22" s="1"/>
  <c r="AI239" i="22" s="1" a="1"/>
  <c r="AI239" i="22" s="1"/>
  <c r="AB124" i="22" l="1" a="1"/>
  <c r="AB124" i="22" s="1"/>
  <c r="Z20" i="22" a="1"/>
  <c r="Z20" i="22" s="1"/>
  <c r="AB98" i="22" a="1"/>
  <c r="AB98" i="22" s="1"/>
  <c r="Y132" i="22" a="1"/>
  <c r="Y132" i="22" s="1"/>
  <c r="Y171" i="22" a="1"/>
  <c r="Y171" i="22" s="1"/>
  <c r="AB165" i="22" a="1"/>
  <c r="AB165" i="22" s="1"/>
  <c r="Z169" i="22" a="1"/>
  <c r="Z169" i="22" s="1"/>
  <c r="AB223" i="22" a="1"/>
  <c r="AB223" i="22" s="1"/>
  <c r="Y198" i="22" a="1"/>
  <c r="Y198" i="22" s="1"/>
  <c r="AD84" i="22" a="1"/>
  <c r="AD84" i="22" s="1"/>
  <c r="AA84" i="22" a="1"/>
  <c r="AA84" i="22" s="1"/>
  <c r="AA219" i="22" a="1"/>
  <c r="AA219" i="22" s="1"/>
  <c r="AB224" i="22" a="1"/>
  <c r="AB224" i="22" s="1"/>
  <c r="AE188" i="22" a="1"/>
  <c r="AE188" i="22" s="1"/>
  <c r="AA188" i="22" a="1"/>
  <c r="AA188" i="22" s="1"/>
  <c r="AA62" i="22" a="1"/>
  <c r="AA62" i="22" s="1"/>
  <c r="AE62" i="22" a="1"/>
  <c r="AE62" i="22" s="1"/>
  <c r="Y130" i="22" a="1"/>
  <c r="Y130" i="22" s="1"/>
  <c r="Y191" i="22" a="1"/>
  <c r="Y191" i="22" s="1"/>
  <c r="AC191" i="22" a="1"/>
  <c r="AC191" i="22" s="1"/>
  <c r="AB231" i="22" a="1"/>
  <c r="AB231" i="22" s="1"/>
  <c r="AA214" i="22" a="1"/>
  <c r="AA214" i="22" s="1"/>
  <c r="Z108" i="22" a="1"/>
  <c r="Z108" i="22" s="1"/>
  <c r="AC108" i="22" a="1"/>
  <c r="AC108" i="22" s="1"/>
  <c r="AB74" i="22" a="1"/>
  <c r="AB74" i="22" s="1"/>
  <c r="Y192" i="22" a="1"/>
  <c r="Y192" i="22" s="1"/>
  <c r="AB192" i="22" a="1"/>
  <c r="AB192" i="22" s="1"/>
  <c r="AB190" i="22" a="1"/>
  <c r="AB190" i="22" s="1"/>
  <c r="Y115" i="22" a="1"/>
  <c r="Y115" i="22" s="1"/>
  <c r="AA86" i="22" a="1"/>
  <c r="AA86" i="22" s="1"/>
  <c r="Z190" i="22" a="1"/>
  <c r="Z190" i="22" s="1"/>
  <c r="AB186" i="22" a="1"/>
  <c r="AB186" i="22" s="1"/>
  <c r="AA45" i="22" a="1"/>
  <c r="AA45" i="22" s="1"/>
  <c r="AD45" i="22" a="1"/>
  <c r="AD45" i="22" s="1"/>
  <c r="Z210" i="22" a="1"/>
  <c r="Z210" i="22" s="1"/>
  <c r="AA187" i="22" a="1"/>
  <c r="AA187" i="22" s="1"/>
  <c r="Z165" i="22" a="1"/>
  <c r="Z165" i="22" s="1"/>
  <c r="AC61" i="22" a="1"/>
  <c r="AC61" i="22" s="1"/>
  <c r="Z61" i="22" a="1"/>
  <c r="Z61" i="22" s="1"/>
  <c r="Z135" i="22" a="1"/>
  <c r="Z135" i="22" s="1"/>
  <c r="AB80" i="22" a="1"/>
  <c r="AB80" i="22" s="1"/>
  <c r="Y173" i="22" a="1"/>
  <c r="Y173" i="22" s="1"/>
  <c r="AB189" i="22" a="1"/>
  <c r="AB189" i="22" s="1"/>
  <c r="AB65" i="22" a="1"/>
  <c r="AB65" i="22" s="1"/>
  <c r="Y167" i="22" a="1"/>
  <c r="Y167" i="22" s="1"/>
  <c r="AB172" i="22" a="1"/>
  <c r="AB172" i="22" s="1"/>
  <c r="Z120" i="22" a="1"/>
  <c r="Z120" i="22" s="1"/>
  <c r="AB236" i="22" a="1"/>
  <c r="AB236" i="22" s="1"/>
  <c r="AA150" i="22" a="1"/>
  <c r="AA150" i="22" s="1"/>
  <c r="AE85" i="22" a="1"/>
  <c r="AE85" i="22" s="1"/>
  <c r="Y85" i="22" a="1"/>
  <c r="Y85" i="22" s="1"/>
  <c r="AA35" i="22" a="1"/>
  <c r="AA35" i="22" s="1"/>
  <c r="AB100" i="22" a="1"/>
  <c r="AB100" i="22" s="1"/>
  <c r="AC172" i="22" a="1"/>
  <c r="AC172" i="22" s="1"/>
  <c r="Z211" i="22" a="1"/>
  <c r="Z211" i="22" s="1"/>
  <c r="Z45" i="22" a="1"/>
  <c r="Z45" i="22" s="1"/>
  <c r="Z15" i="22" a="1"/>
  <c r="Z15" i="22" s="1"/>
  <c r="Z162" i="22" a="1"/>
  <c r="Z162" i="22" s="1"/>
  <c r="AB41" i="22" a="1"/>
  <c r="AB41" i="22" s="1"/>
  <c r="AB191" i="22" a="1"/>
  <c r="AB191" i="22" s="1"/>
  <c r="Z206" i="22" a="1"/>
  <c r="Z206" i="22" s="1"/>
  <c r="Z133" i="22" a="1"/>
  <c r="Z133" i="22" s="1"/>
  <c r="Z82" i="22" a="1"/>
  <c r="Z82" i="22" s="1"/>
  <c r="AA191" i="22" a="1"/>
  <c r="AA191" i="22" s="1"/>
  <c r="Z173" i="22" a="1"/>
  <c r="Z173" i="22" s="1"/>
  <c r="AC64" i="22" a="1"/>
  <c r="AC64" i="22" s="1"/>
  <c r="Y64" i="22" a="1"/>
  <c r="Y64" i="22" s="1"/>
  <c r="AB143" i="22" a="1"/>
  <c r="AB143" i="22" s="1"/>
  <c r="Y79" i="22" a="1"/>
  <c r="Y79" i="22" s="1"/>
  <c r="AC79" i="22" a="1"/>
  <c r="AC79" i="22" s="1"/>
  <c r="AB91" i="22" a="1"/>
  <c r="AB91" i="22" s="1"/>
  <c r="AB38" i="22" a="1"/>
  <c r="AB38" i="22" s="1"/>
  <c r="AF38" i="22" a="1"/>
  <c r="AF38" i="22" s="1"/>
  <c r="AA37" i="22" a="1"/>
  <c r="AA37" i="22" s="1"/>
  <c r="AA97" i="22" a="1"/>
  <c r="AA97" i="22" s="1"/>
  <c r="AA81" i="22" a="1"/>
  <c r="AA81" i="22" s="1"/>
  <c r="AB81" i="22" a="1"/>
  <c r="AB81" i="22" s="1"/>
  <c r="I115" i="56"/>
  <c r="I114" i="56"/>
  <c r="I101" i="56"/>
  <c r="M98" i="56"/>
  <c r="Z98" i="56" a="1"/>
  <c r="Z98" i="56" s="1"/>
  <c r="AA98" i="56" a="1"/>
  <c r="AA98" i="56" s="1"/>
  <c r="AB98" i="56" a="1"/>
  <c r="AB98" i="56" s="1"/>
  <c r="AC98" i="56" a="1"/>
  <c r="AC98" i="56" s="1"/>
  <c r="AD98" i="56" a="1"/>
  <c r="AD98" i="56" s="1"/>
  <c r="I107" i="56"/>
  <c r="AA107" i="56" s="1" a="1"/>
  <c r="AA107" i="56" s="1"/>
  <c r="I109" i="56"/>
  <c r="AA109" i="56" s="1" a="1"/>
  <c r="AA109" i="56" s="1"/>
  <c r="I94" i="56"/>
  <c r="AB94" i="56" s="1" a="1"/>
  <c r="AB94" i="56" s="1"/>
  <c r="I110" i="56"/>
  <c r="AA110" i="56" s="1" a="1"/>
  <c r="AA110" i="56" s="1"/>
  <c r="I106" i="56"/>
  <c r="M106" i="56" s="1"/>
  <c r="I92" i="56"/>
  <c r="AA92" i="56" s="1" a="1"/>
  <c r="AA92" i="56" s="1"/>
  <c r="I108" i="56"/>
  <c r="I93" i="56"/>
  <c r="I97" i="56"/>
  <c r="I104" i="56"/>
  <c r="I80" i="56"/>
  <c r="I100" i="56"/>
  <c r="I88" i="56"/>
  <c r="I89" i="56"/>
  <c r="I90" i="56"/>
  <c r="I102" i="56"/>
  <c r="I96" i="56"/>
  <c r="I112" i="56"/>
  <c r="I113" i="56"/>
  <c r="I91" i="56"/>
  <c r="I103" i="56"/>
  <c r="I111" i="56"/>
  <c r="I99" i="56"/>
  <c r="I95" i="56"/>
  <c r="I105" i="56"/>
  <c r="I77" i="56"/>
  <c r="I87" i="56"/>
  <c r="I86" i="56"/>
  <c r="I81" i="56"/>
  <c r="I85" i="56"/>
  <c r="I84" i="56"/>
  <c r="I74" i="56"/>
  <c r="I83" i="56"/>
  <c r="I82" i="56"/>
  <c r="I75" i="56"/>
  <c r="I78" i="56"/>
  <c r="I76" i="56"/>
  <c r="I71" i="56"/>
  <c r="I79" i="56"/>
  <c r="I72" i="56"/>
  <c r="I73" i="56"/>
  <c r="I67" i="56"/>
  <c r="M67" i="56" s="1"/>
  <c r="I69" i="56"/>
  <c r="I70" i="56"/>
  <c r="I68" i="56"/>
  <c r="I63" i="56"/>
  <c r="M63" i="56" s="1"/>
  <c r="I66" i="56"/>
  <c r="I65" i="56"/>
  <c r="I64" i="56"/>
  <c r="I61" i="56"/>
  <c r="I62" i="56"/>
  <c r="I59" i="56"/>
  <c r="I60" i="56"/>
  <c r="I52" i="56"/>
  <c r="M52" i="56" s="1"/>
  <c r="I58" i="56"/>
  <c r="I57" i="56"/>
  <c r="I56" i="56"/>
  <c r="I55" i="56"/>
  <c r="I54" i="56"/>
  <c r="I53" i="56"/>
  <c r="I44" i="56"/>
  <c r="M44" i="56" s="1"/>
  <c r="I51" i="56"/>
  <c r="I50" i="56"/>
  <c r="I49" i="56"/>
  <c r="I46" i="56"/>
  <c r="I45" i="56"/>
  <c r="I32" i="56"/>
  <c r="Z32" i="56" s="1" a="1"/>
  <c r="Z32" i="56" s="1"/>
  <c r="I47" i="56"/>
  <c r="I13" i="56"/>
  <c r="Z13" i="56" s="1" a="1"/>
  <c r="Z13" i="56" s="1"/>
  <c r="I48" i="56"/>
  <c r="I41" i="56"/>
  <c r="AD41" i="56" s="1" a="1"/>
  <c r="AD41" i="56" s="1"/>
  <c r="I30" i="56"/>
  <c r="Z30" i="56" s="1" a="1"/>
  <c r="Z30" i="56" s="1"/>
  <c r="I36" i="56"/>
  <c r="Z36" i="56" s="1" a="1"/>
  <c r="Z36" i="56" s="1"/>
  <c r="I31" i="56"/>
  <c r="I40" i="56"/>
  <c r="I26" i="56"/>
  <c r="I18" i="56"/>
  <c r="I27" i="56"/>
  <c r="I37" i="56"/>
  <c r="I15" i="56"/>
  <c r="I29" i="56"/>
  <c r="I23" i="56"/>
  <c r="I35" i="56"/>
  <c r="I38" i="56"/>
  <c r="I21" i="56"/>
  <c r="I42" i="56"/>
  <c r="I24" i="56"/>
  <c r="I20" i="56"/>
  <c r="I28" i="56"/>
  <c r="I17" i="56"/>
  <c r="I19" i="56"/>
  <c r="I22" i="56"/>
  <c r="I43" i="56"/>
  <c r="I33" i="56"/>
  <c r="I39" i="56"/>
  <c r="I25" i="56"/>
  <c r="I16" i="56"/>
  <c r="I34" i="56"/>
  <c r="I14" i="56"/>
  <c r="AE238" i="22" a="1"/>
  <c r="AE238" i="22" s="1"/>
  <c r="AA238" i="22" a="1"/>
  <c r="AA238" i="22" s="1"/>
  <c r="AB238" i="22" a="1"/>
  <c r="AB238" i="22" s="1"/>
  <c r="AA212" i="22" a="1"/>
  <c r="AA212" i="22" s="1"/>
  <c r="Y212" i="22" a="1"/>
  <c r="Y212" i="22" s="1"/>
  <c r="Z212" i="22" a="1"/>
  <c r="Z212" i="22" s="1"/>
  <c r="AB212" i="22" a="1"/>
  <c r="AB212" i="22" s="1"/>
  <c r="AD163" i="22" a="1"/>
  <c r="AD163" i="22" s="1"/>
  <c r="Z163" i="22" a="1"/>
  <c r="Z163" i="22" s="1"/>
  <c r="AB228" i="22" a="1"/>
  <c r="AB228" i="22" s="1"/>
  <c r="AE221" i="22" a="1"/>
  <c r="AE221" i="22" s="1"/>
  <c r="Z221" i="22" a="1"/>
  <c r="Z221" i="22" s="1"/>
  <c r="AD213" i="22" a="1"/>
  <c r="AD213" i="22" s="1"/>
  <c r="Y213" i="22" a="1"/>
  <c r="Y213" i="22" s="1"/>
  <c r="AA213" i="22" a="1"/>
  <c r="AA213" i="22" s="1"/>
  <c r="Z213" i="22" a="1"/>
  <c r="Z213" i="22" s="1"/>
  <c r="AB226" i="22" a="1"/>
  <c r="AB226" i="22" s="1"/>
  <c r="AI166" i="22" a="1"/>
  <c r="AI166" i="22" s="1"/>
  <c r="AA166" i="22" a="1"/>
  <c r="AA166" i="22" s="1"/>
  <c r="AE218" i="22" a="1"/>
  <c r="AE218" i="22" s="1"/>
  <c r="AA218" i="22" a="1"/>
  <c r="AA218" i="22" s="1"/>
  <c r="AC194" i="22" a="1"/>
  <c r="AC194" i="22" s="1"/>
  <c r="Y194" i="22" a="1"/>
  <c r="Y194" i="22" s="1"/>
  <c r="Z194" i="22" a="1"/>
  <c r="Z194" i="22" s="1"/>
  <c r="AA194" i="22" a="1"/>
  <c r="AA194" i="22" s="1"/>
  <c r="Y237" i="22" a="1"/>
  <c r="Y237" i="22" s="1"/>
  <c r="Z229" i="22" a="1"/>
  <c r="Z229" i="22" s="1"/>
  <c r="AB229" i="22" a="1"/>
  <c r="AB229" i="22" s="1"/>
  <c r="Y229" i="22" a="1"/>
  <c r="Y229" i="22" s="1"/>
  <c r="AA229" i="22" a="1"/>
  <c r="AA229" i="22" s="1"/>
  <c r="AB239" i="22" a="1"/>
  <c r="AB239" i="22" s="1"/>
  <c r="Y239" i="22" a="1"/>
  <c r="Y239" i="22" s="1"/>
  <c r="Z239" i="22" a="1"/>
  <c r="Z239" i="22" s="1"/>
  <c r="AA239" i="22" a="1"/>
  <c r="AA239" i="22" s="1"/>
  <c r="Z235" i="22" a="1"/>
  <c r="Z235" i="22" s="1"/>
  <c r="Y235" i="22" a="1"/>
  <c r="Y235" i="22" s="1"/>
  <c r="AA235" i="22" a="1"/>
  <c r="AA235" i="22" s="1"/>
  <c r="AB235" i="22" a="1"/>
  <c r="AB235" i="22" s="1"/>
  <c r="Z182" i="22" a="1"/>
  <c r="Z182" i="22" s="1"/>
  <c r="AF182" i="22" a="1"/>
  <c r="AF182" i="22" s="1"/>
  <c r="Y216" i="22" a="1"/>
  <c r="Y216" i="22" s="1"/>
  <c r="Y199" i="22" a="1"/>
  <c r="Y199" i="22" s="1"/>
  <c r="AB199" i="22" a="1"/>
  <c r="AB199" i="22" s="1"/>
  <c r="Z207" i="22" a="1"/>
  <c r="Z207" i="22" s="1"/>
  <c r="Y207" i="22" a="1"/>
  <c r="Y207" i="22" s="1"/>
  <c r="AA207" i="22" a="1"/>
  <c r="AA207" i="22" s="1"/>
  <c r="AB207" i="22" a="1"/>
  <c r="AB207" i="22" s="1"/>
  <c r="Z199" i="22" a="1"/>
  <c r="Z199" i="22" s="1"/>
  <c r="Y236" i="22" a="1"/>
  <c r="Y236" i="22" s="1"/>
  <c r="Z236" i="22" a="1"/>
  <c r="Z236" i="22" s="1"/>
  <c r="AA236" i="22" a="1"/>
  <c r="AA236" i="22" s="1"/>
  <c r="AC232" i="22" a="1"/>
  <c r="AC232" i="22" s="1"/>
  <c r="Y232" i="22" a="1"/>
  <c r="Y232" i="22" s="1"/>
  <c r="Z232" i="22" a="1"/>
  <c r="Z232" i="22" s="1"/>
  <c r="Z217" i="22" a="1"/>
  <c r="Z217" i="22" s="1"/>
  <c r="Y217" i="22" a="1"/>
  <c r="Y217" i="22" s="1"/>
  <c r="AA217" i="22" a="1"/>
  <c r="AA217" i="22" s="1"/>
  <c r="AB217" i="22" a="1"/>
  <c r="AB217" i="22" s="1"/>
  <c r="AB215" i="22" a="1"/>
  <c r="AB215" i="22" s="1"/>
  <c r="Z215" i="22" a="1"/>
  <c r="Z215" i="22" s="1"/>
  <c r="AA215" i="22" a="1"/>
  <c r="AA215" i="22" s="1"/>
  <c r="Y152" i="22" a="1"/>
  <c r="Y152" i="22" s="1"/>
  <c r="AB152" i="22" a="1"/>
  <c r="AB152" i="22" s="1"/>
  <c r="Y120" i="22" a="1"/>
  <c r="Y120" i="22" s="1"/>
  <c r="AA120" i="22" a="1"/>
  <c r="AA120" i="22" s="1"/>
  <c r="AB120" i="22" a="1"/>
  <c r="AB120" i="22" s="1"/>
  <c r="AA237" i="22" a="1"/>
  <c r="AA237" i="22" s="1"/>
  <c r="AA226" i="22" a="1"/>
  <c r="AA226" i="22" s="1"/>
  <c r="AC220" i="22" a="1"/>
  <c r="AC220" i="22" s="1"/>
  <c r="Z220" i="22" a="1"/>
  <c r="Z220" i="22" s="1"/>
  <c r="AB220" i="22" a="1"/>
  <c r="AB220" i="22" s="1"/>
  <c r="AA220" i="22" a="1"/>
  <c r="AA220" i="22" s="1"/>
  <c r="AA199" i="22" a="1"/>
  <c r="AA199" i="22" s="1"/>
  <c r="Y158" i="22" a="1"/>
  <c r="Y158" i="22" s="1"/>
  <c r="Z158" i="22" a="1"/>
  <c r="Z158" i="22" s="1"/>
  <c r="AA158" i="22" a="1"/>
  <c r="AA158" i="22" s="1"/>
  <c r="AB158" i="22" a="1"/>
  <c r="AB158" i="22" s="1"/>
  <c r="AG118" i="22" a="1"/>
  <c r="AG118" i="22" s="1"/>
  <c r="Z118" i="22" a="1"/>
  <c r="Z118" i="22" s="1"/>
  <c r="AB213" i="22" a="1"/>
  <c r="AB213" i="22" s="1"/>
  <c r="Y176" i="22" a="1"/>
  <c r="Y176" i="22" s="1"/>
  <c r="Z176" i="22" a="1"/>
  <c r="Z176" i="22" s="1"/>
  <c r="AA176" i="22" a="1"/>
  <c r="AA176" i="22" s="1"/>
  <c r="AB176" i="22" a="1"/>
  <c r="AB176" i="22" s="1"/>
  <c r="Z237" i="22" a="1"/>
  <c r="Z237" i="22" s="1"/>
  <c r="Z226" i="22" a="1"/>
  <c r="Z226" i="22" s="1"/>
  <c r="Z225" i="22" a="1"/>
  <c r="Z225" i="22" s="1"/>
  <c r="Z218" i="22" a="1"/>
  <c r="Z218" i="22" s="1"/>
  <c r="Y218" i="22" a="1"/>
  <c r="Y218" i="22" s="1"/>
  <c r="Y161" i="22" a="1"/>
  <c r="Y161" i="22" s="1"/>
  <c r="Z161" i="22" a="1"/>
  <c r="Z161" i="22" s="1"/>
  <c r="AA161" i="22" a="1"/>
  <c r="AA161" i="22" s="1"/>
  <c r="AC153" i="22" a="1"/>
  <c r="AC153" i="22" s="1"/>
  <c r="Y153" i="22" a="1"/>
  <c r="Y153" i="22" s="1"/>
  <c r="AC121" i="22" a="1"/>
  <c r="AC121" i="22" s="1"/>
  <c r="Y121" i="22" a="1"/>
  <c r="Y121" i="22" s="1"/>
  <c r="AA121" i="22" a="1"/>
  <c r="AA121" i="22" s="1"/>
  <c r="AB121" i="22" a="1"/>
  <c r="AB121" i="22" s="1"/>
  <c r="AE230" i="22" a="1"/>
  <c r="AE230" i="22" s="1"/>
  <c r="AA230" i="22" a="1"/>
  <c r="AA230" i="22" s="1"/>
  <c r="Y226" i="22" a="1"/>
  <c r="Y226" i="22" s="1"/>
  <c r="Y223" i="22" a="1"/>
  <c r="Y223" i="22" s="1"/>
  <c r="AA195" i="22" a="1"/>
  <c r="AA195" i="22" s="1"/>
  <c r="AB195" i="22" a="1"/>
  <c r="AB195" i="22" s="1"/>
  <c r="Y195" i="22" a="1"/>
  <c r="Y195" i="22" s="1"/>
  <c r="AB175" i="22" a="1"/>
  <c r="AB175" i="22" s="1"/>
  <c r="AE164" i="22" a="1"/>
  <c r="AE164" i="22" s="1"/>
  <c r="AA164" i="22" a="1"/>
  <c r="AA164" i="22" s="1"/>
  <c r="AA128" i="22" a="1"/>
  <c r="AA128" i="22" s="1"/>
  <c r="Y128" i="22" a="1"/>
  <c r="Y128" i="22" s="1"/>
  <c r="Z128" i="22" a="1"/>
  <c r="Z128" i="22" s="1"/>
  <c r="AB128" i="22" a="1"/>
  <c r="AB128" i="22" s="1"/>
  <c r="Z122" i="22" a="1"/>
  <c r="Z122" i="22" s="1"/>
  <c r="AA122" i="22" a="1"/>
  <c r="AA122" i="22" s="1"/>
  <c r="AB122" i="22" a="1"/>
  <c r="AB122" i="22" s="1"/>
  <c r="AC103" i="22" a="1"/>
  <c r="AC103" i="22" s="1"/>
  <c r="Y103" i="22" a="1"/>
  <c r="Y103" i="22" s="1"/>
  <c r="Y233" i="22" a="1"/>
  <c r="Y233" i="22" s="1"/>
  <c r="AB233" i="22" a="1"/>
  <c r="AB233" i="22" s="1"/>
  <c r="AA233" i="22" a="1"/>
  <c r="AA233" i="22" s="1"/>
  <c r="Y227" i="22" a="1"/>
  <c r="Y227" i="22" s="1"/>
  <c r="AB227" i="22" a="1"/>
  <c r="AB227" i="22" s="1"/>
  <c r="AA227" i="22" a="1"/>
  <c r="AA227" i="22" s="1"/>
  <c r="Y225" i="22" a="1"/>
  <c r="Y225" i="22" s="1"/>
  <c r="Z223" i="22" a="1"/>
  <c r="Z223" i="22" s="1"/>
  <c r="AA129" i="22" a="1"/>
  <c r="AA129" i="22" s="1"/>
  <c r="Y122" i="22" a="1"/>
  <c r="Y122" i="22" s="1"/>
  <c r="AC105" i="22" a="1"/>
  <c r="AC105" i="22" s="1"/>
  <c r="AB105" i="22" a="1"/>
  <c r="AB105" i="22" s="1"/>
  <c r="AA105" i="22" a="1"/>
  <c r="AA105" i="22" s="1"/>
  <c r="AA234" i="22" a="1"/>
  <c r="AA234" i="22" s="1"/>
  <c r="Y234" i="22" a="1"/>
  <c r="Y234" i="22" s="1"/>
  <c r="Z234" i="22" a="1"/>
  <c r="Z234" i="22" s="1"/>
  <c r="Z228" i="22" a="1"/>
  <c r="Z228" i="22" s="1"/>
  <c r="AA225" i="22" a="1"/>
  <c r="AA225" i="22" s="1"/>
  <c r="AB225" i="22" a="1"/>
  <c r="AB225" i="22" s="1"/>
  <c r="AB214" i="22" a="1"/>
  <c r="AB214" i="22" s="1"/>
  <c r="AB208" i="22" a="1"/>
  <c r="AB208" i="22" s="1"/>
  <c r="Z202" i="22" a="1"/>
  <c r="Z202" i="22" s="1"/>
  <c r="AA202" i="22" a="1"/>
  <c r="AA202" i="22" s="1"/>
  <c r="AB202" i="22" a="1"/>
  <c r="AB202" i="22" s="1"/>
  <c r="Y200" i="22" a="1"/>
  <c r="Y200" i="22" s="1"/>
  <c r="AB200" i="22" a="1"/>
  <c r="AB200" i="22" s="1"/>
  <c r="AA200" i="22" a="1"/>
  <c r="AA200" i="22" s="1"/>
  <c r="AA189" i="22" a="1"/>
  <c r="AA189" i="22" s="1"/>
  <c r="Z183" i="22" a="1"/>
  <c r="Z183" i="22" s="1"/>
  <c r="Y174" i="22" a="1"/>
  <c r="Y174" i="22" s="1"/>
  <c r="AB174" i="22" a="1"/>
  <c r="AB174" i="22" s="1"/>
  <c r="AA174" i="22" a="1"/>
  <c r="AA174" i="22" s="1"/>
  <c r="Z174" i="22" a="1"/>
  <c r="Z174" i="22" s="1"/>
  <c r="Z59" i="22" a="1"/>
  <c r="Z59" i="22" s="1"/>
  <c r="AA59" i="22" a="1"/>
  <c r="AA59" i="22" s="1"/>
  <c r="AB59" i="22" a="1"/>
  <c r="AB59" i="22" s="1"/>
  <c r="Y59" i="22" a="1"/>
  <c r="Y59" i="22" s="1"/>
  <c r="Y43" i="22" a="1"/>
  <c r="Y43" i="22" s="1"/>
  <c r="AB43" i="22" a="1"/>
  <c r="AB43" i="22" s="1"/>
  <c r="Z43" i="22" a="1"/>
  <c r="Z43" i="22" s="1"/>
  <c r="AA43" i="22" a="1"/>
  <c r="AA43" i="22" s="1"/>
  <c r="Z23" i="22" a="1"/>
  <c r="Z23" i="22" s="1"/>
  <c r="AF23" i="22" a="1"/>
  <c r="AF23" i="22" s="1"/>
  <c r="AB234" i="22" a="1"/>
  <c r="AB234" i="22" s="1"/>
  <c r="AA211" i="22" a="1"/>
  <c r="AA211" i="22" s="1"/>
  <c r="Z200" i="22" a="1"/>
  <c r="Z200" i="22" s="1"/>
  <c r="AA193" i="22" a="1"/>
  <c r="AA193" i="22" s="1"/>
  <c r="Z193" i="22" a="1"/>
  <c r="Z193" i="22" s="1"/>
  <c r="Y193" i="22" a="1"/>
  <c r="Y193" i="22" s="1"/>
  <c r="AB193" i="22" a="1"/>
  <c r="AB193" i="22" s="1"/>
  <c r="AB185" i="22" a="1"/>
  <c r="AB185" i="22" s="1"/>
  <c r="Z185" i="22" a="1"/>
  <c r="Z185" i="22" s="1"/>
  <c r="AA185" i="22" a="1"/>
  <c r="AA185" i="22" s="1"/>
  <c r="Y185" i="22" a="1"/>
  <c r="Y185" i="22" s="1"/>
  <c r="Y177" i="22" a="1"/>
  <c r="Y177" i="22" s="1"/>
  <c r="Y164" i="22" a="1"/>
  <c r="Y164" i="22" s="1"/>
  <c r="Y105" i="22" a="1"/>
  <c r="Y105" i="22" s="1"/>
  <c r="Y67" i="22" a="1"/>
  <c r="Y67" i="22" s="1"/>
  <c r="AB67" i="22" a="1"/>
  <c r="AB67" i="22" s="1"/>
  <c r="AA67" i="22" a="1"/>
  <c r="AA67" i="22" s="1"/>
  <c r="Z67" i="22" a="1"/>
  <c r="Z67" i="22" s="1"/>
  <c r="AB230" i="22" a="1"/>
  <c r="AB230" i="22" s="1"/>
  <c r="AB205" i="22" a="1"/>
  <c r="AB205" i="22" s="1"/>
  <c r="Y205" i="22" a="1"/>
  <c r="Y205" i="22" s="1"/>
  <c r="Z205" i="22" a="1"/>
  <c r="Z205" i="22" s="1"/>
  <c r="AA205" i="22" a="1"/>
  <c r="AA205" i="22" s="1"/>
  <c r="Y190" i="22" a="1"/>
  <c r="Y190" i="22" s="1"/>
  <c r="AA190" i="22" a="1"/>
  <c r="AA190" i="22" s="1"/>
  <c r="AA168" i="22" a="1"/>
  <c r="AA168" i="22" s="1"/>
  <c r="AA162" i="22" a="1"/>
  <c r="AA162" i="22" s="1"/>
  <c r="AB162" i="22" a="1"/>
  <c r="AB162" i="22" s="1"/>
  <c r="Y162" i="22" a="1"/>
  <c r="Y162" i="22" s="1"/>
  <c r="AB155" i="22" a="1"/>
  <c r="AB155" i="22" s="1"/>
  <c r="Y155" i="22" a="1"/>
  <c r="Y155" i="22" s="1"/>
  <c r="AA155" i="22" a="1"/>
  <c r="AA155" i="22" s="1"/>
  <c r="AA137" i="22" a="1"/>
  <c r="AA137" i="22" s="1"/>
  <c r="AB137" i="22" a="1"/>
  <c r="AB137" i="22" s="1"/>
  <c r="Y137" i="22" a="1"/>
  <c r="Y137" i="22" s="1"/>
  <c r="Z91" i="22" a="1"/>
  <c r="Z91" i="22" s="1"/>
  <c r="AA91" i="22" a="1"/>
  <c r="AA91" i="22" s="1"/>
  <c r="Y91" i="22" a="1"/>
  <c r="Y91" i="22" s="1"/>
  <c r="AA180" i="22" a="1"/>
  <c r="AA180" i="22" s="1"/>
  <c r="AE160" i="22" a="1"/>
  <c r="AE160" i="22" s="1"/>
  <c r="AA160" i="22" a="1"/>
  <c r="AA160" i="22" s="1"/>
  <c r="AA232" i="22" a="1"/>
  <c r="AA232" i="22" s="1"/>
  <c r="Y231" i="22" a="1"/>
  <c r="Y231" i="22" s="1"/>
  <c r="AA113" i="22" a="1"/>
  <c r="AA113" i="22" s="1"/>
  <c r="AB113" i="22" a="1"/>
  <c r="AB113" i="22" s="1"/>
  <c r="Z113" i="22" a="1"/>
  <c r="Z113" i="22" s="1"/>
  <c r="AB104" i="22" a="1"/>
  <c r="AB104" i="22" s="1"/>
  <c r="Y104" i="22" a="1"/>
  <c r="Y104" i="22" s="1"/>
  <c r="Z104" i="22" a="1"/>
  <c r="Z104" i="22" s="1"/>
  <c r="AA104" i="22" a="1"/>
  <c r="AA104" i="22" s="1"/>
  <c r="AF96" i="22" a="1"/>
  <c r="AF96" i="22" s="1"/>
  <c r="AB96" i="22" a="1"/>
  <c r="AB96" i="22" s="1"/>
  <c r="AA222" i="22" a="1"/>
  <c r="AA222" i="22" s="1"/>
  <c r="Y222" i="22" a="1"/>
  <c r="Y222" i="22" s="1"/>
  <c r="Z222" i="22" a="1"/>
  <c r="Z222" i="22" s="1"/>
  <c r="AB222" i="22" a="1"/>
  <c r="AB222" i="22" s="1"/>
  <c r="Y219" i="22" a="1"/>
  <c r="Y219" i="22" s="1"/>
  <c r="Z219" i="22" a="1"/>
  <c r="Z219" i="22" s="1"/>
  <c r="AA216" i="22" a="1"/>
  <c r="AA216" i="22" s="1"/>
  <c r="AA206" i="22" a="1"/>
  <c r="AA206" i="22" s="1"/>
  <c r="Y206" i="22" a="1"/>
  <c r="Y206" i="22" s="1"/>
  <c r="Z177" i="22" a="1"/>
  <c r="Z177" i="22" s="1"/>
  <c r="Y163" i="22" a="1"/>
  <c r="Y163" i="22" s="1"/>
  <c r="AB163" i="22" a="1"/>
  <c r="AB163" i="22" s="1"/>
  <c r="AB161" i="22" a="1"/>
  <c r="AB161" i="22" s="1"/>
  <c r="Z115" i="22" a="1"/>
  <c r="Z115" i="22" s="1"/>
  <c r="AA115" i="22" a="1"/>
  <c r="AA115" i="22" s="1"/>
  <c r="AB115" i="22" a="1"/>
  <c r="AB115" i="22" s="1"/>
  <c r="AD97" i="22" a="1"/>
  <c r="AD97" i="22" s="1"/>
  <c r="AB97" i="22" a="1"/>
  <c r="AB97" i="22" s="1"/>
  <c r="Z97" i="22" a="1"/>
  <c r="Z97" i="22" s="1"/>
  <c r="AB237" i="22" a="1"/>
  <c r="AB237" i="22" s="1"/>
  <c r="Z233" i="22" a="1"/>
  <c r="Z233" i="22" s="1"/>
  <c r="Z227" i="22" a="1"/>
  <c r="Z227" i="22" s="1"/>
  <c r="AA223" i="22" a="1"/>
  <c r="AA223" i="22" s="1"/>
  <c r="AB204" i="22" a="1"/>
  <c r="AB204" i="22" s="1"/>
  <c r="Z204" i="22" a="1"/>
  <c r="Z204" i="22" s="1"/>
  <c r="AA204" i="22" a="1"/>
  <c r="AA204" i="22" s="1"/>
  <c r="Z197" i="22" a="1"/>
  <c r="Z197" i="22" s="1"/>
  <c r="AB197" i="22" a="1"/>
  <c r="AB197" i="22" s="1"/>
  <c r="AC187" i="22" a="1"/>
  <c r="AC187" i="22" s="1"/>
  <c r="Y187" i="22" a="1"/>
  <c r="Y187" i="22" s="1"/>
  <c r="Z187" i="22" a="1"/>
  <c r="Z187" i="22" s="1"/>
  <c r="AF157" i="22" a="1"/>
  <c r="AF157" i="22" s="1"/>
  <c r="Y157" i="22" a="1"/>
  <c r="Y157" i="22" s="1"/>
  <c r="AE99" i="22" a="1"/>
  <c r="AE99" i="22" s="1"/>
  <c r="AB99" i="22" a="1"/>
  <c r="AB99" i="22" s="1"/>
  <c r="AB221" i="22" a="1"/>
  <c r="AB221" i="22" s="1"/>
  <c r="AB187" i="22" a="1"/>
  <c r="AB187" i="22" s="1"/>
  <c r="AA142" i="22" a="1"/>
  <c r="AA142" i="22" s="1"/>
  <c r="AB142" i="22" a="1"/>
  <c r="AB142" i="22" s="1"/>
  <c r="Z142" i="22" a="1"/>
  <c r="Z142" i="22" s="1"/>
  <c r="Y197" i="22" a="1"/>
  <c r="Y197" i="22" s="1"/>
  <c r="Z195" i="22" a="1"/>
  <c r="Z195" i="22" s="1"/>
  <c r="Z175" i="22" a="1"/>
  <c r="Z175" i="22" s="1"/>
  <c r="Z153" i="22" a="1"/>
  <c r="Z153" i="22" s="1"/>
  <c r="AE141" i="22" a="1"/>
  <c r="AE141" i="22" s="1"/>
  <c r="AA141" i="22" a="1"/>
  <c r="AA141" i="22" s="1"/>
  <c r="Y141" i="22" a="1"/>
  <c r="Y141" i="22" s="1"/>
  <c r="AB141" i="22" a="1"/>
  <c r="AB141" i="22" s="1"/>
  <c r="AA138" i="22" a="1"/>
  <c r="AA138" i="22" s="1"/>
  <c r="Z138" i="22" a="1"/>
  <c r="Z138" i="22" s="1"/>
  <c r="AB138" i="22" a="1"/>
  <c r="AB138" i="22" s="1"/>
  <c r="Y138" i="22" a="1"/>
  <c r="Y138" i="22" s="1"/>
  <c r="AA18" i="22" a="1"/>
  <c r="AA18" i="22" s="1"/>
  <c r="Y18" i="22" a="1"/>
  <c r="Y18" i="22" s="1"/>
  <c r="AB18" i="22" a="1"/>
  <c r="AB18" i="22" s="1"/>
  <c r="Z18" i="22" a="1"/>
  <c r="Z18" i="22" s="1"/>
  <c r="AA208" i="22" a="1"/>
  <c r="AA208" i="22" s="1"/>
  <c r="Y202" i="22" a="1"/>
  <c r="Y202" i="22" s="1"/>
  <c r="AB198" i="22" a="1"/>
  <c r="AB198" i="22" s="1"/>
  <c r="Y170" i="22" a="1"/>
  <c r="Y170" i="22" s="1"/>
  <c r="Z170" i="22" a="1"/>
  <c r="Z170" i="22" s="1"/>
  <c r="AA170" i="22" a="1"/>
  <c r="AA170" i="22" s="1"/>
  <c r="AB170" i="22" a="1"/>
  <c r="AB170" i="22" s="1"/>
  <c r="AB150" i="22" a="1"/>
  <c r="AB150" i="22" s="1"/>
  <c r="Y150" i="22" a="1"/>
  <c r="Y150" i="22" s="1"/>
  <c r="Z150" i="22" a="1"/>
  <c r="Z150" i="22" s="1"/>
  <c r="AB130" i="22" a="1"/>
  <c r="AB130" i="22" s="1"/>
  <c r="Z130" i="22" a="1"/>
  <c r="Z130" i="22" s="1"/>
  <c r="AA130" i="22" a="1"/>
  <c r="AA130" i="22" s="1"/>
  <c r="Z105" i="22" a="1"/>
  <c r="Z105" i="22" s="1"/>
  <c r="AB102" i="22" a="1"/>
  <c r="AB102" i="22" s="1"/>
  <c r="AH76" i="22" a="1"/>
  <c r="AH76" i="22" s="1"/>
  <c r="AB76" i="22" a="1"/>
  <c r="AB76" i="22" s="1"/>
  <c r="AI27" i="22" a="1"/>
  <c r="AI27" i="22" s="1"/>
  <c r="AB27" i="22" a="1"/>
  <c r="AB27" i="22" s="1"/>
  <c r="AA231" i="22" a="1"/>
  <c r="AA231" i="22" s="1"/>
  <c r="Y209" i="22" a="1"/>
  <c r="Y209" i="22" s="1"/>
  <c r="Z209" i="22" a="1"/>
  <c r="Z209" i="22" s="1"/>
  <c r="AA209" i="22" a="1"/>
  <c r="AA209" i="22" s="1"/>
  <c r="AB209" i="22" a="1"/>
  <c r="AB209" i="22" s="1"/>
  <c r="AB201" i="22" a="1"/>
  <c r="AB201" i="22" s="1"/>
  <c r="Z198" i="22" a="1"/>
  <c r="Z198" i="22" s="1"/>
  <c r="AA198" i="22" a="1"/>
  <c r="AA198" i="22" s="1"/>
  <c r="AB196" i="22" a="1"/>
  <c r="AB196" i="22" s="1"/>
  <c r="AC196" i="22" a="1"/>
  <c r="AC196" i="22" s="1"/>
  <c r="Y196" i="22" a="1"/>
  <c r="Y196" i="22" s="1"/>
  <c r="Y188" i="22" a="1"/>
  <c r="Y188" i="22" s="1"/>
  <c r="Y181" i="22" a="1"/>
  <c r="Y181" i="22" s="1"/>
  <c r="Y179" i="22" a="1"/>
  <c r="Y179" i="22" s="1"/>
  <c r="AB179" i="22" a="1"/>
  <c r="AB179" i="22" s="1"/>
  <c r="Z179" i="22" a="1"/>
  <c r="Z179" i="22" s="1"/>
  <c r="AA179" i="22" a="1"/>
  <c r="AA179" i="22" s="1"/>
  <c r="AE178" i="22" a="1"/>
  <c r="AE178" i="22" s="1"/>
  <c r="AA178" i="22" a="1"/>
  <c r="AA178" i="22" s="1"/>
  <c r="AB178" i="22" a="1"/>
  <c r="AB178" i="22" s="1"/>
  <c r="Z155" i="22" a="1"/>
  <c r="Z155" i="22" s="1"/>
  <c r="AA131" i="22" a="1"/>
  <c r="AA131" i="22" s="1"/>
  <c r="AE131" i="22" a="1"/>
  <c r="AE131" i="22" s="1"/>
  <c r="AE129" i="22" a="1"/>
  <c r="AE129" i="22" s="1"/>
  <c r="AF112" i="22" a="1"/>
  <c r="AF112" i="22" s="1"/>
  <c r="Z112" i="22" a="1"/>
  <c r="Z112" i="22" s="1"/>
  <c r="AF101" i="22" a="1"/>
  <c r="AF101" i="22" s="1"/>
  <c r="AB101" i="22" a="1"/>
  <c r="AB101" i="22" s="1"/>
  <c r="AB93" i="22" a="1"/>
  <c r="AB93" i="22" s="1"/>
  <c r="AA93" i="22" a="1"/>
  <c r="AA93" i="22" s="1"/>
  <c r="Y93" i="22" a="1"/>
  <c r="Y93" i="22" s="1"/>
  <c r="Z93" i="22" a="1"/>
  <c r="Z93" i="22" s="1"/>
  <c r="AG78" i="22" a="1"/>
  <c r="AG78" i="22" s="1"/>
  <c r="Z78" i="22" a="1"/>
  <c r="Z78" i="22" s="1"/>
  <c r="Z58" i="22" a="1"/>
  <c r="Z58" i="22" s="1"/>
  <c r="AA58" i="22" a="1"/>
  <c r="AA58" i="22" s="1"/>
  <c r="AB58" i="22" a="1"/>
  <c r="AB58" i="22" s="1"/>
  <c r="Y58" i="22" a="1"/>
  <c r="Y58" i="22" s="1"/>
  <c r="AD226" i="22" a="1"/>
  <c r="AD226" i="22" s="1"/>
  <c r="AA221" i="22" a="1"/>
  <c r="AA221" i="22" s="1"/>
  <c r="AB216" i="22" a="1"/>
  <c r="AB216" i="22" s="1"/>
  <c r="Z214" i="22" a="1"/>
  <c r="Z214" i="22" s="1"/>
  <c r="AC214" i="22" a="1"/>
  <c r="AC214" i="22" s="1"/>
  <c r="Y214" i="22" a="1"/>
  <c r="Y214" i="22" s="1"/>
  <c r="AB211" i="22" a="1"/>
  <c r="AB211" i="22" s="1"/>
  <c r="Y211" i="22" a="1"/>
  <c r="Y211" i="22" s="1"/>
  <c r="Y210" i="22" a="1"/>
  <c r="Y210" i="22" s="1"/>
  <c r="AB210" i="22" a="1"/>
  <c r="AB210" i="22" s="1"/>
  <c r="AA203" i="22" a="1"/>
  <c r="AA203" i="22" s="1"/>
  <c r="Z203" i="22" a="1"/>
  <c r="Z203" i="22" s="1"/>
  <c r="AB203" i="22" a="1"/>
  <c r="AB203" i="22" s="1"/>
  <c r="AB188" i="22" a="1"/>
  <c r="AB188" i="22" s="1"/>
  <c r="AD184" i="22" a="1"/>
  <c r="AD184" i="22" s="1"/>
  <c r="Z184" i="22" a="1"/>
  <c r="Z184" i="22" s="1"/>
  <c r="AA184" i="22" a="1"/>
  <c r="AA184" i="22" s="1"/>
  <c r="AE165" i="22" a="1"/>
  <c r="AE165" i="22" s="1"/>
  <c r="AA165" i="22" a="1"/>
  <c r="AA165" i="22" s="1"/>
  <c r="AB159" i="22" a="1"/>
  <c r="AB159" i="22" s="1"/>
  <c r="AA152" i="22" a="1"/>
  <c r="AA152" i="22" s="1"/>
  <c r="Z149" i="22" a="1"/>
  <c r="Z149" i="22" s="1"/>
  <c r="AC137" i="22" a="1"/>
  <c r="AC137" i="22" s="1"/>
  <c r="Z132" i="22" a="1"/>
  <c r="Z132" i="22" s="1"/>
  <c r="AB132" i="22" a="1"/>
  <c r="AB132" i="22" s="1"/>
  <c r="AA132" i="22" a="1"/>
  <c r="AA132" i="22" s="1"/>
  <c r="Y124" i="22" a="1"/>
  <c r="Y124" i="22" s="1"/>
  <c r="Z124" i="22" a="1"/>
  <c r="Z124" i="22" s="1"/>
  <c r="AA124" i="22" a="1"/>
  <c r="AA124" i="22" s="1"/>
  <c r="AD106" i="22" a="1"/>
  <c r="AD106" i="22" s="1"/>
  <c r="Z106" i="22" a="1"/>
  <c r="Z106" i="22" s="1"/>
  <c r="AC66" i="22" a="1"/>
  <c r="AC66" i="22" s="1"/>
  <c r="AA66" i="22" a="1"/>
  <c r="AA66" i="22" s="1"/>
  <c r="AB66" i="22" a="1"/>
  <c r="AB66" i="22" s="1"/>
  <c r="Y66" i="22" a="1"/>
  <c r="Y66" i="22" s="1"/>
  <c r="Z66" i="22" a="1"/>
  <c r="Z66" i="22" s="1"/>
  <c r="Z63" i="22" a="1"/>
  <c r="Z63" i="22" s="1"/>
  <c r="AD156" i="22" a="1"/>
  <c r="AD156" i="22" s="1"/>
  <c r="AA156" i="22" a="1"/>
  <c r="AA156" i="22" s="1"/>
  <c r="AA192" i="22" a="1"/>
  <c r="AA192" i="22" s="1"/>
  <c r="Y113" i="22" a="1"/>
  <c r="Y113" i="22" s="1"/>
  <c r="Y221" i="22" a="1"/>
  <c r="Y221" i="22" s="1"/>
  <c r="Y220" i="22" a="1"/>
  <c r="Y220" i="22" s="1"/>
  <c r="AA197" i="22" a="1"/>
  <c r="AA197" i="22" s="1"/>
  <c r="Z192" i="22" a="1"/>
  <c r="Z192" i="22" s="1"/>
  <c r="AD189" i="22" a="1"/>
  <c r="AD189" i="22" s="1"/>
  <c r="Z189" i="22" a="1"/>
  <c r="Z189" i="22" s="1"/>
  <c r="Y169" i="22" a="1"/>
  <c r="Y169" i="22" s="1"/>
  <c r="AA169" i="22" a="1"/>
  <c r="AA169" i="22" s="1"/>
  <c r="AB169" i="22" a="1"/>
  <c r="AB169" i="22" s="1"/>
  <c r="Y238" i="22" a="1"/>
  <c r="Y238" i="22" s="1"/>
  <c r="Y224" i="22" a="1"/>
  <c r="Y224" i="22" s="1"/>
  <c r="Z224" i="22" a="1"/>
  <c r="Z224" i="22" s="1"/>
  <c r="AA224" i="22" a="1"/>
  <c r="AA224" i="22" s="1"/>
  <c r="Y204" i="22" a="1"/>
  <c r="Y204" i="22" s="1"/>
  <c r="Y142" i="22" a="1"/>
  <c r="Y142" i="22" s="1"/>
  <c r="Z230" i="22" a="1"/>
  <c r="Z230" i="22" s="1"/>
  <c r="Y228" i="22" a="1"/>
  <c r="Y228" i="22" s="1"/>
  <c r="AA210" i="22" a="1"/>
  <c r="AA210" i="22" s="1"/>
  <c r="AB232" i="22" a="1"/>
  <c r="AB232" i="22" s="1"/>
  <c r="Z231" i="22" a="1"/>
  <c r="Z231" i="22" s="1"/>
  <c r="AB219" i="22" a="1"/>
  <c r="AB219" i="22" s="1"/>
  <c r="AB218" i="22" a="1"/>
  <c r="AB218" i="22" s="1"/>
  <c r="Z216" i="22" a="1"/>
  <c r="Z216" i="22" s="1"/>
  <c r="Y215" i="22" a="1"/>
  <c r="Y215" i="22" s="1"/>
  <c r="AB206" i="22" a="1"/>
  <c r="AB206" i="22" s="1"/>
  <c r="Y203" i="22" a="1"/>
  <c r="Y203" i="22" s="1"/>
  <c r="AA201" i="22" a="1"/>
  <c r="AA201" i="22" s="1"/>
  <c r="AA196" i="22" a="1"/>
  <c r="AA196" i="22" s="1"/>
  <c r="Z191" i="22" a="1"/>
  <c r="Z191" i="22" s="1"/>
  <c r="Z186" i="22" a="1"/>
  <c r="Z186" i="22" s="1"/>
  <c r="Y184" i="22" a="1"/>
  <c r="Y184" i="22" s="1"/>
  <c r="AA173" i="22" a="1"/>
  <c r="AA173" i="22" s="1"/>
  <c r="AB173" i="22" a="1"/>
  <c r="AB173" i="22" s="1"/>
  <c r="Z168" i="22" a="1"/>
  <c r="Z168" i="22" s="1"/>
  <c r="AB167" i="22" a="1"/>
  <c r="AB167" i="22" s="1"/>
  <c r="AA163" i="22" a="1"/>
  <c r="AA163" i="22" s="1"/>
  <c r="Z159" i="22" a="1"/>
  <c r="Z159" i="22" s="1"/>
  <c r="Z152" i="22" a="1"/>
  <c r="Z152" i="22" s="1"/>
  <c r="AH145" i="22" a="1"/>
  <c r="AH145" i="22" s="1"/>
  <c r="AB145" i="22" a="1"/>
  <c r="AB145" i="22" s="1"/>
  <c r="Y139" i="22" a="1"/>
  <c r="Y139" i="22" s="1"/>
  <c r="AA95" i="22" a="1"/>
  <c r="AA95" i="22" s="1"/>
  <c r="AE87" i="22" a="1"/>
  <c r="AE87" i="22" s="1"/>
  <c r="AA87" i="22" a="1"/>
  <c r="AA87" i="22" s="1"/>
  <c r="AB87" i="22" a="1"/>
  <c r="AB87" i="22" s="1"/>
  <c r="AA82" i="22" a="1"/>
  <c r="AA82" i="22" s="1"/>
  <c r="AB82" i="22" a="1"/>
  <c r="AB82" i="22" s="1"/>
  <c r="Y82" i="22" a="1"/>
  <c r="Y82" i="22" s="1"/>
  <c r="Z69" i="22" a="1"/>
  <c r="Z69" i="22" s="1"/>
  <c r="AB69" i="22" a="1"/>
  <c r="AB69" i="22" s="1"/>
  <c r="AA69" i="22" a="1"/>
  <c r="AA69" i="22" s="1"/>
  <c r="Y69" i="22" a="1"/>
  <c r="Y69" i="22" s="1"/>
  <c r="AB30" i="22" a="1"/>
  <c r="AB30" i="22" s="1"/>
  <c r="Y30" i="22" a="1"/>
  <c r="Y30" i="22" s="1"/>
  <c r="Z30" i="22" a="1"/>
  <c r="Z30" i="22" s="1"/>
  <c r="AA30" i="22" a="1"/>
  <c r="AA30" i="22" s="1"/>
  <c r="AB140" i="22" a="1"/>
  <c r="AB140" i="22" s="1"/>
  <c r="Z140" i="22" a="1"/>
  <c r="Z140" i="22" s="1"/>
  <c r="AA140" i="22" a="1"/>
  <c r="AA140" i="22" s="1"/>
  <c r="Y140" i="22" a="1"/>
  <c r="Y140" i="22" s="1"/>
  <c r="Z44" i="22" a="1"/>
  <c r="Z44" i="22" s="1"/>
  <c r="AE44" i="22" a="1"/>
  <c r="AE44" i="22" s="1"/>
  <c r="Y19" i="22" a="1"/>
  <c r="Y19" i="22" s="1"/>
  <c r="AE19" i="22" a="1"/>
  <c r="AE19" i="22" s="1"/>
  <c r="Z196" i="22" a="1"/>
  <c r="Z196" i="22" s="1"/>
  <c r="AB194" i="22" a="1"/>
  <c r="AB194" i="22" s="1"/>
  <c r="Y189" i="22" a="1"/>
  <c r="Y189" i="22" s="1"/>
  <c r="AA186" i="22" a="1"/>
  <c r="AA186" i="22" s="1"/>
  <c r="AB183" i="22" a="1"/>
  <c r="AB183" i="22" s="1"/>
  <c r="AB181" i="22" a="1"/>
  <c r="AB181" i="22" s="1"/>
  <c r="Z156" i="22" a="1"/>
  <c r="Z156" i="22" s="1"/>
  <c r="AA153" i="22" a="1"/>
  <c r="AA153" i="22" s="1"/>
  <c r="AB153" i="22" a="1"/>
  <c r="AB153" i="22" s="1"/>
  <c r="AC151" i="22" a="1"/>
  <c r="AC151" i="22" s="1"/>
  <c r="Z151" i="22" a="1"/>
  <c r="Z151" i="22" s="1"/>
  <c r="AA145" i="22" a="1"/>
  <c r="AA145" i="22" s="1"/>
  <c r="AC116" i="22" a="1"/>
  <c r="AC116" i="22" s="1"/>
  <c r="Y116" i="22" a="1"/>
  <c r="Y116" i="22" s="1"/>
  <c r="AA112" i="22" a="1"/>
  <c r="AA112" i="22" s="1"/>
  <c r="AB112" i="22" a="1"/>
  <c r="AB112" i="22" s="1"/>
  <c r="Y112" i="22" a="1"/>
  <c r="Y112" i="22" s="1"/>
  <c r="AE109" i="22" a="1"/>
  <c r="AE109" i="22" s="1"/>
  <c r="Z109" i="22" a="1"/>
  <c r="Z109" i="22" s="1"/>
  <c r="Z101" i="22" a="1"/>
  <c r="Z101" i="22" s="1"/>
  <c r="AA101" i="22" a="1"/>
  <c r="AA101" i="22" s="1"/>
  <c r="Y101" i="22" a="1"/>
  <c r="Y101" i="22" s="1"/>
  <c r="AD52" i="22" a="1"/>
  <c r="AD52" i="22" s="1"/>
  <c r="Y52" i="22" a="1"/>
  <c r="Y52" i="22" s="1"/>
  <c r="Z52" i="22" a="1"/>
  <c r="Z52" i="22" s="1"/>
  <c r="AA52" i="22" a="1"/>
  <c r="AA52" i="22" s="1"/>
  <c r="Y21" i="22" a="1"/>
  <c r="Y21" i="22" s="1"/>
  <c r="Y208" i="22" a="1"/>
  <c r="Y208" i="22" s="1"/>
  <c r="Z208" i="22" a="1"/>
  <c r="Z208" i="22" s="1"/>
  <c r="AA182" i="22" a="1"/>
  <c r="AA182" i="22" s="1"/>
  <c r="Y182" i="22" a="1"/>
  <c r="Y182" i="22" s="1"/>
  <c r="AB182" i="22" a="1"/>
  <c r="AB182" i="22" s="1"/>
  <c r="AA181" i="22" a="1"/>
  <c r="AA181" i="22" s="1"/>
  <c r="AB180" i="22" a="1"/>
  <c r="AB180" i="22" s="1"/>
  <c r="Y160" i="22" a="1"/>
  <c r="Y160" i="22" s="1"/>
  <c r="AB160" i="22" a="1"/>
  <c r="AB160" i="22" s="1"/>
  <c r="AA154" i="22" a="1"/>
  <c r="AA154" i="22" s="1"/>
  <c r="AE144" i="22" a="1"/>
  <c r="AE144" i="22" s="1"/>
  <c r="AA144" i="22" a="1"/>
  <c r="AA144" i="22" s="1"/>
  <c r="AB144" i="22" a="1"/>
  <c r="AB144" i="22" s="1"/>
  <c r="Z136" i="22" a="1"/>
  <c r="Z136" i="22" s="1"/>
  <c r="AA136" i="22" a="1"/>
  <c r="AA136" i="22" s="1"/>
  <c r="AB136" i="22" a="1"/>
  <c r="AB136" i="22" s="1"/>
  <c r="Y136" i="22" a="1"/>
  <c r="Y136" i="22" s="1"/>
  <c r="Y131" i="22" a="1"/>
  <c r="Y131" i="22" s="1"/>
  <c r="Z131" i="22" a="1"/>
  <c r="Z131" i="22" s="1"/>
  <c r="AB131" i="22" a="1"/>
  <c r="AB131" i="22" s="1"/>
  <c r="AE126" i="22" a="1"/>
  <c r="AE126" i="22" s="1"/>
  <c r="AB126" i="22" a="1"/>
  <c r="AB126" i="22" s="1"/>
  <c r="AA117" i="22" a="1"/>
  <c r="AA117" i="22" s="1"/>
  <c r="AB117" i="22" a="1"/>
  <c r="AB117" i="22" s="1"/>
  <c r="AB114" i="22" a="1"/>
  <c r="AB114" i="22" s="1"/>
  <c r="Y114" i="22" a="1"/>
  <c r="Y114" i="22" s="1"/>
  <c r="Z114" i="22" a="1"/>
  <c r="Z114" i="22" s="1"/>
  <c r="AA114" i="22" a="1"/>
  <c r="AA114" i="22" s="1"/>
  <c r="AE95" i="22" a="1"/>
  <c r="AE95" i="22" s="1"/>
  <c r="AB95" i="22" a="1"/>
  <c r="AB95" i="22" s="1"/>
  <c r="Y68" i="22" a="1"/>
  <c r="Y68" i="22" s="1"/>
  <c r="Z48" i="22" a="1"/>
  <c r="Z48" i="22" s="1"/>
  <c r="AA48" i="22" a="1"/>
  <c r="AA48" i="22" s="1"/>
  <c r="AB48" i="22" a="1"/>
  <c r="AB48" i="22" s="1"/>
  <c r="Y48" i="22" a="1"/>
  <c r="Y48" i="22" s="1"/>
  <c r="AG35" i="22" a="1"/>
  <c r="AG35" i="22" s="1"/>
  <c r="Y35" i="22" a="1"/>
  <c r="Y35" i="22" s="1"/>
  <c r="AE25" i="22" a="1"/>
  <c r="AE25" i="22" s="1"/>
  <c r="AA25" i="22" a="1"/>
  <c r="AA25" i="22" s="1"/>
  <c r="Y14" i="22" a="1"/>
  <c r="Y14" i="22" s="1"/>
  <c r="Z14" i="22" a="1"/>
  <c r="Z14" i="22" s="1"/>
  <c r="AA14" i="22" a="1"/>
  <c r="AA14" i="22" s="1"/>
  <c r="AB14" i="22" a="1"/>
  <c r="AB14" i="22" s="1"/>
  <c r="Z238" i="22" a="1"/>
  <c r="Z238" i="22" s="1"/>
  <c r="AC201" i="22" a="1"/>
  <c r="AC201" i="22" s="1"/>
  <c r="AB184" i="22" a="1"/>
  <c r="AB184" i="22" s="1"/>
  <c r="AB177" i="22" a="1"/>
  <c r="AB177" i="22" s="1"/>
  <c r="AC167" i="22" a="1"/>
  <c r="AC167" i="22" s="1"/>
  <c r="AA119" i="22" a="1"/>
  <c r="AA119" i="22" s="1"/>
  <c r="Y119" i="22" a="1"/>
  <c r="Y119" i="22" s="1"/>
  <c r="AB119" i="22" a="1"/>
  <c r="AB119" i="22" s="1"/>
  <c r="Z111" i="22" a="1"/>
  <c r="Z111" i="22" s="1"/>
  <c r="AA111" i="22" a="1"/>
  <c r="AA111" i="22" s="1"/>
  <c r="Y111" i="22" a="1"/>
  <c r="Y111" i="22" s="1"/>
  <c r="AB111" i="22" a="1"/>
  <c r="AB111" i="22" s="1"/>
  <c r="Y102" i="22" a="1"/>
  <c r="Y102" i="22" s="1"/>
  <c r="AA92" i="22" a="1"/>
  <c r="AA92" i="22" s="1"/>
  <c r="AB92" i="22" a="1"/>
  <c r="AB92" i="22" s="1"/>
  <c r="Z92" i="22" a="1"/>
  <c r="Z92" i="22" s="1"/>
  <c r="Y92" i="22" a="1"/>
  <c r="Y92" i="22" s="1"/>
  <c r="AA79" i="22" a="1"/>
  <c r="AA79" i="22" s="1"/>
  <c r="AB79" i="22" a="1"/>
  <c r="AB79" i="22" s="1"/>
  <c r="Z79" i="22" a="1"/>
  <c r="Z79" i="22" s="1"/>
  <c r="Z74" i="22" a="1"/>
  <c r="Z74" i="22" s="1"/>
  <c r="AA74" i="22" a="1"/>
  <c r="AA74" i="22" s="1"/>
  <c r="Y70" i="22" a="1"/>
  <c r="Y70" i="22" s="1"/>
  <c r="Z70" i="22" a="1"/>
  <c r="Z70" i="22" s="1"/>
  <c r="AA70" i="22" a="1"/>
  <c r="AA70" i="22" s="1"/>
  <c r="AB70" i="22" a="1"/>
  <c r="AB70" i="22" s="1"/>
  <c r="AB37" i="22" a="1"/>
  <c r="AB37" i="22" s="1"/>
  <c r="Z37" i="22" a="1"/>
  <c r="Z37" i="22" s="1"/>
  <c r="Y37" i="22" a="1"/>
  <c r="Y37" i="22" s="1"/>
  <c r="AB22" i="22" a="1"/>
  <c r="AB22" i="22" s="1"/>
  <c r="Y22" i="22" a="1"/>
  <c r="Y22" i="22" s="1"/>
  <c r="AD22" i="22" a="1"/>
  <c r="AD22" i="22" s="1"/>
  <c r="AD14" i="22" a="1"/>
  <c r="AD14" i="22" s="1"/>
  <c r="Y230" i="22" a="1"/>
  <c r="Y230" i="22" s="1"/>
  <c r="AA228" i="22" a="1"/>
  <c r="AA228" i="22" s="1"/>
  <c r="Z181" i="22" a="1"/>
  <c r="Z181" i="22" s="1"/>
  <c r="Z178" i="22" a="1"/>
  <c r="Z178" i="22" s="1"/>
  <c r="AA175" i="22" a="1"/>
  <c r="AA175" i="22" s="1"/>
  <c r="Z166" i="22" a="1"/>
  <c r="Z166" i="22" s="1"/>
  <c r="Y165" i="22" a="1"/>
  <c r="Y165" i="22" s="1"/>
  <c r="Z160" i="22" a="1"/>
  <c r="Z160" i="22" s="1"/>
  <c r="Z154" i="22" a="1"/>
  <c r="Z154" i="22" s="1"/>
  <c r="AB146" i="22" a="1"/>
  <c r="AB146" i="22" s="1"/>
  <c r="AC143" i="22" a="1"/>
  <c r="AC143" i="22" s="1"/>
  <c r="Z143" i="22" a="1"/>
  <c r="Z143" i="22" s="1"/>
  <c r="AA143" i="22" a="1"/>
  <c r="AA143" i="22" s="1"/>
  <c r="AA134" i="22" a="1"/>
  <c r="AA134" i="22" s="1"/>
  <c r="AB134" i="22" a="1"/>
  <c r="AB134" i="22" s="1"/>
  <c r="Z134" i="22" a="1"/>
  <c r="Z134" i="22" s="1"/>
  <c r="Y98" i="22" a="1"/>
  <c r="Y98" i="22" s="1"/>
  <c r="Z98" i="22" a="1"/>
  <c r="Z98" i="22" s="1"/>
  <c r="AA98" i="22" a="1"/>
  <c r="AA98" i="22" s="1"/>
  <c r="AB88" i="22" a="1"/>
  <c r="AB88" i="22" s="1"/>
  <c r="Z87" i="22" a="1"/>
  <c r="Z87" i="22" s="1"/>
  <c r="AB63" i="22" a="1"/>
  <c r="AB63" i="22" s="1"/>
  <c r="AA63" i="22" a="1"/>
  <c r="AA63" i="22" s="1"/>
  <c r="AB31" i="22" a="1"/>
  <c r="AB31" i="22" s="1"/>
  <c r="Y31" i="22" a="1"/>
  <c r="Y31" i="22" s="1"/>
  <c r="Z31" i="22" a="1"/>
  <c r="Z31" i="22" s="1"/>
  <c r="AA31" i="22" a="1"/>
  <c r="AA31" i="22" s="1"/>
  <c r="Y178" i="22" a="1"/>
  <c r="Y178" i="22" s="1"/>
  <c r="AA177" i="22" a="1"/>
  <c r="AA177" i="22" s="1"/>
  <c r="AB168" i="22" a="1"/>
  <c r="AB168" i="22" s="1"/>
  <c r="Y168" i="22" a="1"/>
  <c r="Y168" i="22" s="1"/>
  <c r="Z167" i="22" a="1"/>
  <c r="Z167" i="22" s="1"/>
  <c r="AA167" i="22" a="1"/>
  <c r="AA167" i="22" s="1"/>
  <c r="AC149" i="22" a="1"/>
  <c r="AC149" i="22" s="1"/>
  <c r="Y149" i="22" a="1"/>
  <c r="Y149" i="22" s="1"/>
  <c r="Y143" i="22" a="1"/>
  <c r="Y143" i="22" s="1"/>
  <c r="Z139" i="22" a="1"/>
  <c r="Z139" i="22" s="1"/>
  <c r="AC139" i="22" a="1"/>
  <c r="AC139" i="22" s="1"/>
  <c r="Y134" i="22" a="1"/>
  <c r="Y134" i="22" s="1"/>
  <c r="Z119" i="22" a="1"/>
  <c r="Z119" i="22" s="1"/>
  <c r="AA107" i="22" a="1"/>
  <c r="AA107" i="22" s="1"/>
  <c r="AA100" i="22" a="1"/>
  <c r="AA100" i="22" s="1"/>
  <c r="Z100" i="22" a="1"/>
  <c r="Z100" i="22" s="1"/>
  <c r="AE89" i="22" a="1"/>
  <c r="AE89" i="22" s="1"/>
  <c r="AA89" i="22" a="1"/>
  <c r="AA89" i="22" s="1"/>
  <c r="Y88" i="22" a="1"/>
  <c r="Y88" i="22" s="1"/>
  <c r="Z88" i="22" a="1"/>
  <c r="Z88" i="22" s="1"/>
  <c r="AA88" i="22" a="1"/>
  <c r="AA88" i="22" s="1"/>
  <c r="Y87" i="22" a="1"/>
  <c r="Y87" i="22" s="1"/>
  <c r="AC85" i="22" a="1"/>
  <c r="AC85" i="22" s="1"/>
  <c r="AA85" i="22" a="1"/>
  <c r="AA85" i="22" s="1"/>
  <c r="AB85" i="22" a="1"/>
  <c r="AB85" i="22" s="1"/>
  <c r="Z85" i="22" a="1"/>
  <c r="Z85" i="22" s="1"/>
  <c r="AA71" i="22" a="1"/>
  <c r="AA71" i="22" s="1"/>
  <c r="AB71" i="22" a="1"/>
  <c r="AB71" i="22" s="1"/>
  <c r="AD71" i="22" a="1"/>
  <c r="AD71" i="22" s="1"/>
  <c r="Z64" i="22" a="1"/>
  <c r="Z64" i="22" s="1"/>
  <c r="Y63" i="22" a="1"/>
  <c r="Y63" i="22" s="1"/>
  <c r="AF56" i="22" a="1"/>
  <c r="AF56" i="22" s="1"/>
  <c r="AB56" i="22" a="1"/>
  <c r="AB56" i="22" s="1"/>
  <c r="Y47" i="22" a="1"/>
  <c r="Y47" i="22" s="1"/>
  <c r="AA47" i="22" a="1"/>
  <c r="AA47" i="22" s="1"/>
  <c r="AB47" i="22" a="1"/>
  <c r="AB47" i="22" s="1"/>
  <c r="Z47" i="22" a="1"/>
  <c r="Z47" i="22" s="1"/>
  <c r="Y36" i="22" a="1"/>
  <c r="Y36" i="22" s="1"/>
  <c r="AA36" i="22" a="1"/>
  <c r="AA36" i="22" s="1"/>
  <c r="AB36" i="22" a="1"/>
  <c r="AB36" i="22" s="1"/>
  <c r="Z36" i="22" a="1"/>
  <c r="Z36" i="22" s="1"/>
  <c r="AB32" i="22" a="1"/>
  <c r="AB32" i="22" s="1"/>
  <c r="AE32" i="22" a="1"/>
  <c r="AE32" i="22" s="1"/>
  <c r="AC186" i="22" a="1"/>
  <c r="AC186" i="22" s="1"/>
  <c r="Y186" i="22" a="1"/>
  <c r="Y186" i="22" s="1"/>
  <c r="Y183" i="22" a="1"/>
  <c r="Y183" i="22" s="1"/>
  <c r="AB164" i="22" a="1"/>
  <c r="AB164" i="22" s="1"/>
  <c r="Z164" i="22" a="1"/>
  <c r="Z164" i="22" s="1"/>
  <c r="Z147" i="22" a="1"/>
  <c r="Z147" i="22" s="1"/>
  <c r="AB147" i="22" a="1"/>
  <c r="AB147" i="22" s="1"/>
  <c r="AA147" i="22" a="1"/>
  <c r="AA147" i="22" s="1"/>
  <c r="Y147" i="22" a="1"/>
  <c r="Y147" i="22" s="1"/>
  <c r="AB125" i="22" a="1"/>
  <c r="AB125" i="22" s="1"/>
  <c r="Z94" i="22" a="1"/>
  <c r="Z94" i="22" s="1"/>
  <c r="AH86" i="22" a="1"/>
  <c r="AH86" i="22" s="1"/>
  <c r="AB86" i="22" a="1"/>
  <c r="AB86" i="22" s="1"/>
  <c r="Z68" i="22" a="1"/>
  <c r="Z68" i="22" s="1"/>
  <c r="AB154" i="22" a="1"/>
  <c r="AB154" i="22" s="1"/>
  <c r="Y201" i="22" a="1"/>
  <c r="Y201" i="22" s="1"/>
  <c r="Y172" i="22" a="1"/>
  <c r="Y172" i="22" s="1"/>
  <c r="Z171" i="22" a="1"/>
  <c r="Z171" i="22" s="1"/>
  <c r="AA171" i="22" a="1"/>
  <c r="AA171" i="22" s="1"/>
  <c r="AB171" i="22" a="1"/>
  <c r="AB171" i="22" s="1"/>
  <c r="Y166" i="22" a="1"/>
  <c r="Y166" i="22" s="1"/>
  <c r="AB166" i="22" a="1"/>
  <c r="AB166" i="22" s="1"/>
  <c r="Y154" i="22" a="1"/>
  <c r="Y154" i="22" s="1"/>
  <c r="AD146" i="22" a="1"/>
  <c r="AD146" i="22" s="1"/>
  <c r="Y107" i="22" a="1"/>
  <c r="Y107" i="22" s="1"/>
  <c r="Y100" i="22" a="1"/>
  <c r="Y100" i="22" s="1"/>
  <c r="Y76" i="22" a="1"/>
  <c r="Y76" i="22" s="1"/>
  <c r="Z76" i="22" a="1"/>
  <c r="Z76" i="22" s="1"/>
  <c r="AA76" i="22" a="1"/>
  <c r="AA76" i="22" s="1"/>
  <c r="AD75" i="22" a="1"/>
  <c r="AD75" i="22" s="1"/>
  <c r="Z75" i="22" a="1"/>
  <c r="Z75" i="22" s="1"/>
  <c r="AB24" i="22" a="1"/>
  <c r="AB24" i="22" s="1"/>
  <c r="Y24" i="22" a="1"/>
  <c r="Y24" i="22" s="1"/>
  <c r="Z24" i="22" a="1"/>
  <c r="Z24" i="22" s="1"/>
  <c r="AC24" i="22" a="1"/>
  <c r="AC24" i="22" s="1"/>
  <c r="AA24" i="22" a="1"/>
  <c r="AA24" i="22" s="1"/>
  <c r="AE81" i="22" a="1"/>
  <c r="AE81" i="22" s="1"/>
  <c r="Y81" i="22" a="1"/>
  <c r="Y81" i="22" s="1"/>
  <c r="AA54" i="22" a="1"/>
  <c r="AA54" i="22" s="1"/>
  <c r="Z54" i="22" a="1"/>
  <c r="Z54" i="22" s="1"/>
  <c r="AB54" i="22" a="1"/>
  <c r="AB54" i="22" s="1"/>
  <c r="Y54" i="22" a="1"/>
  <c r="Y54" i="22" s="1"/>
  <c r="Z35" i="22" a="1"/>
  <c r="Z35" i="22" s="1"/>
  <c r="AB35" i="22" a="1"/>
  <c r="AB35" i="22" s="1"/>
  <c r="Z201" i="22" a="1"/>
  <c r="Z201" i="22" s="1"/>
  <c r="AA183" i="22" a="1"/>
  <c r="AA183" i="22" s="1"/>
  <c r="Y156" i="22" a="1"/>
  <c r="Y156" i="22" s="1"/>
  <c r="AB156" i="22" a="1"/>
  <c r="AB156" i="22" s="1"/>
  <c r="Z148" i="22" a="1"/>
  <c r="Z148" i="22" s="1"/>
  <c r="AB148" i="22" a="1"/>
  <c r="AB148" i="22" s="1"/>
  <c r="AA103" i="22" a="1"/>
  <c r="AA103" i="22" s="1"/>
  <c r="AB103" i="22" a="1"/>
  <c r="AB103" i="22" s="1"/>
  <c r="Z103" i="22" a="1"/>
  <c r="Z103" i="22" s="1"/>
  <c r="AF90" i="22" a="1"/>
  <c r="AF90" i="22" s="1"/>
  <c r="Y90" i="22" a="1"/>
  <c r="Y90" i="22" s="1"/>
  <c r="AC83" i="22" a="1"/>
  <c r="AC83" i="22" s="1"/>
  <c r="Y83" i="22" a="1"/>
  <c r="Y83" i="22" s="1"/>
  <c r="Z83" i="22" a="1"/>
  <c r="Z83" i="22" s="1"/>
  <c r="AA57" i="22" a="1"/>
  <c r="AA57" i="22" s="1"/>
  <c r="AB57" i="22" a="1"/>
  <c r="AB57" i="22" s="1"/>
  <c r="Z188" i="22" a="1"/>
  <c r="Z188" i="22" s="1"/>
  <c r="Y180" i="22" a="1"/>
  <c r="Y180" i="22" s="1"/>
  <c r="Z180" i="22" a="1"/>
  <c r="Z180" i="22" s="1"/>
  <c r="Y175" i="22" a="1"/>
  <c r="Y175" i="22" s="1"/>
  <c r="AA172" i="22" a="1"/>
  <c r="AA172" i="22" s="1"/>
  <c r="Z172" i="22" a="1"/>
  <c r="Z172" i="22" s="1"/>
  <c r="AA159" i="22" a="1"/>
  <c r="AA159" i="22" s="1"/>
  <c r="Z157" i="22" a="1"/>
  <c r="Z157" i="22" s="1"/>
  <c r="AA157" i="22" a="1"/>
  <c r="AA157" i="22" s="1"/>
  <c r="AB157" i="22" a="1"/>
  <c r="AB157" i="22" s="1"/>
  <c r="AA151" i="22" a="1"/>
  <c r="AA151" i="22" s="1"/>
  <c r="AB151" i="22" a="1"/>
  <c r="AB151" i="22" s="1"/>
  <c r="Y151" i="22" a="1"/>
  <c r="Y151" i="22" s="1"/>
  <c r="Y135" i="22" a="1"/>
  <c r="Y135" i="22" s="1"/>
  <c r="AA135" i="22" a="1"/>
  <c r="AA135" i="22" s="1"/>
  <c r="AB135" i="22" a="1"/>
  <c r="AB135" i="22" s="1"/>
  <c r="AB133" i="22" a="1"/>
  <c r="AB133" i="22" s="1"/>
  <c r="Z126" i="22" a="1"/>
  <c r="Z126" i="22" s="1"/>
  <c r="Y126" i="22" a="1"/>
  <c r="Y126" i="22" s="1"/>
  <c r="AA126" i="22" a="1"/>
  <c r="AA126" i="22" s="1"/>
  <c r="Y123" i="22" a="1"/>
  <c r="Y123" i="22" s="1"/>
  <c r="Z121" i="22" a="1"/>
  <c r="Z121" i="22" s="1"/>
  <c r="Z107" i="22" a="1"/>
  <c r="Z107" i="22" s="1"/>
  <c r="AA106" i="22" a="1"/>
  <c r="AA106" i="22" s="1"/>
  <c r="AB106" i="22" a="1"/>
  <c r="AB106" i="22" s="1"/>
  <c r="AA77" i="22" a="1"/>
  <c r="AA77" i="22" s="1"/>
  <c r="AB77" i="22" a="1"/>
  <c r="AB77" i="22" s="1"/>
  <c r="Y77" i="22" a="1"/>
  <c r="Y77" i="22" s="1"/>
  <c r="Z77" i="22" a="1"/>
  <c r="Z77" i="22" s="1"/>
  <c r="AA60" i="22" a="1"/>
  <c r="AA60" i="22" s="1"/>
  <c r="AB60" i="22" a="1"/>
  <c r="AB60" i="22" s="1"/>
  <c r="Y60" i="22" a="1"/>
  <c r="Y60" i="22" s="1"/>
  <c r="Z60" i="22" a="1"/>
  <c r="Z60" i="22" s="1"/>
  <c r="AE49" i="22" a="1"/>
  <c r="AE49" i="22" s="1"/>
  <c r="AB49" i="22" a="1"/>
  <c r="AB49" i="22" s="1"/>
  <c r="AC34" i="22" a="1"/>
  <c r="AC34" i="22" s="1"/>
  <c r="Z34" i="22" a="1"/>
  <c r="Z34" i="22" s="1"/>
  <c r="Y159" i="22" a="1"/>
  <c r="Y159" i="22" s="1"/>
  <c r="Y110" i="22" a="1"/>
  <c r="Y110" i="22" s="1"/>
  <c r="Z110" i="22" a="1"/>
  <c r="Z110" i="22" s="1"/>
  <c r="AB110" i="22" a="1"/>
  <c r="AB110" i="22" s="1"/>
  <c r="AA110" i="22" a="1"/>
  <c r="AA110" i="22" s="1"/>
  <c r="AB107" i="22" a="1"/>
  <c r="AB107" i="22" s="1"/>
  <c r="AC107" i="22" a="1"/>
  <c r="AC107" i="22" s="1"/>
  <c r="Y106" i="22" a="1"/>
  <c r="Y106" i="22" s="1"/>
  <c r="Y89" i="22" a="1"/>
  <c r="Y89" i="22" s="1"/>
  <c r="Z89" i="22" a="1"/>
  <c r="Z89" i="22" s="1"/>
  <c r="AB89" i="22" a="1"/>
  <c r="AB89" i="22" s="1"/>
  <c r="Y86" i="22" a="1"/>
  <c r="Y86" i="22" s="1"/>
  <c r="AB73" i="22" a="1"/>
  <c r="AB73" i="22" s="1"/>
  <c r="Z73" i="22" a="1"/>
  <c r="Z73" i="22" s="1"/>
  <c r="AA73" i="22" a="1"/>
  <c r="AA73" i="22" s="1"/>
  <c r="Y73" i="22" a="1"/>
  <c r="Y73" i="22" s="1"/>
  <c r="AD57" i="22" a="1"/>
  <c r="AD57" i="22" s="1"/>
  <c r="AD51" i="22" a="1"/>
  <c r="AD51" i="22" s="1"/>
  <c r="AA51" i="22" a="1"/>
  <c r="AA51" i="22" s="1"/>
  <c r="Y148" i="22" a="1"/>
  <c r="Y148" i="22" s="1"/>
  <c r="AA123" i="22" a="1"/>
  <c r="AA123" i="22" s="1"/>
  <c r="Z123" i="22" a="1"/>
  <c r="Z123" i="22" s="1"/>
  <c r="AB123" i="22" a="1"/>
  <c r="AB123" i="22" s="1"/>
  <c r="AA116" i="22" a="1"/>
  <c r="AA116" i="22" s="1"/>
  <c r="AB116" i="22" a="1"/>
  <c r="AB116" i="22" s="1"/>
  <c r="Z116" i="22" a="1"/>
  <c r="Z116" i="22" s="1"/>
  <c r="Y109" i="22" a="1"/>
  <c r="Y109" i="22" s="1"/>
  <c r="AA109" i="22" a="1"/>
  <c r="AA109" i="22" s="1"/>
  <c r="AB109" i="22" a="1"/>
  <c r="AB109" i="22" s="1"/>
  <c r="Z102" i="22" a="1"/>
  <c r="Z102" i="22" s="1"/>
  <c r="AD95" i="22" a="1"/>
  <c r="AD95" i="22" s="1"/>
  <c r="Z95" i="22" a="1"/>
  <c r="Z95" i="22" s="1"/>
  <c r="AA78" i="22" a="1"/>
  <c r="AA78" i="22" s="1"/>
  <c r="AE78" i="22" a="1"/>
  <c r="AE78" i="22" s="1"/>
  <c r="AA64" i="22" a="1"/>
  <c r="AA64" i="22" s="1"/>
  <c r="AB64" i="22" a="1"/>
  <c r="AB64" i="22" s="1"/>
  <c r="Z49" i="22" a="1"/>
  <c r="Z49" i="22" s="1"/>
  <c r="Y49" i="22" a="1"/>
  <c r="Y49" i="22" s="1"/>
  <c r="AA49" i="22" a="1"/>
  <c r="AA49" i="22" s="1"/>
  <c r="AD46" i="22" a="1"/>
  <c r="AD46" i="22" s="1"/>
  <c r="Z46" i="22" a="1"/>
  <c r="Z46" i="22" s="1"/>
  <c r="Z29" i="22" a="1"/>
  <c r="Z29" i="22" s="1"/>
  <c r="AD25" i="22" a="1"/>
  <c r="AD25" i="22" s="1"/>
  <c r="Z25" i="22" a="1"/>
  <c r="Z25" i="22" s="1"/>
  <c r="AE16" i="22" a="1"/>
  <c r="AE16" i="22" s="1"/>
  <c r="AB16" i="22" a="1"/>
  <c r="AB16" i="22" s="1"/>
  <c r="Y125" i="22" a="1"/>
  <c r="Y125" i="22" s="1"/>
  <c r="Z125" i="22" a="1"/>
  <c r="Z125" i="22" s="1"/>
  <c r="AA125" i="22" a="1"/>
  <c r="AA125" i="22" s="1"/>
  <c r="Y117" i="22" a="1"/>
  <c r="Y117" i="22" s="1"/>
  <c r="Y108" i="22" a="1"/>
  <c r="Y108" i="22" s="1"/>
  <c r="AA108" i="22" a="1"/>
  <c r="AA108" i="22" s="1"/>
  <c r="AB108" i="22" a="1"/>
  <c r="AB108" i="22" s="1"/>
  <c r="Z90" i="22" a="1"/>
  <c r="Z90" i="22" s="1"/>
  <c r="AB90" i="22" a="1"/>
  <c r="AB90" i="22" s="1"/>
  <c r="AA90" i="22" a="1"/>
  <c r="AA90" i="22" s="1"/>
  <c r="AD80" i="22" a="1"/>
  <c r="AD80" i="22" s="1"/>
  <c r="Z80" i="22" a="1"/>
  <c r="Z80" i="22" s="1"/>
  <c r="AA80" i="22" a="1"/>
  <c r="AA80" i="22" s="1"/>
  <c r="AA40" i="22" a="1"/>
  <c r="AA40" i="22" s="1"/>
  <c r="AB40" i="22" a="1"/>
  <c r="AB40" i="22" s="1"/>
  <c r="Y40" i="22" a="1"/>
  <c r="Y40" i="22" s="1"/>
  <c r="Z40" i="22" a="1"/>
  <c r="Z40" i="22" s="1"/>
  <c r="AC38" i="22" a="1"/>
  <c r="AC38" i="22" s="1"/>
  <c r="Y38" i="22" a="1"/>
  <c r="Y38" i="22" s="1"/>
  <c r="Y146" i="22" a="1"/>
  <c r="Y146" i="22" s="1"/>
  <c r="Z146" i="22" a="1"/>
  <c r="Z146" i="22" s="1"/>
  <c r="AA146" i="22" a="1"/>
  <c r="AA146" i="22" s="1"/>
  <c r="Z145" i="22" a="1"/>
  <c r="Z145" i="22" s="1"/>
  <c r="Y145" i="22" a="1"/>
  <c r="Y145" i="22" s="1"/>
  <c r="Y144" i="22" a="1"/>
  <c r="Y144" i="22" s="1"/>
  <c r="Z144" i="22" a="1"/>
  <c r="Z144" i="22" s="1"/>
  <c r="AA133" i="22" a="1"/>
  <c r="AA133" i="22" s="1"/>
  <c r="Z127" i="22" a="1"/>
  <c r="Z127" i="22" s="1"/>
  <c r="Y127" i="22" a="1"/>
  <c r="Y127" i="22" s="1"/>
  <c r="AA127" i="22" a="1"/>
  <c r="AA127" i="22" s="1"/>
  <c r="AB127" i="22" a="1"/>
  <c r="AB127" i="22" s="1"/>
  <c r="Y99" i="22" a="1"/>
  <c r="Y99" i="22" s="1"/>
  <c r="Z99" i="22" a="1"/>
  <c r="Z99" i="22" s="1"/>
  <c r="AA96" i="22" a="1"/>
  <c r="AA96" i="22" s="1"/>
  <c r="AD86" i="22" a="1"/>
  <c r="AD86" i="22" s="1"/>
  <c r="Z86" i="22" a="1"/>
  <c r="Z86" i="22" s="1"/>
  <c r="Z84" i="22" a="1"/>
  <c r="Z84" i="22" s="1"/>
  <c r="Y56" i="22" a="1"/>
  <c r="Y56" i="22" s="1"/>
  <c r="Z56" i="22" a="1"/>
  <c r="Z56" i="22" s="1"/>
  <c r="AA56" i="22" a="1"/>
  <c r="AA56" i="22" s="1"/>
  <c r="AB21" i="22" a="1"/>
  <c r="AB21" i="22" s="1"/>
  <c r="Z21" i="22" a="1"/>
  <c r="Z21" i="22" s="1"/>
  <c r="AA149" i="22" a="1"/>
  <c r="AA149" i="22" s="1"/>
  <c r="AB149" i="22" a="1"/>
  <c r="AB149" i="22" s="1"/>
  <c r="Z141" i="22" a="1"/>
  <c r="Z141" i="22" s="1"/>
  <c r="Y133" i="22" a="1"/>
  <c r="Y133" i="22" s="1"/>
  <c r="AB129" i="22" a="1"/>
  <c r="AB129" i="22" s="1"/>
  <c r="Y129" i="22" a="1"/>
  <c r="Y129" i="22" s="1"/>
  <c r="Z129" i="22" a="1"/>
  <c r="Z129" i="22" s="1"/>
  <c r="AA99" i="22" a="1"/>
  <c r="AA99" i="22" s="1"/>
  <c r="Z50" i="22" a="1"/>
  <c r="Z50" i="22" s="1"/>
  <c r="AD39" i="22" a="1"/>
  <c r="AD39" i="22" s="1"/>
  <c r="Z39" i="22" a="1"/>
  <c r="Z39" i="22" s="1"/>
  <c r="AB39" i="22" a="1"/>
  <c r="AB39" i="22" s="1"/>
  <c r="AA38" i="22" a="1"/>
  <c r="AA38" i="22" s="1"/>
  <c r="AF29" i="22" a="1"/>
  <c r="AF29" i="22" s="1"/>
  <c r="AA21" i="22" a="1"/>
  <c r="AA21" i="22" s="1"/>
  <c r="AA139" i="22" a="1"/>
  <c r="AA139" i="22" s="1"/>
  <c r="AB139" i="22" a="1"/>
  <c r="AB139" i="22" s="1"/>
  <c r="Z137" i="22" a="1"/>
  <c r="Z137" i="22" s="1"/>
  <c r="AA118" i="22" a="1"/>
  <c r="AA118" i="22" s="1"/>
  <c r="AB118" i="22" a="1"/>
  <c r="AB118" i="22" s="1"/>
  <c r="AA102" i="22" a="1"/>
  <c r="AA102" i="22" s="1"/>
  <c r="Z96" i="22" a="1"/>
  <c r="Z96" i="22" s="1"/>
  <c r="AB83" i="22" a="1"/>
  <c r="AB83" i="22" s="1"/>
  <c r="AA83" i="22" a="1"/>
  <c r="AA83" i="22" s="1"/>
  <c r="Y61" i="22" a="1"/>
  <c r="Y61" i="22" s="1"/>
  <c r="AA61" i="22" a="1"/>
  <c r="AA61" i="22" s="1"/>
  <c r="AB61" i="22" a="1"/>
  <c r="AB61" i="22" s="1"/>
  <c r="Z55" i="22" a="1"/>
  <c r="Z55" i="22" s="1"/>
  <c r="AB55" i="22" a="1"/>
  <c r="AB55" i="22" s="1"/>
  <c r="AA55" i="22" a="1"/>
  <c r="AA55" i="22" s="1"/>
  <c r="AA148" i="22" a="1"/>
  <c r="AA148" i="22" s="1"/>
  <c r="Y118" i="22" a="1"/>
  <c r="Y118" i="22" s="1"/>
  <c r="Z117" i="22" a="1"/>
  <c r="Z117" i="22" s="1"/>
  <c r="Y97" i="22" a="1"/>
  <c r="Y97" i="22" s="1"/>
  <c r="Y96" i="22" a="1"/>
  <c r="Y96" i="22" s="1"/>
  <c r="AA94" i="22" a="1"/>
  <c r="AA94" i="22" s="1"/>
  <c r="AB84" i="22" a="1"/>
  <c r="AB84" i="22" s="1"/>
  <c r="Y84" i="22" a="1"/>
  <c r="Y84" i="22" s="1"/>
  <c r="Y74" i="22" a="1"/>
  <c r="Y74" i="22" s="1"/>
  <c r="AB62" i="22" a="1"/>
  <c r="AB62" i="22" s="1"/>
  <c r="Y55" i="22" a="1"/>
  <c r="Y55" i="22" s="1"/>
  <c r="AA34" i="22" a="1"/>
  <c r="AA34" i="22" s="1"/>
  <c r="AB34" i="22" a="1"/>
  <c r="AB34" i="22" s="1"/>
  <c r="AD33" i="22" a="1"/>
  <c r="AD33" i="22" s="1"/>
  <c r="AB33" i="22" a="1"/>
  <c r="AB33" i="22" s="1"/>
  <c r="Y26" i="22" a="1"/>
  <c r="Y26" i="22" s="1"/>
  <c r="AA26" i="22" a="1"/>
  <c r="AA26" i="22" s="1"/>
  <c r="Z26" i="22" a="1"/>
  <c r="Z26" i="22" s="1"/>
  <c r="AB26" i="22" a="1"/>
  <c r="AB26" i="22" s="1"/>
  <c r="AC78" i="22" a="1"/>
  <c r="AC78" i="22" s="1"/>
  <c r="Y78" i="22" a="1"/>
  <c r="Y78" i="22" s="1"/>
  <c r="AB78" i="22" a="1"/>
  <c r="AB78" i="22" s="1"/>
  <c r="Y71" i="22" a="1"/>
  <c r="Y71" i="22" s="1"/>
  <c r="Z71" i="22" a="1"/>
  <c r="Z71" i="22" s="1"/>
  <c r="Z62" i="22" a="1"/>
  <c r="Z62" i="22" s="1"/>
  <c r="Y44" i="22" a="1"/>
  <c r="Y44" i="22" s="1"/>
  <c r="AA44" i="22" a="1"/>
  <c r="AA44" i="22" s="1"/>
  <c r="AB44" i="22" a="1"/>
  <c r="AB44" i="22" s="1"/>
  <c r="Y34" i="22" a="1"/>
  <c r="Y34" i="22" s="1"/>
  <c r="AB23" i="22" a="1"/>
  <c r="AB23" i="22" s="1"/>
  <c r="AC23" i="22" a="1"/>
  <c r="AC23" i="22" s="1"/>
  <c r="Y16" i="22" a="1"/>
  <c r="Y16" i="22" s="1"/>
  <c r="Z16" i="22" a="1"/>
  <c r="Z16" i="22" s="1"/>
  <c r="AA16" i="22" a="1"/>
  <c r="AA16" i="22" s="1"/>
  <c r="Y95" i="22" a="1"/>
  <c r="Y95" i="22" s="1"/>
  <c r="Y75" i="22" a="1"/>
  <c r="Y75" i="22" s="1"/>
  <c r="AA75" i="22" a="1"/>
  <c r="AA75" i="22" s="1"/>
  <c r="AB75" i="22" a="1"/>
  <c r="AB75" i="22" s="1"/>
  <c r="AB72" i="22" a="1"/>
  <c r="AB72" i="22" s="1"/>
  <c r="Y62" i="22" a="1"/>
  <c r="Y62" i="22" s="1"/>
  <c r="AA53" i="22" a="1"/>
  <c r="AA53" i="22" s="1"/>
  <c r="AB53" i="22" a="1"/>
  <c r="AB53" i="22" s="1"/>
  <c r="Y53" i="22" a="1"/>
  <c r="Y53" i="22" s="1"/>
  <c r="Z53" i="22" a="1"/>
  <c r="Z53" i="22" s="1"/>
  <c r="AC27" i="22" a="1"/>
  <c r="AC27" i="22" s="1"/>
  <c r="AA27" i="22" a="1"/>
  <c r="AA27" i="22" s="1"/>
  <c r="AA23" i="22" a="1"/>
  <c r="AA23" i="22" s="1"/>
  <c r="Z81" i="22" a="1"/>
  <c r="Z81" i="22" s="1"/>
  <c r="Y72" i="22" a="1"/>
  <c r="Y72" i="22" s="1"/>
  <c r="Z72" i="22" a="1"/>
  <c r="Z72" i="22" s="1"/>
  <c r="AA72" i="22" a="1"/>
  <c r="AA72" i="22" s="1"/>
  <c r="Y32" i="22" a="1"/>
  <c r="Y32" i="22" s="1"/>
  <c r="Z32" i="22" a="1"/>
  <c r="Z32" i="22" s="1"/>
  <c r="AA32" i="22" a="1"/>
  <c r="AA32" i="22" s="1"/>
  <c r="Z28" i="22" a="1"/>
  <c r="Z28" i="22" s="1"/>
  <c r="AA28" i="22" a="1"/>
  <c r="AA28" i="22" s="1"/>
  <c r="AB28" i="22" a="1"/>
  <c r="AB28" i="22" s="1"/>
  <c r="Y94" i="22" a="1"/>
  <c r="Y94" i="22" s="1"/>
  <c r="AB94" i="22" a="1"/>
  <c r="AB94" i="22" s="1"/>
  <c r="AC52" i="22" a="1"/>
  <c r="AC52" i="22" s="1"/>
  <c r="AB52" i="22" a="1"/>
  <c r="AB52" i="22" s="1"/>
  <c r="Z51" i="22" a="1"/>
  <c r="Z51" i="22" s="1"/>
  <c r="AA46" i="22" a="1"/>
  <c r="AA46" i="22" s="1"/>
  <c r="Y46" i="22" a="1"/>
  <c r="Y46" i="22" s="1"/>
  <c r="AB46" i="22" a="1"/>
  <c r="AB46" i="22" s="1"/>
  <c r="Z42" i="22" a="1"/>
  <c r="Z42" i="22" s="1"/>
  <c r="AA42" i="22" a="1"/>
  <c r="AA42" i="22" s="1"/>
  <c r="AB42" i="22" a="1"/>
  <c r="AB42" i="22" s="1"/>
  <c r="Y42" i="22" a="1"/>
  <c r="Y42" i="22" s="1"/>
  <c r="Y28" i="22" a="1"/>
  <c r="Y28" i="22" s="1"/>
  <c r="Y80" i="22" a="1"/>
  <c r="Y80" i="22" s="1"/>
  <c r="Z65" i="22" a="1"/>
  <c r="Z65" i="22" s="1"/>
  <c r="Y51" i="22" a="1"/>
  <c r="Y51" i="22" s="1"/>
  <c r="AB51" i="22" a="1"/>
  <c r="AB51" i="22" s="1"/>
  <c r="Z22" i="22" a="1"/>
  <c r="Z22" i="22" s="1"/>
  <c r="AA22" i="22" a="1"/>
  <c r="AA22" i="22" s="1"/>
  <c r="Z17" i="22" a="1"/>
  <c r="Z17" i="22" s="1"/>
  <c r="AA17" i="22" a="1"/>
  <c r="AA17" i="22" s="1"/>
  <c r="AB17" i="22" a="1"/>
  <c r="AB17" i="22" s="1"/>
  <c r="Y17" i="22" a="1"/>
  <c r="Y17" i="22" s="1"/>
  <c r="AA68" i="22" a="1"/>
  <c r="AA68" i="22" s="1"/>
  <c r="AB68" i="22" a="1"/>
  <c r="AB68" i="22" s="1"/>
  <c r="AA65" i="22" a="1"/>
  <c r="AA65" i="22" s="1"/>
  <c r="Y50" i="22" a="1"/>
  <c r="Y50" i="22" s="1"/>
  <c r="AA50" i="22" a="1"/>
  <c r="AA50" i="22" s="1"/>
  <c r="AB50" i="22" a="1"/>
  <c r="AB50" i="22" s="1"/>
  <c r="AA39" i="22" a="1"/>
  <c r="AA39" i="22" s="1"/>
  <c r="Y39" i="22" a="1"/>
  <c r="Y39" i="22" s="1"/>
  <c r="AA19" i="22" a="1"/>
  <c r="AA19" i="22" s="1"/>
  <c r="Z19" i="22" a="1"/>
  <c r="Z19" i="22" s="1"/>
  <c r="AB19" i="22" a="1"/>
  <c r="AB19" i="22" s="1"/>
  <c r="Y57" i="22" a="1"/>
  <c r="Y57" i="22" s="1"/>
  <c r="Z57" i="22" a="1"/>
  <c r="Z57" i="22" s="1"/>
  <c r="AB45" i="22" a="1"/>
  <c r="AB45" i="22" s="1"/>
  <c r="Y45" i="22" a="1"/>
  <c r="Y45" i="22" s="1"/>
  <c r="AA41" i="22" a="1"/>
  <c r="AA41" i="22" s="1"/>
  <c r="Y41" i="22" a="1"/>
  <c r="Y41" i="22" s="1"/>
  <c r="Z41" i="22" a="1"/>
  <c r="Z41" i="22" s="1"/>
  <c r="AA29" i="22" a="1"/>
  <c r="AA29" i="22" s="1"/>
  <c r="AB29" i="22" a="1"/>
  <c r="AB29" i="22" s="1"/>
  <c r="Y29" i="22" a="1"/>
  <c r="Y29" i="22" s="1"/>
  <c r="Z27" i="22" a="1"/>
  <c r="Z27" i="22" s="1"/>
  <c r="Y20" i="22" a="1"/>
  <c r="Y20" i="22" s="1"/>
  <c r="Y65" i="22" a="1"/>
  <c r="Y65" i="22" s="1"/>
  <c r="AA33" i="22" a="1"/>
  <c r="AA33" i="22" s="1"/>
  <c r="Y33" i="22" a="1"/>
  <c r="Y33" i="22" s="1"/>
  <c r="Z33" i="22" a="1"/>
  <c r="Z33" i="22" s="1"/>
  <c r="Y27" i="22" a="1"/>
  <c r="Y27" i="22" s="1"/>
  <c r="AA20" i="22" a="1"/>
  <c r="AA20" i="22" s="1"/>
  <c r="Y15" i="22" a="1"/>
  <c r="Y15" i="22" s="1"/>
  <c r="AA15" i="22" a="1"/>
  <c r="AA15" i="22" s="1"/>
  <c r="AB15" i="22" a="1"/>
  <c r="AB15" i="22" s="1"/>
  <c r="Y25" i="22" a="1"/>
  <c r="Y25" i="22" s="1"/>
  <c r="AB25" i="22" a="1"/>
  <c r="AB25" i="22" s="1"/>
  <c r="Z38" i="22" a="1"/>
  <c r="Z38" i="22" s="1"/>
  <c r="AB20" i="22" a="1"/>
  <c r="AB20" i="22" s="1"/>
  <c r="Y23" i="22" a="1"/>
  <c r="Y23" i="22" s="1"/>
  <c r="N14" i="54" a="1"/>
  <c r="N14" i="54" s="1"/>
  <c r="O14" i="54" a="1"/>
  <c r="O14" i="54" s="1"/>
  <c r="P14" i="54" a="1"/>
  <c r="P14" i="54" s="1"/>
  <c r="Q14" i="54" a="1"/>
  <c r="Q14" i="54" s="1"/>
  <c r="R14" i="54" a="1"/>
  <c r="R14" i="54" s="1"/>
  <c r="AC14" i="54" s="1" a="1"/>
  <c r="AC14" i="54" s="1"/>
  <c r="S14" i="54" a="1"/>
  <c r="S14" i="54" s="1"/>
  <c r="AD14" i="54" s="1" a="1"/>
  <c r="AD14" i="54" s="1"/>
  <c r="T14" i="54" a="1"/>
  <c r="T14" i="54" s="1"/>
  <c r="AE14" i="54" s="1" a="1"/>
  <c r="AE14" i="54" s="1"/>
  <c r="U14" i="54" a="1"/>
  <c r="U14" i="54" s="1"/>
  <c r="AF14" i="54" s="1" a="1"/>
  <c r="AF14" i="54" s="1"/>
  <c r="V14" i="54" a="1"/>
  <c r="V14" i="54" s="1"/>
  <c r="AG14" i="54" s="1" a="1"/>
  <c r="AG14" i="54" s="1"/>
  <c r="W14" i="54" a="1"/>
  <c r="W14" i="54" s="1"/>
  <c r="AH14" i="54" s="1" a="1"/>
  <c r="AH14" i="54" s="1"/>
  <c r="X14" i="54" a="1"/>
  <c r="X14" i="54" s="1"/>
  <c r="AI14" i="54" s="1" a="1"/>
  <c r="AI14" i="54" s="1"/>
  <c r="N15" i="54" a="1"/>
  <c r="N15" i="54" s="1"/>
  <c r="O15" i="54" a="1"/>
  <c r="O15" i="54" s="1"/>
  <c r="P15" i="54" a="1"/>
  <c r="P15" i="54" s="1"/>
  <c r="Q15" i="54" a="1"/>
  <c r="Q15" i="54" s="1"/>
  <c r="AB15" i="54" s="1" a="1"/>
  <c r="AB15" i="54" s="1"/>
  <c r="R15" i="54" a="1"/>
  <c r="R15" i="54" s="1"/>
  <c r="AC15" i="54" s="1" a="1"/>
  <c r="AC15" i="54" s="1"/>
  <c r="S15" i="54" a="1"/>
  <c r="S15" i="54" s="1"/>
  <c r="AD15" i="54" s="1" a="1"/>
  <c r="AD15" i="54" s="1"/>
  <c r="T15" i="54" a="1"/>
  <c r="T15" i="54" s="1"/>
  <c r="AE15" i="54" s="1" a="1"/>
  <c r="AE15" i="54" s="1"/>
  <c r="U15" i="54" a="1"/>
  <c r="U15" i="54" s="1"/>
  <c r="AF15" i="54" s="1" a="1"/>
  <c r="AF15" i="54" s="1"/>
  <c r="V15" i="54" a="1"/>
  <c r="V15" i="54" s="1"/>
  <c r="AG15" i="54" s="1" a="1"/>
  <c r="AG15" i="54" s="1"/>
  <c r="W15" i="54" a="1"/>
  <c r="W15" i="54" s="1"/>
  <c r="AH15" i="54" s="1" a="1"/>
  <c r="AH15" i="54" s="1"/>
  <c r="X15" i="54" a="1"/>
  <c r="X15" i="54" s="1"/>
  <c r="AI15" i="54" s="1" a="1"/>
  <c r="AI15" i="54" s="1"/>
  <c r="N16" i="54" a="1"/>
  <c r="N16" i="54" s="1"/>
  <c r="O16" i="54" a="1"/>
  <c r="O16" i="54" s="1"/>
  <c r="P16" i="54" a="1"/>
  <c r="P16" i="54" s="1"/>
  <c r="Q16" i="54" a="1"/>
  <c r="Q16" i="54" s="1"/>
  <c r="AB16" i="54" s="1" a="1"/>
  <c r="AB16" i="54" s="1"/>
  <c r="R16" i="54" a="1"/>
  <c r="R16" i="54" s="1"/>
  <c r="AC16" i="54" s="1" a="1"/>
  <c r="AC16" i="54" s="1"/>
  <c r="S16" i="54" a="1"/>
  <c r="S16" i="54" s="1"/>
  <c r="AD16" i="54" s="1" a="1"/>
  <c r="AD16" i="54" s="1"/>
  <c r="T16" i="54" a="1"/>
  <c r="T16" i="54" s="1"/>
  <c r="AE16" i="54" s="1" a="1"/>
  <c r="AE16" i="54" s="1"/>
  <c r="U16" i="54" a="1"/>
  <c r="U16" i="54" s="1"/>
  <c r="AF16" i="54" s="1" a="1"/>
  <c r="AF16" i="54" s="1"/>
  <c r="V16" i="54" a="1"/>
  <c r="V16" i="54" s="1"/>
  <c r="AG16" i="54" s="1" a="1"/>
  <c r="AG16" i="54" s="1"/>
  <c r="W16" i="54" a="1"/>
  <c r="W16" i="54" s="1"/>
  <c r="AH16" i="54" s="1" a="1"/>
  <c r="AH16" i="54" s="1"/>
  <c r="X16" i="54" a="1"/>
  <c r="X16" i="54" s="1"/>
  <c r="AI16" i="54" s="1" a="1"/>
  <c r="AI16" i="54" s="1"/>
  <c r="N17" i="54" a="1"/>
  <c r="N17" i="54" s="1"/>
  <c r="O17" i="54" a="1"/>
  <c r="O17" i="54" s="1"/>
  <c r="P17" i="54" a="1"/>
  <c r="P17" i="54" s="1"/>
  <c r="Q17" i="54" a="1"/>
  <c r="Q17" i="54" s="1"/>
  <c r="AB17" i="54" s="1" a="1"/>
  <c r="AB17" i="54" s="1"/>
  <c r="R17" i="54" a="1"/>
  <c r="R17" i="54" s="1"/>
  <c r="AC17" i="54" s="1" a="1"/>
  <c r="AC17" i="54" s="1"/>
  <c r="S17" i="54" a="1"/>
  <c r="S17" i="54" s="1"/>
  <c r="AD17" i="54" s="1" a="1"/>
  <c r="AD17" i="54" s="1"/>
  <c r="T17" i="54" a="1"/>
  <c r="T17" i="54" s="1"/>
  <c r="AE17" i="54" s="1" a="1"/>
  <c r="AE17" i="54" s="1"/>
  <c r="U17" i="54" a="1"/>
  <c r="U17" i="54" s="1"/>
  <c r="AF17" i="54" s="1" a="1"/>
  <c r="AF17" i="54" s="1"/>
  <c r="V17" i="54" a="1"/>
  <c r="V17" i="54" s="1"/>
  <c r="AG17" i="54" s="1" a="1"/>
  <c r="AG17" i="54" s="1"/>
  <c r="W17" i="54" a="1"/>
  <c r="W17" i="54" s="1"/>
  <c r="AH17" i="54" s="1" a="1"/>
  <c r="AH17" i="54" s="1"/>
  <c r="X17" i="54" a="1"/>
  <c r="X17" i="54" s="1"/>
  <c r="AI17" i="54" s="1" a="1"/>
  <c r="AI17" i="54" s="1"/>
  <c r="N18" i="54" a="1"/>
  <c r="N18" i="54" s="1"/>
  <c r="O18" i="54" a="1"/>
  <c r="O18" i="54" s="1"/>
  <c r="P18" i="54" a="1"/>
  <c r="P18" i="54" s="1"/>
  <c r="Q18" i="54" a="1"/>
  <c r="Q18" i="54" s="1"/>
  <c r="AB18" i="54" s="1" a="1"/>
  <c r="AB18" i="54" s="1"/>
  <c r="R18" i="54" a="1"/>
  <c r="R18" i="54" s="1"/>
  <c r="AC18" i="54" s="1" a="1"/>
  <c r="AC18" i="54" s="1"/>
  <c r="S18" i="54" a="1"/>
  <c r="S18" i="54" s="1"/>
  <c r="AD18" i="54" s="1" a="1"/>
  <c r="AD18" i="54" s="1"/>
  <c r="T18" i="54" a="1"/>
  <c r="T18" i="54" s="1"/>
  <c r="AE18" i="54" s="1" a="1"/>
  <c r="AE18" i="54" s="1"/>
  <c r="U18" i="54" a="1"/>
  <c r="U18" i="54" s="1"/>
  <c r="AF18" i="54" s="1" a="1"/>
  <c r="AF18" i="54" s="1"/>
  <c r="V18" i="54" a="1"/>
  <c r="V18" i="54" s="1"/>
  <c r="AG18" i="54" s="1" a="1"/>
  <c r="AG18" i="54" s="1"/>
  <c r="W18" i="54" a="1"/>
  <c r="W18" i="54" s="1"/>
  <c r="AH18" i="54" s="1" a="1"/>
  <c r="AH18" i="54" s="1"/>
  <c r="X18" i="54" a="1"/>
  <c r="X18" i="54" s="1"/>
  <c r="AI18" i="54" s="1" a="1"/>
  <c r="AI18" i="54" s="1"/>
  <c r="N19" i="54" a="1"/>
  <c r="N19" i="54" s="1"/>
  <c r="O19" i="54" a="1"/>
  <c r="O19" i="54" s="1"/>
  <c r="P19" i="54" a="1"/>
  <c r="P19" i="54" s="1"/>
  <c r="Q19" i="54" a="1"/>
  <c r="Q19" i="54" s="1"/>
  <c r="AB19" i="54" s="1" a="1"/>
  <c r="AB19" i="54" s="1"/>
  <c r="R19" i="54" a="1"/>
  <c r="R19" i="54" s="1"/>
  <c r="AC19" i="54" s="1" a="1"/>
  <c r="AC19" i="54" s="1"/>
  <c r="S19" i="54" a="1"/>
  <c r="S19" i="54" s="1"/>
  <c r="AD19" i="54" s="1" a="1"/>
  <c r="AD19" i="54" s="1"/>
  <c r="T19" i="54" a="1"/>
  <c r="T19" i="54" s="1"/>
  <c r="AE19" i="54" s="1" a="1"/>
  <c r="AE19" i="54" s="1"/>
  <c r="U19" i="54" a="1"/>
  <c r="U19" i="54" s="1"/>
  <c r="AF19" i="54" s="1" a="1"/>
  <c r="AF19" i="54" s="1"/>
  <c r="V19" i="54" a="1"/>
  <c r="V19" i="54" s="1"/>
  <c r="AG19" i="54" s="1" a="1"/>
  <c r="AG19" i="54" s="1"/>
  <c r="W19" i="54" a="1"/>
  <c r="W19" i="54" s="1"/>
  <c r="AH19" i="54" s="1" a="1"/>
  <c r="AH19" i="54" s="1"/>
  <c r="X19" i="54" a="1"/>
  <c r="X19" i="54" s="1"/>
  <c r="AI19" i="54" s="1" a="1"/>
  <c r="AI19" i="54" s="1"/>
  <c r="N20" i="54" a="1"/>
  <c r="N20" i="54" s="1"/>
  <c r="O20" i="54" a="1"/>
  <c r="O20" i="54" s="1"/>
  <c r="P20" i="54" a="1"/>
  <c r="P20" i="54" s="1"/>
  <c r="Q20" i="54" a="1"/>
  <c r="Q20" i="54" s="1"/>
  <c r="AB20" i="54" s="1" a="1"/>
  <c r="AB20" i="54" s="1"/>
  <c r="R20" i="54" a="1"/>
  <c r="R20" i="54" s="1"/>
  <c r="AC20" i="54" s="1" a="1"/>
  <c r="AC20" i="54" s="1"/>
  <c r="S20" i="54" a="1"/>
  <c r="S20" i="54" s="1"/>
  <c r="AD20" i="54" s="1" a="1"/>
  <c r="AD20" i="54" s="1"/>
  <c r="T20" i="54" a="1"/>
  <c r="T20" i="54" s="1"/>
  <c r="AE20" i="54" s="1" a="1"/>
  <c r="AE20" i="54" s="1"/>
  <c r="U20" i="54" a="1"/>
  <c r="U20" i="54" s="1"/>
  <c r="AF20" i="54" s="1" a="1"/>
  <c r="AF20" i="54" s="1"/>
  <c r="V20" i="54" a="1"/>
  <c r="V20" i="54" s="1"/>
  <c r="AG20" i="54" s="1" a="1"/>
  <c r="AG20" i="54" s="1"/>
  <c r="W20" i="54" a="1"/>
  <c r="W20" i="54" s="1"/>
  <c r="AH20" i="54" s="1" a="1"/>
  <c r="AH20" i="54" s="1"/>
  <c r="X20" i="54" a="1"/>
  <c r="X20" i="54" s="1"/>
  <c r="AI20" i="54" s="1" a="1"/>
  <c r="AI20" i="54" s="1"/>
  <c r="N21" i="54" a="1"/>
  <c r="N21" i="54" s="1"/>
  <c r="O21" i="54" a="1"/>
  <c r="O21" i="54" s="1"/>
  <c r="P21" i="54" a="1"/>
  <c r="P21" i="54" s="1"/>
  <c r="Q21" i="54" a="1"/>
  <c r="Q21" i="54" s="1"/>
  <c r="AB21" i="54" s="1" a="1"/>
  <c r="AB21" i="54" s="1"/>
  <c r="R21" i="54" a="1"/>
  <c r="R21" i="54" s="1"/>
  <c r="AC21" i="54" s="1" a="1"/>
  <c r="AC21" i="54" s="1"/>
  <c r="S21" i="54" a="1"/>
  <c r="S21" i="54" s="1"/>
  <c r="AD21" i="54" s="1" a="1"/>
  <c r="AD21" i="54" s="1"/>
  <c r="T21" i="54" a="1"/>
  <c r="T21" i="54" s="1"/>
  <c r="AE21" i="54" s="1" a="1"/>
  <c r="AE21" i="54" s="1"/>
  <c r="U21" i="54" a="1"/>
  <c r="U21" i="54" s="1"/>
  <c r="AF21" i="54" s="1" a="1"/>
  <c r="AF21" i="54" s="1"/>
  <c r="V21" i="54" a="1"/>
  <c r="V21" i="54" s="1"/>
  <c r="AG21" i="54" s="1" a="1"/>
  <c r="AG21" i="54" s="1"/>
  <c r="W21" i="54" a="1"/>
  <c r="W21" i="54" s="1"/>
  <c r="AH21" i="54" s="1" a="1"/>
  <c r="AH21" i="54" s="1"/>
  <c r="X21" i="54" a="1"/>
  <c r="X21" i="54" s="1"/>
  <c r="AI21" i="54" s="1" a="1"/>
  <c r="AI21" i="54" s="1"/>
  <c r="N22" i="54" a="1"/>
  <c r="N22" i="54" s="1"/>
  <c r="O22" i="54" a="1"/>
  <c r="O22" i="54" s="1"/>
  <c r="P22" i="54" a="1"/>
  <c r="P22" i="54" s="1"/>
  <c r="Q22" i="54" a="1"/>
  <c r="Q22" i="54" s="1"/>
  <c r="AB22" i="54" s="1" a="1"/>
  <c r="AB22" i="54" s="1"/>
  <c r="R22" i="54" a="1"/>
  <c r="R22" i="54" s="1"/>
  <c r="AC22" i="54" s="1" a="1"/>
  <c r="AC22" i="54" s="1"/>
  <c r="S22" i="54" a="1"/>
  <c r="S22" i="54" s="1"/>
  <c r="AD22" i="54" s="1" a="1"/>
  <c r="AD22" i="54" s="1"/>
  <c r="T22" i="54" a="1"/>
  <c r="T22" i="54" s="1"/>
  <c r="AE22" i="54" s="1" a="1"/>
  <c r="AE22" i="54" s="1"/>
  <c r="U22" i="54" a="1"/>
  <c r="U22" i="54" s="1"/>
  <c r="AF22" i="54" s="1" a="1"/>
  <c r="AF22" i="54" s="1"/>
  <c r="V22" i="54" a="1"/>
  <c r="V22" i="54" s="1"/>
  <c r="AG22" i="54" s="1" a="1"/>
  <c r="AG22" i="54" s="1"/>
  <c r="W22" i="54" a="1"/>
  <c r="W22" i="54" s="1"/>
  <c r="AH22" i="54" s="1" a="1"/>
  <c r="AH22" i="54" s="1"/>
  <c r="X22" i="54" a="1"/>
  <c r="X22" i="54" s="1"/>
  <c r="AI22" i="54" s="1" a="1"/>
  <c r="AI22" i="54" s="1"/>
  <c r="N23" i="54" a="1"/>
  <c r="N23" i="54" s="1"/>
  <c r="O23" i="54" a="1"/>
  <c r="O23" i="54" s="1"/>
  <c r="P23" i="54" a="1"/>
  <c r="P23" i="54" s="1"/>
  <c r="AA23" i="54" s="1" a="1"/>
  <c r="AA23" i="54" s="1"/>
  <c r="Q23" i="54" a="1"/>
  <c r="Q23" i="54" s="1"/>
  <c r="AB23" i="54" s="1" a="1"/>
  <c r="AB23" i="54" s="1"/>
  <c r="R23" i="54" a="1"/>
  <c r="R23" i="54" s="1"/>
  <c r="AC23" i="54" s="1" a="1"/>
  <c r="AC23" i="54" s="1"/>
  <c r="S23" i="54" a="1"/>
  <c r="S23" i="54" s="1"/>
  <c r="AD23" i="54" s="1" a="1"/>
  <c r="AD23" i="54" s="1"/>
  <c r="T23" i="54" a="1"/>
  <c r="T23" i="54" s="1"/>
  <c r="AE23" i="54" s="1" a="1"/>
  <c r="AE23" i="54" s="1"/>
  <c r="U23" i="54" a="1"/>
  <c r="U23" i="54" s="1"/>
  <c r="AF23" i="54" s="1" a="1"/>
  <c r="AF23" i="54" s="1"/>
  <c r="V23" i="54" a="1"/>
  <c r="V23" i="54" s="1"/>
  <c r="AG23" i="54" s="1" a="1"/>
  <c r="AG23" i="54" s="1"/>
  <c r="W23" i="54" a="1"/>
  <c r="W23" i="54" s="1"/>
  <c r="AH23" i="54" s="1" a="1"/>
  <c r="AH23" i="54" s="1"/>
  <c r="X23" i="54" a="1"/>
  <c r="X23" i="54" s="1"/>
  <c r="AI23" i="54" s="1" a="1"/>
  <c r="AI23" i="54" s="1"/>
  <c r="N24" i="54" a="1"/>
  <c r="N24" i="54" s="1"/>
  <c r="O24" i="54" a="1"/>
  <c r="O24" i="54" s="1"/>
  <c r="P24" i="54" a="1"/>
  <c r="P24" i="54" s="1"/>
  <c r="Q24" i="54" a="1"/>
  <c r="Q24" i="54" s="1"/>
  <c r="AB24" i="54" s="1" a="1"/>
  <c r="AB24" i="54" s="1"/>
  <c r="R24" i="54" a="1"/>
  <c r="R24" i="54" s="1"/>
  <c r="AC24" i="54" s="1" a="1"/>
  <c r="AC24" i="54" s="1"/>
  <c r="S24" i="54" a="1"/>
  <c r="S24" i="54" s="1"/>
  <c r="AD24" i="54" s="1" a="1"/>
  <c r="AD24" i="54" s="1"/>
  <c r="T24" i="54" a="1"/>
  <c r="T24" i="54" s="1"/>
  <c r="AE24" i="54" s="1" a="1"/>
  <c r="AE24" i="54" s="1"/>
  <c r="U24" i="54" a="1"/>
  <c r="U24" i="54" s="1"/>
  <c r="AF24" i="54" s="1" a="1"/>
  <c r="AF24" i="54" s="1"/>
  <c r="V24" i="54" a="1"/>
  <c r="V24" i="54" s="1"/>
  <c r="AG24" i="54" s="1" a="1"/>
  <c r="AG24" i="54" s="1"/>
  <c r="W24" i="54" a="1"/>
  <c r="W24" i="54" s="1"/>
  <c r="AH24" i="54" s="1" a="1"/>
  <c r="AH24" i="54" s="1"/>
  <c r="X24" i="54" a="1"/>
  <c r="X24" i="54" s="1"/>
  <c r="AI24" i="54" s="1" a="1"/>
  <c r="AI24" i="54" s="1"/>
  <c r="N25" i="54" a="1"/>
  <c r="N25" i="54" s="1"/>
  <c r="O25" i="54" a="1"/>
  <c r="O25" i="54" s="1"/>
  <c r="P25" i="54" a="1"/>
  <c r="P25" i="54" s="1"/>
  <c r="Q25" i="54" a="1"/>
  <c r="Q25" i="54" s="1"/>
  <c r="AB25" i="54" s="1" a="1"/>
  <c r="AB25" i="54" s="1"/>
  <c r="R25" i="54" a="1"/>
  <c r="R25" i="54" s="1"/>
  <c r="AC25" i="54" s="1" a="1"/>
  <c r="AC25" i="54" s="1"/>
  <c r="S25" i="54" a="1"/>
  <c r="S25" i="54" s="1"/>
  <c r="AD25" i="54" s="1" a="1"/>
  <c r="AD25" i="54" s="1"/>
  <c r="T25" i="54" a="1"/>
  <c r="T25" i="54" s="1"/>
  <c r="AE25" i="54" s="1" a="1"/>
  <c r="AE25" i="54" s="1"/>
  <c r="U25" i="54" a="1"/>
  <c r="U25" i="54" s="1"/>
  <c r="AF25" i="54" s="1" a="1"/>
  <c r="AF25" i="54" s="1"/>
  <c r="V25" i="54" a="1"/>
  <c r="V25" i="54" s="1"/>
  <c r="AG25" i="54" s="1" a="1"/>
  <c r="AG25" i="54" s="1"/>
  <c r="W25" i="54" a="1"/>
  <c r="W25" i="54" s="1"/>
  <c r="AH25" i="54" s="1" a="1"/>
  <c r="AH25" i="54" s="1"/>
  <c r="X25" i="54" a="1"/>
  <c r="X25" i="54" s="1"/>
  <c r="AI25" i="54" s="1" a="1"/>
  <c r="AI25" i="54" s="1"/>
  <c r="N26" i="54" a="1"/>
  <c r="N26" i="54" s="1"/>
  <c r="O26" i="54" a="1"/>
  <c r="O26" i="54" s="1"/>
  <c r="P26" i="54" a="1"/>
  <c r="P26" i="54" s="1"/>
  <c r="Q26" i="54" a="1"/>
  <c r="Q26" i="54" s="1"/>
  <c r="AB26" i="54" s="1" a="1"/>
  <c r="AB26" i="54" s="1"/>
  <c r="R26" i="54" a="1"/>
  <c r="R26" i="54" s="1"/>
  <c r="AC26" i="54" s="1" a="1"/>
  <c r="AC26" i="54" s="1"/>
  <c r="S26" i="54" a="1"/>
  <c r="S26" i="54" s="1"/>
  <c r="AD26" i="54" s="1" a="1"/>
  <c r="AD26" i="54" s="1"/>
  <c r="T26" i="54" a="1"/>
  <c r="T26" i="54" s="1"/>
  <c r="AE26" i="54" s="1" a="1"/>
  <c r="AE26" i="54" s="1"/>
  <c r="U26" i="54" a="1"/>
  <c r="U26" i="54" s="1"/>
  <c r="AF26" i="54" s="1" a="1"/>
  <c r="AF26" i="54" s="1"/>
  <c r="V26" i="54" a="1"/>
  <c r="V26" i="54" s="1"/>
  <c r="AG26" i="54" s="1" a="1"/>
  <c r="AG26" i="54" s="1"/>
  <c r="W26" i="54" a="1"/>
  <c r="W26" i="54" s="1"/>
  <c r="AH26" i="54" s="1" a="1"/>
  <c r="AH26" i="54" s="1"/>
  <c r="X26" i="54" a="1"/>
  <c r="X26" i="54" s="1"/>
  <c r="AI26" i="54" s="1" a="1"/>
  <c r="AI26" i="54" s="1"/>
  <c r="N27" i="54" a="1"/>
  <c r="N27" i="54" s="1"/>
  <c r="O27" i="54" a="1"/>
  <c r="O27" i="54" s="1"/>
  <c r="P27" i="54" a="1"/>
  <c r="P27" i="54" s="1"/>
  <c r="Q27" i="54" a="1"/>
  <c r="Q27" i="54" s="1"/>
  <c r="AB27" i="54" s="1" a="1"/>
  <c r="AB27" i="54" s="1"/>
  <c r="R27" i="54" a="1"/>
  <c r="R27" i="54" s="1"/>
  <c r="AC27" i="54" s="1" a="1"/>
  <c r="AC27" i="54" s="1"/>
  <c r="S27" i="54" a="1"/>
  <c r="S27" i="54" s="1"/>
  <c r="AD27" i="54" s="1" a="1"/>
  <c r="AD27" i="54" s="1"/>
  <c r="T27" i="54" a="1"/>
  <c r="T27" i="54" s="1"/>
  <c r="AE27" i="54" s="1" a="1"/>
  <c r="AE27" i="54" s="1"/>
  <c r="U27" i="54" a="1"/>
  <c r="U27" i="54" s="1"/>
  <c r="AF27" i="54" s="1" a="1"/>
  <c r="AF27" i="54" s="1"/>
  <c r="V27" i="54" a="1"/>
  <c r="V27" i="54" s="1"/>
  <c r="AG27" i="54" s="1" a="1"/>
  <c r="AG27" i="54" s="1"/>
  <c r="W27" i="54" a="1"/>
  <c r="W27" i="54" s="1"/>
  <c r="AH27" i="54" s="1" a="1"/>
  <c r="AH27" i="54" s="1"/>
  <c r="X27" i="54" a="1"/>
  <c r="X27" i="54" s="1"/>
  <c r="AI27" i="54" s="1" a="1"/>
  <c r="AI27" i="54" s="1"/>
  <c r="N28" i="54" a="1"/>
  <c r="N28" i="54" s="1"/>
  <c r="O28" i="54" a="1"/>
  <c r="O28" i="54" s="1"/>
  <c r="P28" i="54" a="1"/>
  <c r="P28" i="54" s="1"/>
  <c r="Q28" i="54" a="1"/>
  <c r="Q28" i="54" s="1"/>
  <c r="AB28" i="54" s="1" a="1"/>
  <c r="AB28" i="54" s="1"/>
  <c r="R28" i="54" a="1"/>
  <c r="R28" i="54" s="1"/>
  <c r="AC28" i="54" s="1" a="1"/>
  <c r="AC28" i="54" s="1"/>
  <c r="S28" i="54" a="1"/>
  <c r="S28" i="54" s="1"/>
  <c r="AD28" i="54" s="1" a="1"/>
  <c r="AD28" i="54" s="1"/>
  <c r="T28" i="54" a="1"/>
  <c r="T28" i="54" s="1"/>
  <c r="AE28" i="54" s="1" a="1"/>
  <c r="AE28" i="54" s="1"/>
  <c r="U28" i="54" a="1"/>
  <c r="U28" i="54" s="1"/>
  <c r="AF28" i="54" s="1" a="1"/>
  <c r="AF28" i="54" s="1"/>
  <c r="V28" i="54" a="1"/>
  <c r="V28" i="54" s="1"/>
  <c r="AG28" i="54" s="1" a="1"/>
  <c r="AG28" i="54" s="1"/>
  <c r="W28" i="54" a="1"/>
  <c r="W28" i="54" s="1"/>
  <c r="AH28" i="54" s="1" a="1"/>
  <c r="AH28" i="54" s="1"/>
  <c r="X28" i="54" a="1"/>
  <c r="X28" i="54" s="1"/>
  <c r="AI28" i="54" s="1" a="1"/>
  <c r="AI28" i="54" s="1"/>
  <c r="N29" i="54" a="1"/>
  <c r="N29" i="54" s="1"/>
  <c r="O29" i="54" a="1"/>
  <c r="O29" i="54" s="1"/>
  <c r="P29" i="54" a="1"/>
  <c r="P29" i="54" s="1"/>
  <c r="Q29" i="54" a="1"/>
  <c r="Q29" i="54" s="1"/>
  <c r="AB29" i="54" s="1" a="1"/>
  <c r="AB29" i="54" s="1"/>
  <c r="R29" i="54" a="1"/>
  <c r="R29" i="54" s="1"/>
  <c r="AC29" i="54" s="1" a="1"/>
  <c r="AC29" i="54" s="1"/>
  <c r="S29" i="54" a="1"/>
  <c r="S29" i="54" s="1"/>
  <c r="AD29" i="54" s="1" a="1"/>
  <c r="AD29" i="54" s="1"/>
  <c r="T29" i="54" a="1"/>
  <c r="T29" i="54" s="1"/>
  <c r="AE29" i="54" s="1" a="1"/>
  <c r="AE29" i="54" s="1"/>
  <c r="U29" i="54" a="1"/>
  <c r="U29" i="54" s="1"/>
  <c r="AF29" i="54" s="1" a="1"/>
  <c r="AF29" i="54" s="1"/>
  <c r="V29" i="54" a="1"/>
  <c r="V29" i="54" s="1"/>
  <c r="AG29" i="54" s="1" a="1"/>
  <c r="AG29" i="54" s="1"/>
  <c r="W29" i="54" a="1"/>
  <c r="W29" i="54" s="1"/>
  <c r="AH29" i="54" s="1" a="1"/>
  <c r="AH29" i="54" s="1"/>
  <c r="X29" i="54" a="1"/>
  <c r="X29" i="54" s="1"/>
  <c r="AI29" i="54" s="1" a="1"/>
  <c r="AI29" i="54" s="1"/>
  <c r="N30" i="54" a="1"/>
  <c r="N30" i="54" s="1"/>
  <c r="O30" i="54" a="1"/>
  <c r="O30" i="54" s="1"/>
  <c r="P30" i="54" a="1"/>
  <c r="P30" i="54" s="1"/>
  <c r="Q30" i="54" a="1"/>
  <c r="Q30" i="54" s="1"/>
  <c r="AB30" i="54" s="1" a="1"/>
  <c r="AB30" i="54" s="1"/>
  <c r="R30" i="54" a="1"/>
  <c r="R30" i="54" s="1"/>
  <c r="AC30" i="54" s="1" a="1"/>
  <c r="AC30" i="54" s="1"/>
  <c r="S30" i="54" a="1"/>
  <c r="S30" i="54" s="1"/>
  <c r="AD30" i="54" s="1" a="1"/>
  <c r="AD30" i="54" s="1"/>
  <c r="T30" i="54" a="1"/>
  <c r="T30" i="54" s="1"/>
  <c r="AE30" i="54" s="1" a="1"/>
  <c r="AE30" i="54" s="1"/>
  <c r="U30" i="54" a="1"/>
  <c r="U30" i="54" s="1"/>
  <c r="AF30" i="54" s="1" a="1"/>
  <c r="AF30" i="54" s="1"/>
  <c r="V30" i="54" a="1"/>
  <c r="V30" i="54" s="1"/>
  <c r="AG30" i="54" s="1" a="1"/>
  <c r="AG30" i="54" s="1"/>
  <c r="W30" i="54" a="1"/>
  <c r="W30" i="54" s="1"/>
  <c r="AH30" i="54" s="1" a="1"/>
  <c r="AH30" i="54" s="1"/>
  <c r="X30" i="54" a="1"/>
  <c r="X30" i="54" s="1"/>
  <c r="AI30" i="54" s="1" a="1"/>
  <c r="AI30" i="54" s="1"/>
  <c r="N31" i="54" a="1"/>
  <c r="N31" i="54" s="1"/>
  <c r="O31" i="54" a="1"/>
  <c r="O31" i="54" s="1"/>
  <c r="P31" i="54" a="1"/>
  <c r="P31" i="54" s="1"/>
  <c r="Q31" i="54" a="1"/>
  <c r="Q31" i="54" s="1"/>
  <c r="AB31" i="54" s="1" a="1"/>
  <c r="AB31" i="54" s="1"/>
  <c r="R31" i="54" a="1"/>
  <c r="R31" i="54" s="1"/>
  <c r="AC31" i="54" s="1" a="1"/>
  <c r="AC31" i="54" s="1"/>
  <c r="S31" i="54" a="1"/>
  <c r="S31" i="54" s="1"/>
  <c r="AD31" i="54" s="1" a="1"/>
  <c r="AD31" i="54" s="1"/>
  <c r="T31" i="54" a="1"/>
  <c r="T31" i="54" s="1"/>
  <c r="AE31" i="54" s="1" a="1"/>
  <c r="AE31" i="54" s="1"/>
  <c r="U31" i="54" a="1"/>
  <c r="U31" i="54" s="1"/>
  <c r="AF31" i="54" s="1" a="1"/>
  <c r="AF31" i="54" s="1"/>
  <c r="V31" i="54" a="1"/>
  <c r="V31" i="54" s="1"/>
  <c r="AG31" i="54" s="1" a="1"/>
  <c r="AG31" i="54" s="1"/>
  <c r="W31" i="54" a="1"/>
  <c r="W31" i="54" s="1"/>
  <c r="AH31" i="54" s="1" a="1"/>
  <c r="AH31" i="54" s="1"/>
  <c r="X31" i="54" a="1"/>
  <c r="X31" i="54" s="1"/>
  <c r="AI31" i="54" s="1" a="1"/>
  <c r="AI31" i="54" s="1"/>
  <c r="N32" i="54" a="1"/>
  <c r="N32" i="54" s="1"/>
  <c r="O32" i="54" a="1"/>
  <c r="O32" i="54" s="1"/>
  <c r="P32" i="54" a="1"/>
  <c r="P32" i="54" s="1"/>
  <c r="Q32" i="54" a="1"/>
  <c r="Q32" i="54" s="1"/>
  <c r="AB32" i="54" s="1" a="1"/>
  <c r="AB32" i="54" s="1"/>
  <c r="R32" i="54" a="1"/>
  <c r="R32" i="54" s="1"/>
  <c r="AC32" i="54" s="1" a="1"/>
  <c r="AC32" i="54" s="1"/>
  <c r="S32" i="54" a="1"/>
  <c r="S32" i="54" s="1"/>
  <c r="AD32" i="54" s="1" a="1"/>
  <c r="AD32" i="54" s="1"/>
  <c r="T32" i="54" a="1"/>
  <c r="T32" i="54" s="1"/>
  <c r="AE32" i="54" s="1" a="1"/>
  <c r="AE32" i="54" s="1"/>
  <c r="U32" i="54" a="1"/>
  <c r="U32" i="54" s="1"/>
  <c r="AF32" i="54" s="1" a="1"/>
  <c r="AF32" i="54" s="1"/>
  <c r="V32" i="54" a="1"/>
  <c r="V32" i="54" s="1"/>
  <c r="AG32" i="54" s="1" a="1"/>
  <c r="AG32" i="54" s="1"/>
  <c r="W32" i="54" a="1"/>
  <c r="W32" i="54" s="1"/>
  <c r="AH32" i="54" s="1" a="1"/>
  <c r="AH32" i="54" s="1"/>
  <c r="X32" i="54" a="1"/>
  <c r="X32" i="54" s="1"/>
  <c r="AI32" i="54" s="1" a="1"/>
  <c r="AI32" i="54" s="1"/>
  <c r="N33" i="54" a="1"/>
  <c r="N33" i="54" s="1"/>
  <c r="O33" i="54" a="1"/>
  <c r="O33" i="54" s="1"/>
  <c r="P33" i="54" a="1"/>
  <c r="P33" i="54" s="1"/>
  <c r="Q33" i="54" a="1"/>
  <c r="Q33" i="54" s="1"/>
  <c r="AB33" i="54" s="1" a="1"/>
  <c r="AB33" i="54" s="1"/>
  <c r="R33" i="54" a="1"/>
  <c r="R33" i="54" s="1"/>
  <c r="AC33" i="54" s="1" a="1"/>
  <c r="AC33" i="54" s="1"/>
  <c r="S33" i="54" a="1"/>
  <c r="S33" i="54" s="1"/>
  <c r="AD33" i="54" s="1" a="1"/>
  <c r="AD33" i="54" s="1"/>
  <c r="T33" i="54" a="1"/>
  <c r="T33" i="54" s="1"/>
  <c r="AE33" i="54" s="1" a="1"/>
  <c r="AE33" i="54" s="1"/>
  <c r="U33" i="54" a="1"/>
  <c r="U33" i="54" s="1"/>
  <c r="AF33" i="54" s="1" a="1"/>
  <c r="AF33" i="54" s="1"/>
  <c r="V33" i="54" a="1"/>
  <c r="V33" i="54" s="1"/>
  <c r="AG33" i="54" s="1" a="1"/>
  <c r="AG33" i="54" s="1"/>
  <c r="W33" i="54" a="1"/>
  <c r="W33" i="54" s="1"/>
  <c r="AH33" i="54" s="1" a="1"/>
  <c r="AH33" i="54" s="1"/>
  <c r="X33" i="54" a="1"/>
  <c r="X33" i="54" s="1"/>
  <c r="AI33" i="54" s="1" a="1"/>
  <c r="AI33" i="54" s="1"/>
  <c r="N34" i="54" a="1"/>
  <c r="N34" i="54" s="1"/>
  <c r="O34" i="54" a="1"/>
  <c r="O34" i="54" s="1"/>
  <c r="P34" i="54" a="1"/>
  <c r="P34" i="54" s="1"/>
  <c r="Q34" i="54" a="1"/>
  <c r="Q34" i="54" s="1"/>
  <c r="AB34" i="54" s="1" a="1"/>
  <c r="AB34" i="54" s="1"/>
  <c r="R34" i="54" a="1"/>
  <c r="R34" i="54" s="1"/>
  <c r="AC34" i="54" s="1" a="1"/>
  <c r="AC34" i="54" s="1"/>
  <c r="S34" i="54" a="1"/>
  <c r="S34" i="54" s="1"/>
  <c r="AD34" i="54" s="1" a="1"/>
  <c r="AD34" i="54" s="1"/>
  <c r="T34" i="54" a="1"/>
  <c r="T34" i="54" s="1"/>
  <c r="AE34" i="54" s="1" a="1"/>
  <c r="AE34" i="54" s="1"/>
  <c r="U34" i="54" a="1"/>
  <c r="U34" i="54" s="1"/>
  <c r="AF34" i="54" s="1" a="1"/>
  <c r="AF34" i="54" s="1"/>
  <c r="V34" i="54" a="1"/>
  <c r="V34" i="54" s="1"/>
  <c r="AG34" i="54" s="1" a="1"/>
  <c r="AG34" i="54" s="1"/>
  <c r="W34" i="54" a="1"/>
  <c r="W34" i="54" s="1"/>
  <c r="AH34" i="54" s="1" a="1"/>
  <c r="AH34" i="54" s="1"/>
  <c r="X34" i="54" a="1"/>
  <c r="X34" i="54" s="1"/>
  <c r="AI34" i="54" s="1" a="1"/>
  <c r="AI34" i="54" s="1"/>
  <c r="N35" i="54" a="1"/>
  <c r="N35" i="54" s="1"/>
  <c r="O35" i="54" a="1"/>
  <c r="O35" i="54" s="1"/>
  <c r="P35" i="54" a="1"/>
  <c r="P35" i="54" s="1"/>
  <c r="Q35" i="54" a="1"/>
  <c r="Q35" i="54" s="1"/>
  <c r="AB35" i="54" s="1" a="1"/>
  <c r="AB35" i="54" s="1"/>
  <c r="R35" i="54" a="1"/>
  <c r="R35" i="54" s="1"/>
  <c r="S35" i="54" a="1"/>
  <c r="S35" i="54" s="1"/>
  <c r="AD35" i="54" s="1" a="1"/>
  <c r="AD35" i="54" s="1"/>
  <c r="T35" i="54" a="1"/>
  <c r="T35" i="54" s="1"/>
  <c r="AE35" i="54" s="1" a="1"/>
  <c r="AE35" i="54" s="1"/>
  <c r="U35" i="54" a="1"/>
  <c r="U35" i="54" s="1"/>
  <c r="AF35" i="54" s="1" a="1"/>
  <c r="AF35" i="54" s="1"/>
  <c r="V35" i="54" a="1"/>
  <c r="V35" i="54" s="1"/>
  <c r="AG35" i="54" s="1" a="1"/>
  <c r="AG35" i="54" s="1"/>
  <c r="W35" i="54" a="1"/>
  <c r="W35" i="54" s="1"/>
  <c r="AH35" i="54" s="1" a="1"/>
  <c r="AH35" i="54" s="1"/>
  <c r="X35" i="54" a="1"/>
  <c r="X35" i="54" s="1"/>
  <c r="AI35" i="54" s="1" a="1"/>
  <c r="AI35" i="54" s="1"/>
  <c r="N14" i="53" a="1"/>
  <c r="N14" i="53" s="1"/>
  <c r="O14" i="53" a="1"/>
  <c r="O14" i="53" s="1"/>
  <c r="P14" i="53" a="1"/>
  <c r="P14" i="53" s="1"/>
  <c r="AA14" i="53" s="1" a="1"/>
  <c r="AA14" i="53" s="1"/>
  <c r="Q14" i="53" a="1"/>
  <c r="Q14" i="53" s="1"/>
  <c r="AB14" i="53" s="1" a="1"/>
  <c r="AB14" i="53" s="1"/>
  <c r="R14" i="53" a="1"/>
  <c r="R14" i="53" s="1"/>
  <c r="AC14" i="53" s="1" a="1"/>
  <c r="AC14" i="53" s="1"/>
  <c r="S14" i="53" a="1"/>
  <c r="S14" i="53" s="1"/>
  <c r="AD14" i="53" s="1" a="1"/>
  <c r="AD14" i="53" s="1"/>
  <c r="T14" i="53" a="1"/>
  <c r="T14" i="53" s="1"/>
  <c r="AE14" i="53" s="1" a="1"/>
  <c r="AE14" i="53" s="1"/>
  <c r="U14" i="53" a="1"/>
  <c r="U14" i="53" s="1"/>
  <c r="AF14" i="53" s="1" a="1"/>
  <c r="AF14" i="53" s="1"/>
  <c r="V14" i="53" a="1"/>
  <c r="V14" i="53" s="1"/>
  <c r="AG14" i="53" s="1" a="1"/>
  <c r="AG14" i="53" s="1"/>
  <c r="W14" i="53" a="1"/>
  <c r="W14" i="53" s="1"/>
  <c r="AH14" i="53" s="1" a="1"/>
  <c r="AH14" i="53" s="1"/>
  <c r="X14" i="53" a="1"/>
  <c r="X14" i="53" s="1"/>
  <c r="AI14" i="53" s="1" a="1"/>
  <c r="AI14" i="53" s="1"/>
  <c r="N15" i="53" a="1"/>
  <c r="N15" i="53" s="1"/>
  <c r="O15" i="53" a="1"/>
  <c r="O15" i="53" s="1"/>
  <c r="P15" i="53" a="1"/>
  <c r="P15" i="53" s="1"/>
  <c r="Q15" i="53" a="1"/>
  <c r="Q15" i="53" s="1"/>
  <c r="AB15" i="53" s="1" a="1"/>
  <c r="AB15" i="53" s="1"/>
  <c r="R15" i="53" a="1"/>
  <c r="R15" i="53" s="1"/>
  <c r="S15" i="53" a="1"/>
  <c r="S15" i="53" s="1"/>
  <c r="AD15" i="53" s="1" a="1"/>
  <c r="AD15" i="53" s="1"/>
  <c r="T15" i="53" a="1"/>
  <c r="T15" i="53" s="1"/>
  <c r="AE15" i="53" s="1" a="1"/>
  <c r="AE15" i="53" s="1"/>
  <c r="U15" i="53" a="1"/>
  <c r="U15" i="53" s="1"/>
  <c r="AF15" i="53" s="1" a="1"/>
  <c r="AF15" i="53" s="1"/>
  <c r="V15" i="53" a="1"/>
  <c r="V15" i="53" s="1"/>
  <c r="AG15" i="53" s="1" a="1"/>
  <c r="AG15" i="53" s="1"/>
  <c r="W15" i="53" a="1"/>
  <c r="W15" i="53" s="1"/>
  <c r="AH15" i="53" s="1" a="1"/>
  <c r="AH15" i="53" s="1"/>
  <c r="X15" i="53" a="1"/>
  <c r="X15" i="53" s="1"/>
  <c r="AI15" i="53" s="1" a="1"/>
  <c r="AI15" i="53" s="1"/>
  <c r="N16" i="53" a="1"/>
  <c r="N16" i="53" s="1"/>
  <c r="O16" i="53" a="1"/>
  <c r="O16" i="53" s="1"/>
  <c r="P16" i="53" a="1"/>
  <c r="P16" i="53" s="1"/>
  <c r="Q16" i="53" a="1"/>
  <c r="Q16" i="53" s="1"/>
  <c r="AB16" i="53" s="1" a="1"/>
  <c r="AB16" i="53" s="1"/>
  <c r="R16" i="53" a="1"/>
  <c r="R16" i="53" s="1"/>
  <c r="AC16" i="53" s="1" a="1"/>
  <c r="AC16" i="53" s="1"/>
  <c r="S16" i="53" a="1"/>
  <c r="S16" i="53" s="1"/>
  <c r="AD16" i="53" s="1" a="1"/>
  <c r="AD16" i="53" s="1"/>
  <c r="T16" i="53" a="1"/>
  <c r="T16" i="53" s="1"/>
  <c r="AE16" i="53" s="1" a="1"/>
  <c r="AE16" i="53" s="1"/>
  <c r="U16" i="53" a="1"/>
  <c r="U16" i="53" s="1"/>
  <c r="AF16" i="53" s="1" a="1"/>
  <c r="AF16" i="53" s="1"/>
  <c r="V16" i="53" a="1"/>
  <c r="V16" i="53" s="1"/>
  <c r="AG16" i="53" s="1" a="1"/>
  <c r="AG16" i="53" s="1"/>
  <c r="W16" i="53" a="1"/>
  <c r="W16" i="53" s="1"/>
  <c r="AH16" i="53" s="1" a="1"/>
  <c r="AH16" i="53" s="1"/>
  <c r="X16" i="53" a="1"/>
  <c r="X16" i="53" s="1"/>
  <c r="AI16" i="53" s="1" a="1"/>
  <c r="AI16" i="53" s="1"/>
  <c r="N17" i="53" a="1"/>
  <c r="N17" i="53" s="1"/>
  <c r="O17" i="53" a="1"/>
  <c r="O17" i="53" s="1"/>
  <c r="P17" i="53" a="1"/>
  <c r="P17" i="53" s="1"/>
  <c r="AA17" i="53" s="1" a="1"/>
  <c r="AA17" i="53" s="1"/>
  <c r="Q17" i="53" a="1"/>
  <c r="Q17" i="53" s="1"/>
  <c r="AB17" i="53" s="1" a="1"/>
  <c r="AB17" i="53" s="1"/>
  <c r="R17" i="53" a="1"/>
  <c r="R17" i="53" s="1"/>
  <c r="AC17" i="53" s="1" a="1"/>
  <c r="AC17" i="53" s="1"/>
  <c r="S17" i="53" a="1"/>
  <c r="S17" i="53" s="1"/>
  <c r="AD17" i="53" s="1" a="1"/>
  <c r="AD17" i="53" s="1"/>
  <c r="T17" i="53" a="1"/>
  <c r="T17" i="53" s="1"/>
  <c r="AE17" i="53" s="1" a="1"/>
  <c r="AE17" i="53" s="1"/>
  <c r="U17" i="53" a="1"/>
  <c r="U17" i="53" s="1"/>
  <c r="AF17" i="53" s="1" a="1"/>
  <c r="AF17" i="53" s="1"/>
  <c r="V17" i="53" a="1"/>
  <c r="V17" i="53" s="1"/>
  <c r="AG17" i="53" s="1" a="1"/>
  <c r="AG17" i="53" s="1"/>
  <c r="W17" i="53" a="1"/>
  <c r="W17" i="53" s="1"/>
  <c r="AH17" i="53" s="1" a="1"/>
  <c r="AH17" i="53" s="1"/>
  <c r="X17" i="53" a="1"/>
  <c r="X17" i="53" s="1"/>
  <c r="AI17" i="53" s="1" a="1"/>
  <c r="AI17" i="53" s="1"/>
  <c r="N18" i="53" a="1"/>
  <c r="N18" i="53" s="1"/>
  <c r="O18" i="53" a="1"/>
  <c r="O18" i="53" s="1"/>
  <c r="P18" i="53" a="1"/>
  <c r="P18" i="53" s="1"/>
  <c r="AA18" i="53" s="1" a="1"/>
  <c r="AA18" i="53" s="1"/>
  <c r="Q18" i="53" a="1"/>
  <c r="Q18" i="53" s="1"/>
  <c r="AB18" i="53" s="1" a="1"/>
  <c r="AB18" i="53" s="1"/>
  <c r="R18" i="53" a="1"/>
  <c r="R18" i="53" s="1"/>
  <c r="AC18" i="53" s="1" a="1"/>
  <c r="AC18" i="53" s="1"/>
  <c r="S18" i="53" a="1"/>
  <c r="S18" i="53" s="1"/>
  <c r="AD18" i="53" s="1" a="1"/>
  <c r="AD18" i="53" s="1"/>
  <c r="T18" i="53" a="1"/>
  <c r="T18" i="53" s="1"/>
  <c r="AE18" i="53" s="1" a="1"/>
  <c r="AE18" i="53" s="1"/>
  <c r="U18" i="53" a="1"/>
  <c r="U18" i="53" s="1"/>
  <c r="AF18" i="53" s="1" a="1"/>
  <c r="AF18" i="53" s="1"/>
  <c r="V18" i="53" a="1"/>
  <c r="V18" i="53" s="1"/>
  <c r="AG18" i="53" s="1" a="1"/>
  <c r="AG18" i="53" s="1"/>
  <c r="W18" i="53" a="1"/>
  <c r="W18" i="53" s="1"/>
  <c r="AH18" i="53" s="1" a="1"/>
  <c r="AH18" i="53" s="1"/>
  <c r="X18" i="53" a="1"/>
  <c r="X18" i="53" s="1"/>
  <c r="AI18" i="53" s="1" a="1"/>
  <c r="AI18" i="53" s="1"/>
  <c r="N19" i="53" a="1"/>
  <c r="N19" i="53" s="1"/>
  <c r="O19" i="53" a="1"/>
  <c r="O19" i="53" s="1"/>
  <c r="P19" i="53" a="1"/>
  <c r="P19" i="53" s="1"/>
  <c r="Q19" i="53" a="1"/>
  <c r="Q19" i="53" s="1"/>
  <c r="AB19" i="53" s="1" a="1"/>
  <c r="AB19" i="53" s="1"/>
  <c r="R19" i="53" a="1"/>
  <c r="R19" i="53" s="1"/>
  <c r="AC19" i="53" s="1" a="1"/>
  <c r="AC19" i="53" s="1"/>
  <c r="S19" i="53" a="1"/>
  <c r="S19" i="53" s="1"/>
  <c r="AD19" i="53" s="1" a="1"/>
  <c r="AD19" i="53" s="1"/>
  <c r="T19" i="53" a="1"/>
  <c r="T19" i="53" s="1"/>
  <c r="AE19" i="53" s="1" a="1"/>
  <c r="AE19" i="53" s="1"/>
  <c r="U19" i="53" a="1"/>
  <c r="U19" i="53" s="1"/>
  <c r="AF19" i="53" s="1" a="1"/>
  <c r="AF19" i="53" s="1"/>
  <c r="V19" i="53" a="1"/>
  <c r="V19" i="53" s="1"/>
  <c r="AG19" i="53" s="1" a="1"/>
  <c r="AG19" i="53" s="1"/>
  <c r="W19" i="53" a="1"/>
  <c r="W19" i="53" s="1"/>
  <c r="AH19" i="53" s="1" a="1"/>
  <c r="AH19" i="53" s="1"/>
  <c r="X19" i="53" a="1"/>
  <c r="X19" i="53" s="1"/>
  <c r="AI19" i="53" s="1" a="1"/>
  <c r="AI19" i="53" s="1"/>
  <c r="N20" i="53" a="1"/>
  <c r="N20" i="53" s="1"/>
  <c r="O20" i="53" a="1"/>
  <c r="O20" i="53" s="1"/>
  <c r="P20" i="53" a="1"/>
  <c r="P20" i="53" s="1"/>
  <c r="AA20" i="53" s="1" a="1"/>
  <c r="AA20" i="53" s="1"/>
  <c r="Q20" i="53" a="1"/>
  <c r="Q20" i="53" s="1"/>
  <c r="AB20" i="53" s="1" a="1"/>
  <c r="AB20" i="53" s="1"/>
  <c r="R20" i="53" a="1"/>
  <c r="R20" i="53" s="1"/>
  <c r="AC20" i="53" s="1" a="1"/>
  <c r="AC20" i="53" s="1"/>
  <c r="S20" i="53" a="1"/>
  <c r="S20" i="53" s="1"/>
  <c r="T20" i="53" a="1"/>
  <c r="T20" i="53" s="1"/>
  <c r="AE20" i="53" s="1" a="1"/>
  <c r="AE20" i="53" s="1"/>
  <c r="U20" i="53" a="1"/>
  <c r="U20" i="53" s="1"/>
  <c r="AF20" i="53" s="1" a="1"/>
  <c r="AF20" i="53" s="1"/>
  <c r="V20" i="53" a="1"/>
  <c r="V20" i="53" s="1"/>
  <c r="AG20" i="53" s="1" a="1"/>
  <c r="AG20" i="53" s="1"/>
  <c r="W20" i="53" a="1"/>
  <c r="W20" i="53" s="1"/>
  <c r="AH20" i="53" s="1" a="1"/>
  <c r="AH20" i="53" s="1"/>
  <c r="X20" i="53" a="1"/>
  <c r="X20" i="53" s="1"/>
  <c r="AI20" i="53" s="1" a="1"/>
  <c r="AI20" i="53" s="1"/>
  <c r="N21" i="53" a="1"/>
  <c r="N21" i="53" s="1"/>
  <c r="O21" i="53" a="1"/>
  <c r="O21" i="53" s="1"/>
  <c r="P21" i="53" a="1"/>
  <c r="P21" i="53" s="1"/>
  <c r="AA21" i="53" s="1" a="1"/>
  <c r="AA21" i="53" s="1"/>
  <c r="Q21" i="53" a="1"/>
  <c r="Q21" i="53" s="1"/>
  <c r="AB21" i="53" s="1" a="1"/>
  <c r="AB21" i="53" s="1"/>
  <c r="R21" i="53" a="1"/>
  <c r="R21" i="53" s="1"/>
  <c r="AC21" i="53" s="1" a="1"/>
  <c r="AC21" i="53" s="1"/>
  <c r="S21" i="53" a="1"/>
  <c r="S21" i="53" s="1"/>
  <c r="AD21" i="53" s="1" a="1"/>
  <c r="AD21" i="53" s="1"/>
  <c r="T21" i="53" a="1"/>
  <c r="T21" i="53" s="1"/>
  <c r="AE21" i="53" s="1" a="1"/>
  <c r="AE21" i="53" s="1"/>
  <c r="U21" i="53" a="1"/>
  <c r="U21" i="53" s="1"/>
  <c r="AF21" i="53" s="1" a="1"/>
  <c r="AF21" i="53" s="1"/>
  <c r="V21" i="53" a="1"/>
  <c r="V21" i="53" s="1"/>
  <c r="AG21" i="53" s="1" a="1"/>
  <c r="AG21" i="53" s="1"/>
  <c r="W21" i="53" a="1"/>
  <c r="W21" i="53" s="1"/>
  <c r="AH21" i="53" s="1" a="1"/>
  <c r="AH21" i="53" s="1"/>
  <c r="X21" i="53" a="1"/>
  <c r="X21" i="53" s="1"/>
  <c r="AI21" i="53" s="1" a="1"/>
  <c r="AI21" i="53" s="1"/>
  <c r="N22" i="53" a="1"/>
  <c r="N22" i="53" s="1"/>
  <c r="O22" i="53" a="1"/>
  <c r="O22" i="53" s="1"/>
  <c r="P22" i="53" a="1"/>
  <c r="P22" i="53" s="1"/>
  <c r="AA22" i="53" s="1" a="1"/>
  <c r="AA22" i="53" s="1"/>
  <c r="Q22" i="53" a="1"/>
  <c r="Q22" i="53" s="1"/>
  <c r="AB22" i="53" s="1" a="1"/>
  <c r="AB22" i="53" s="1"/>
  <c r="R22" i="53" a="1"/>
  <c r="R22" i="53" s="1"/>
  <c r="AC22" i="53" s="1" a="1"/>
  <c r="AC22" i="53" s="1"/>
  <c r="S22" i="53" a="1"/>
  <c r="S22" i="53" s="1"/>
  <c r="AD22" i="53" s="1" a="1"/>
  <c r="AD22" i="53" s="1"/>
  <c r="T22" i="53" a="1"/>
  <c r="T22" i="53" s="1"/>
  <c r="AE22" i="53" s="1" a="1"/>
  <c r="AE22" i="53" s="1"/>
  <c r="U22" i="53" a="1"/>
  <c r="U22" i="53" s="1"/>
  <c r="AF22" i="53" s="1" a="1"/>
  <c r="AF22" i="53" s="1"/>
  <c r="V22" i="53" a="1"/>
  <c r="V22" i="53" s="1"/>
  <c r="AG22" i="53" s="1" a="1"/>
  <c r="AG22" i="53" s="1"/>
  <c r="W22" i="53" a="1"/>
  <c r="W22" i="53" s="1"/>
  <c r="AH22" i="53" s="1" a="1"/>
  <c r="AH22" i="53" s="1"/>
  <c r="X22" i="53" a="1"/>
  <c r="X22" i="53" s="1"/>
  <c r="AI22" i="53" s="1" a="1"/>
  <c r="AI22" i="53" s="1"/>
  <c r="N23" i="53" a="1"/>
  <c r="N23" i="53" s="1"/>
  <c r="O23" i="53" a="1"/>
  <c r="O23" i="53" s="1"/>
  <c r="P23" i="53" a="1"/>
  <c r="P23" i="53" s="1"/>
  <c r="Q23" i="53" a="1"/>
  <c r="Q23" i="53" s="1"/>
  <c r="AB23" i="53" s="1" a="1"/>
  <c r="AB23" i="53" s="1"/>
  <c r="R23" i="53" a="1"/>
  <c r="R23" i="53" s="1"/>
  <c r="AC23" i="53" s="1" a="1"/>
  <c r="AC23" i="53" s="1"/>
  <c r="S23" i="53" a="1"/>
  <c r="S23" i="53" s="1"/>
  <c r="AD23" i="53" s="1" a="1"/>
  <c r="AD23" i="53" s="1"/>
  <c r="T23" i="53" a="1"/>
  <c r="T23" i="53" s="1"/>
  <c r="AE23" i="53" s="1" a="1"/>
  <c r="AE23" i="53" s="1"/>
  <c r="U23" i="53" a="1"/>
  <c r="U23" i="53" s="1"/>
  <c r="AF23" i="53" s="1" a="1"/>
  <c r="AF23" i="53" s="1"/>
  <c r="V23" i="53" a="1"/>
  <c r="V23" i="53" s="1"/>
  <c r="AG23" i="53" s="1" a="1"/>
  <c r="AG23" i="53" s="1"/>
  <c r="W23" i="53" a="1"/>
  <c r="W23" i="53" s="1"/>
  <c r="AH23" i="53" s="1" a="1"/>
  <c r="AH23" i="53" s="1"/>
  <c r="X23" i="53" a="1"/>
  <c r="X23" i="53" s="1"/>
  <c r="AI23" i="53" s="1" a="1"/>
  <c r="AI23" i="53" s="1"/>
  <c r="N24" i="53" a="1"/>
  <c r="N24" i="53" s="1"/>
  <c r="O24" i="53" a="1"/>
  <c r="O24" i="53" s="1"/>
  <c r="P24" i="53" a="1"/>
  <c r="P24" i="53" s="1"/>
  <c r="Q24" i="53" a="1"/>
  <c r="Q24" i="53" s="1"/>
  <c r="AB24" i="53" s="1" a="1"/>
  <c r="AB24" i="53" s="1"/>
  <c r="R24" i="53" a="1"/>
  <c r="R24" i="53" s="1"/>
  <c r="AC24" i="53" s="1" a="1"/>
  <c r="AC24" i="53" s="1"/>
  <c r="S24" i="53" a="1"/>
  <c r="S24" i="53" s="1"/>
  <c r="AD24" i="53" s="1" a="1"/>
  <c r="AD24" i="53" s="1"/>
  <c r="T24" i="53" a="1"/>
  <c r="T24" i="53" s="1"/>
  <c r="AE24" i="53" s="1" a="1"/>
  <c r="AE24" i="53" s="1"/>
  <c r="U24" i="53" a="1"/>
  <c r="U24" i="53" s="1"/>
  <c r="AF24" i="53" s="1" a="1"/>
  <c r="AF24" i="53" s="1"/>
  <c r="V24" i="53" a="1"/>
  <c r="V24" i="53" s="1"/>
  <c r="AG24" i="53" s="1" a="1"/>
  <c r="AG24" i="53" s="1"/>
  <c r="W24" i="53" a="1"/>
  <c r="W24" i="53" s="1"/>
  <c r="AH24" i="53" s="1" a="1"/>
  <c r="AH24" i="53" s="1"/>
  <c r="X24" i="53" a="1"/>
  <c r="X24" i="53" s="1"/>
  <c r="AI24" i="53" s="1" a="1"/>
  <c r="AI24" i="53" s="1"/>
  <c r="N25" i="53" a="1"/>
  <c r="N25" i="53" s="1"/>
  <c r="O25" i="53" a="1"/>
  <c r="O25" i="53" s="1"/>
  <c r="P25" i="53" a="1"/>
  <c r="P25" i="53" s="1"/>
  <c r="Q25" i="53" a="1"/>
  <c r="Q25" i="53" s="1"/>
  <c r="AB25" i="53" s="1" a="1"/>
  <c r="AB25" i="53" s="1"/>
  <c r="R25" i="53" a="1"/>
  <c r="R25" i="53" s="1"/>
  <c r="AC25" i="53" s="1" a="1"/>
  <c r="AC25" i="53" s="1"/>
  <c r="S25" i="53" a="1"/>
  <c r="S25" i="53" s="1"/>
  <c r="AD25" i="53" s="1" a="1"/>
  <c r="AD25" i="53" s="1"/>
  <c r="T25" i="53" a="1"/>
  <c r="T25" i="53" s="1"/>
  <c r="AE25" i="53" s="1" a="1"/>
  <c r="AE25" i="53" s="1"/>
  <c r="U25" i="53" a="1"/>
  <c r="U25" i="53" s="1"/>
  <c r="AF25" i="53" s="1" a="1"/>
  <c r="AF25" i="53" s="1"/>
  <c r="V25" i="53" a="1"/>
  <c r="V25" i="53" s="1"/>
  <c r="AG25" i="53" s="1" a="1"/>
  <c r="AG25" i="53" s="1"/>
  <c r="W25" i="53" a="1"/>
  <c r="W25" i="53" s="1"/>
  <c r="AH25" i="53" s="1" a="1"/>
  <c r="AH25" i="53" s="1"/>
  <c r="X25" i="53" a="1"/>
  <c r="X25" i="53" s="1"/>
  <c r="AI25" i="53" s="1" a="1"/>
  <c r="AI25" i="53" s="1"/>
  <c r="N28" i="52" a="1"/>
  <c r="N28" i="52" s="1"/>
  <c r="O28" i="52" a="1"/>
  <c r="O28" i="52" s="1"/>
  <c r="P28" i="52" a="1"/>
  <c r="P28" i="52" s="1"/>
  <c r="Q28" i="52" a="1"/>
  <c r="Q28" i="52" s="1"/>
  <c r="R28" i="52" a="1"/>
  <c r="R28" i="52" s="1"/>
  <c r="AC28" i="52" s="1" a="1"/>
  <c r="AC28" i="52" s="1"/>
  <c r="S28" i="52" a="1"/>
  <c r="S28" i="52" s="1"/>
  <c r="AD28" i="52" s="1" a="1"/>
  <c r="AD28" i="52" s="1"/>
  <c r="T28" i="52" a="1"/>
  <c r="T28" i="52" s="1"/>
  <c r="AE28" i="52" s="1" a="1"/>
  <c r="AE28" i="52" s="1"/>
  <c r="U28" i="52" a="1"/>
  <c r="U28" i="52" s="1"/>
  <c r="AF28" i="52" s="1" a="1"/>
  <c r="AF28" i="52" s="1"/>
  <c r="V28" i="52" a="1"/>
  <c r="V28" i="52" s="1"/>
  <c r="AG28" i="52" s="1" a="1"/>
  <c r="AG28" i="52" s="1"/>
  <c r="W28" i="52" a="1"/>
  <c r="W28" i="52" s="1"/>
  <c r="AH28" i="52" s="1" a="1"/>
  <c r="AH28" i="52" s="1"/>
  <c r="X28" i="52" a="1"/>
  <c r="X28" i="52" s="1"/>
  <c r="AI28" i="52" s="1" a="1"/>
  <c r="AI28" i="52" s="1"/>
  <c r="N29" i="52" a="1"/>
  <c r="N29" i="52" s="1"/>
  <c r="O29" i="52" a="1"/>
  <c r="O29" i="52" s="1"/>
  <c r="P29" i="52" a="1"/>
  <c r="P29" i="52" s="1"/>
  <c r="AA29" i="52" s="1" a="1"/>
  <c r="AA29" i="52" s="1"/>
  <c r="Q29" i="52" a="1"/>
  <c r="Q29" i="52" s="1"/>
  <c r="AB29" i="52" s="1" a="1"/>
  <c r="AB29" i="52" s="1"/>
  <c r="R29" i="52" a="1"/>
  <c r="R29" i="52" s="1"/>
  <c r="AC29" i="52" s="1" a="1"/>
  <c r="AC29" i="52" s="1"/>
  <c r="S29" i="52" a="1"/>
  <c r="S29" i="52" s="1"/>
  <c r="AD29" i="52" s="1" a="1"/>
  <c r="AD29" i="52" s="1"/>
  <c r="T29" i="52" a="1"/>
  <c r="T29" i="52" s="1"/>
  <c r="AE29" i="52" s="1" a="1"/>
  <c r="AE29" i="52" s="1"/>
  <c r="U29" i="52" a="1"/>
  <c r="U29" i="52" s="1"/>
  <c r="AF29" i="52" s="1" a="1"/>
  <c r="AF29" i="52" s="1"/>
  <c r="V29" i="52" a="1"/>
  <c r="V29" i="52" s="1"/>
  <c r="AG29" i="52" s="1" a="1"/>
  <c r="AG29" i="52" s="1"/>
  <c r="W29" i="52" a="1"/>
  <c r="W29" i="52" s="1"/>
  <c r="AH29" i="52" s="1" a="1"/>
  <c r="AH29" i="52" s="1"/>
  <c r="X29" i="52" a="1"/>
  <c r="X29" i="52" s="1"/>
  <c r="AI29" i="52" s="1" a="1"/>
  <c r="AI29" i="52" s="1"/>
  <c r="N30" i="52" a="1"/>
  <c r="N30" i="52" s="1"/>
  <c r="O30" i="52" a="1"/>
  <c r="O30" i="52" s="1"/>
  <c r="P30" i="52" a="1"/>
  <c r="P30" i="52" s="1"/>
  <c r="AA30" i="52" s="1" a="1"/>
  <c r="AA30" i="52" s="1"/>
  <c r="Q30" i="52" a="1"/>
  <c r="Q30" i="52" s="1"/>
  <c r="AB30" i="52" s="1" a="1"/>
  <c r="AB30" i="52" s="1"/>
  <c r="R30" i="52" a="1"/>
  <c r="R30" i="52" s="1"/>
  <c r="AC30" i="52" s="1" a="1"/>
  <c r="AC30" i="52" s="1"/>
  <c r="S30" i="52" a="1"/>
  <c r="S30" i="52" s="1"/>
  <c r="AD30" i="52" s="1" a="1"/>
  <c r="AD30" i="52" s="1"/>
  <c r="T30" i="52" a="1"/>
  <c r="T30" i="52" s="1"/>
  <c r="AE30" i="52" s="1" a="1"/>
  <c r="AE30" i="52" s="1"/>
  <c r="U30" i="52" a="1"/>
  <c r="U30" i="52" s="1"/>
  <c r="AF30" i="52" s="1" a="1"/>
  <c r="AF30" i="52" s="1"/>
  <c r="V30" i="52" a="1"/>
  <c r="V30" i="52" s="1"/>
  <c r="AG30" i="52" s="1" a="1"/>
  <c r="AG30" i="52" s="1"/>
  <c r="W30" i="52" a="1"/>
  <c r="W30" i="52" s="1"/>
  <c r="AH30" i="52" s="1" a="1"/>
  <c r="AH30" i="52" s="1"/>
  <c r="X30" i="52" a="1"/>
  <c r="X30" i="52" s="1"/>
  <c r="AI30" i="52" s="1" a="1"/>
  <c r="AI30" i="52" s="1"/>
  <c r="N31" i="52" a="1"/>
  <c r="N31" i="52" s="1"/>
  <c r="O31" i="52" a="1"/>
  <c r="O31" i="52" s="1"/>
  <c r="P31" i="52" a="1"/>
  <c r="P31" i="52" s="1"/>
  <c r="AA31" i="52" s="1" a="1"/>
  <c r="AA31" i="52" s="1"/>
  <c r="Q31" i="52" a="1"/>
  <c r="Q31" i="52" s="1"/>
  <c r="AB31" i="52" s="1" a="1"/>
  <c r="AB31" i="52" s="1"/>
  <c r="R31" i="52" a="1"/>
  <c r="R31" i="52" s="1"/>
  <c r="AC31" i="52" s="1" a="1"/>
  <c r="AC31" i="52" s="1"/>
  <c r="S31" i="52" a="1"/>
  <c r="S31" i="52" s="1"/>
  <c r="AD31" i="52" s="1" a="1"/>
  <c r="AD31" i="52" s="1"/>
  <c r="T31" i="52" a="1"/>
  <c r="T31" i="52" s="1"/>
  <c r="AE31" i="52" s="1" a="1"/>
  <c r="AE31" i="52" s="1"/>
  <c r="U31" i="52" a="1"/>
  <c r="U31" i="52" s="1"/>
  <c r="AF31" i="52" s="1" a="1"/>
  <c r="AF31" i="52" s="1"/>
  <c r="V31" i="52" a="1"/>
  <c r="V31" i="52" s="1"/>
  <c r="AG31" i="52" s="1" a="1"/>
  <c r="AG31" i="52" s="1"/>
  <c r="W31" i="52" a="1"/>
  <c r="W31" i="52" s="1"/>
  <c r="AH31" i="52" s="1" a="1"/>
  <c r="AH31" i="52" s="1"/>
  <c r="X31" i="52" a="1"/>
  <c r="X31" i="52" s="1"/>
  <c r="AI31" i="52" s="1" a="1"/>
  <c r="AI31" i="52" s="1"/>
  <c r="N32" i="52" a="1"/>
  <c r="N32" i="52" s="1"/>
  <c r="O32" i="52" a="1"/>
  <c r="O32" i="52" s="1"/>
  <c r="P32" i="52" a="1"/>
  <c r="P32" i="52" s="1"/>
  <c r="AA32" i="52" s="1" a="1"/>
  <c r="AA32" i="52" s="1"/>
  <c r="Q32" i="52" a="1"/>
  <c r="Q32" i="52" s="1"/>
  <c r="AB32" i="52" s="1" a="1"/>
  <c r="AB32" i="52" s="1"/>
  <c r="R32" i="52" a="1"/>
  <c r="R32" i="52" s="1"/>
  <c r="AC32" i="52" s="1" a="1"/>
  <c r="AC32" i="52" s="1"/>
  <c r="S32" i="52" a="1"/>
  <c r="S32" i="52" s="1"/>
  <c r="AD32" i="52" s="1" a="1"/>
  <c r="AD32" i="52" s="1"/>
  <c r="T32" i="52" a="1"/>
  <c r="T32" i="52" s="1"/>
  <c r="AE32" i="52" s="1" a="1"/>
  <c r="AE32" i="52" s="1"/>
  <c r="U32" i="52" a="1"/>
  <c r="U32" i="52" s="1"/>
  <c r="AF32" i="52" s="1" a="1"/>
  <c r="AF32" i="52" s="1"/>
  <c r="V32" i="52" a="1"/>
  <c r="V32" i="52" s="1"/>
  <c r="AG32" i="52" s="1" a="1"/>
  <c r="AG32" i="52" s="1"/>
  <c r="W32" i="52" a="1"/>
  <c r="W32" i="52" s="1"/>
  <c r="AH32" i="52" s="1" a="1"/>
  <c r="AH32" i="52" s="1"/>
  <c r="X32" i="52" a="1"/>
  <c r="X32" i="52" s="1"/>
  <c r="AI32" i="52" s="1" a="1"/>
  <c r="AI32" i="52" s="1"/>
  <c r="N33" i="52" a="1"/>
  <c r="N33" i="52" s="1"/>
  <c r="O33" i="52" a="1"/>
  <c r="O33" i="52" s="1"/>
  <c r="P33" i="52" a="1"/>
  <c r="P33" i="52" s="1"/>
  <c r="AA33" i="52" s="1" a="1"/>
  <c r="AA33" i="52" s="1"/>
  <c r="Q33" i="52" a="1"/>
  <c r="Q33" i="52" s="1"/>
  <c r="AB33" i="52" s="1" a="1"/>
  <c r="AB33" i="52" s="1"/>
  <c r="R33" i="52" a="1"/>
  <c r="R33" i="52" s="1"/>
  <c r="AC33" i="52" s="1" a="1"/>
  <c r="AC33" i="52" s="1"/>
  <c r="S33" i="52" a="1"/>
  <c r="S33" i="52" s="1"/>
  <c r="AD33" i="52" s="1" a="1"/>
  <c r="AD33" i="52" s="1"/>
  <c r="T33" i="52" a="1"/>
  <c r="T33" i="52" s="1"/>
  <c r="AE33" i="52" s="1" a="1"/>
  <c r="AE33" i="52" s="1"/>
  <c r="U33" i="52" a="1"/>
  <c r="U33" i="52" s="1"/>
  <c r="AF33" i="52" s="1" a="1"/>
  <c r="AF33" i="52" s="1"/>
  <c r="V33" i="52" a="1"/>
  <c r="V33" i="52" s="1"/>
  <c r="AG33" i="52" s="1" a="1"/>
  <c r="AG33" i="52" s="1"/>
  <c r="W33" i="52" a="1"/>
  <c r="W33" i="52" s="1"/>
  <c r="AH33" i="52" s="1" a="1"/>
  <c r="AH33" i="52" s="1"/>
  <c r="X33" i="52" a="1"/>
  <c r="X33" i="52" s="1"/>
  <c r="AI33" i="52" s="1" a="1"/>
  <c r="AI33" i="52" s="1"/>
  <c r="N34" i="52" a="1"/>
  <c r="N34" i="52" s="1"/>
  <c r="O34" i="52" a="1"/>
  <c r="O34" i="52" s="1"/>
  <c r="P34" i="52" a="1"/>
  <c r="P34" i="52" s="1"/>
  <c r="Q34" i="52" a="1"/>
  <c r="Q34" i="52" s="1"/>
  <c r="AB34" i="52" s="1" a="1"/>
  <c r="AB34" i="52" s="1"/>
  <c r="R34" i="52" a="1"/>
  <c r="R34" i="52" s="1"/>
  <c r="AC34" i="52" s="1" a="1"/>
  <c r="AC34" i="52" s="1"/>
  <c r="S34" i="52" a="1"/>
  <c r="S34" i="52" s="1"/>
  <c r="AD34" i="52" s="1" a="1"/>
  <c r="AD34" i="52" s="1"/>
  <c r="T34" i="52" a="1"/>
  <c r="T34" i="52" s="1"/>
  <c r="AE34" i="52" s="1" a="1"/>
  <c r="AE34" i="52" s="1"/>
  <c r="U34" i="52" a="1"/>
  <c r="U34" i="52" s="1"/>
  <c r="AF34" i="52" s="1" a="1"/>
  <c r="AF34" i="52" s="1"/>
  <c r="V34" i="52" a="1"/>
  <c r="V34" i="52" s="1"/>
  <c r="AG34" i="52" s="1" a="1"/>
  <c r="AG34" i="52" s="1"/>
  <c r="W34" i="52" a="1"/>
  <c r="W34" i="52" s="1"/>
  <c r="AH34" i="52" s="1" a="1"/>
  <c r="AH34" i="52" s="1"/>
  <c r="X34" i="52" a="1"/>
  <c r="X34" i="52" s="1"/>
  <c r="AI34" i="52" s="1" a="1"/>
  <c r="AI34" i="52" s="1"/>
  <c r="N35" i="52" a="1"/>
  <c r="N35" i="52" s="1"/>
  <c r="O35" i="52" a="1"/>
  <c r="O35" i="52" s="1"/>
  <c r="P35" i="52" a="1"/>
  <c r="P35" i="52" s="1"/>
  <c r="AA35" i="52" s="1" a="1"/>
  <c r="AA35" i="52" s="1"/>
  <c r="Q35" i="52" a="1"/>
  <c r="Q35" i="52" s="1"/>
  <c r="AB35" i="52" s="1" a="1"/>
  <c r="AB35" i="52" s="1"/>
  <c r="R35" i="52" a="1"/>
  <c r="R35" i="52" s="1"/>
  <c r="AC35" i="52" s="1" a="1"/>
  <c r="AC35" i="52" s="1"/>
  <c r="S35" i="52" a="1"/>
  <c r="S35" i="52" s="1"/>
  <c r="AD35" i="52" s="1" a="1"/>
  <c r="AD35" i="52" s="1"/>
  <c r="T35" i="52" a="1"/>
  <c r="T35" i="52" s="1"/>
  <c r="AE35" i="52" s="1" a="1"/>
  <c r="AE35" i="52" s="1"/>
  <c r="U35" i="52" a="1"/>
  <c r="U35" i="52" s="1"/>
  <c r="AF35" i="52" s="1" a="1"/>
  <c r="AF35" i="52" s="1"/>
  <c r="V35" i="52" a="1"/>
  <c r="V35" i="52" s="1"/>
  <c r="AG35" i="52" s="1" a="1"/>
  <c r="AG35" i="52" s="1"/>
  <c r="W35" i="52" a="1"/>
  <c r="W35" i="52" s="1"/>
  <c r="AH35" i="52" s="1" a="1"/>
  <c r="AH35" i="52" s="1"/>
  <c r="X35" i="52" a="1"/>
  <c r="X35" i="52" s="1"/>
  <c r="AI35" i="52" s="1" a="1"/>
  <c r="AI35" i="52" s="1"/>
  <c r="N36" i="52" a="1"/>
  <c r="N36" i="52" s="1"/>
  <c r="O36" i="52" a="1"/>
  <c r="O36" i="52" s="1"/>
  <c r="P36" i="52" a="1"/>
  <c r="P36" i="52" s="1"/>
  <c r="AA36" i="52" s="1" a="1"/>
  <c r="AA36" i="52" s="1"/>
  <c r="Q36" i="52" a="1"/>
  <c r="Q36" i="52" s="1"/>
  <c r="AB36" i="52" s="1" a="1"/>
  <c r="AB36" i="52" s="1"/>
  <c r="R36" i="52" a="1"/>
  <c r="R36" i="52" s="1"/>
  <c r="AC36" i="52" s="1" a="1"/>
  <c r="AC36" i="52" s="1"/>
  <c r="S36" i="52" a="1"/>
  <c r="S36" i="52" s="1"/>
  <c r="AD36" i="52" s="1" a="1"/>
  <c r="AD36" i="52" s="1"/>
  <c r="T36" i="52" a="1"/>
  <c r="T36" i="52" s="1"/>
  <c r="AE36" i="52" s="1" a="1"/>
  <c r="AE36" i="52" s="1"/>
  <c r="U36" i="52" a="1"/>
  <c r="U36" i="52" s="1"/>
  <c r="AF36" i="52" s="1" a="1"/>
  <c r="AF36" i="52" s="1"/>
  <c r="V36" i="52" a="1"/>
  <c r="V36" i="52" s="1"/>
  <c r="AG36" i="52" s="1" a="1"/>
  <c r="AG36" i="52" s="1"/>
  <c r="W36" i="52" a="1"/>
  <c r="W36" i="52" s="1"/>
  <c r="AH36" i="52" s="1" a="1"/>
  <c r="AH36" i="52" s="1"/>
  <c r="X36" i="52" a="1"/>
  <c r="X36" i="52" s="1"/>
  <c r="AI36" i="52" s="1" a="1"/>
  <c r="AI36" i="52" s="1"/>
  <c r="N37" i="52" a="1"/>
  <c r="N37" i="52" s="1"/>
  <c r="O37" i="52" a="1"/>
  <c r="O37" i="52" s="1"/>
  <c r="P37" i="52" a="1"/>
  <c r="P37" i="52" s="1"/>
  <c r="AA37" i="52" s="1" a="1"/>
  <c r="AA37" i="52" s="1"/>
  <c r="Q37" i="52" a="1"/>
  <c r="Q37" i="52" s="1"/>
  <c r="AB37" i="52" s="1" a="1"/>
  <c r="AB37" i="52" s="1"/>
  <c r="R37" i="52" a="1"/>
  <c r="R37" i="52" s="1"/>
  <c r="AC37" i="52" s="1" a="1"/>
  <c r="AC37" i="52" s="1"/>
  <c r="S37" i="52" a="1"/>
  <c r="S37" i="52" s="1"/>
  <c r="AD37" i="52" s="1" a="1"/>
  <c r="AD37" i="52" s="1"/>
  <c r="T37" i="52" a="1"/>
  <c r="T37" i="52" s="1"/>
  <c r="AE37" i="52" s="1" a="1"/>
  <c r="AE37" i="52" s="1"/>
  <c r="U37" i="52" a="1"/>
  <c r="U37" i="52" s="1"/>
  <c r="AF37" i="52" s="1" a="1"/>
  <c r="AF37" i="52" s="1"/>
  <c r="V37" i="52" a="1"/>
  <c r="V37" i="52" s="1"/>
  <c r="AG37" i="52" s="1" a="1"/>
  <c r="AG37" i="52" s="1"/>
  <c r="W37" i="52" a="1"/>
  <c r="W37" i="52" s="1"/>
  <c r="AH37" i="52" s="1" a="1"/>
  <c r="AH37" i="52" s="1"/>
  <c r="X37" i="52" a="1"/>
  <c r="X37" i="52" s="1"/>
  <c r="AI37" i="52" s="1" a="1"/>
  <c r="AI37" i="52" s="1"/>
  <c r="N38" i="52" a="1"/>
  <c r="N38" i="52" s="1"/>
  <c r="O38" i="52" a="1"/>
  <c r="O38" i="52" s="1"/>
  <c r="P38" i="52" a="1"/>
  <c r="P38" i="52" s="1"/>
  <c r="Q38" i="52" a="1"/>
  <c r="Q38" i="52" s="1"/>
  <c r="AB38" i="52" s="1" a="1"/>
  <c r="AB38" i="52" s="1"/>
  <c r="R38" i="52" a="1"/>
  <c r="R38" i="52" s="1"/>
  <c r="AC38" i="52" s="1" a="1"/>
  <c r="AC38" i="52" s="1"/>
  <c r="S38" i="52" a="1"/>
  <c r="S38" i="52" s="1"/>
  <c r="AD38" i="52" s="1" a="1"/>
  <c r="AD38" i="52" s="1"/>
  <c r="T38" i="52" a="1"/>
  <c r="T38" i="52" s="1"/>
  <c r="AE38" i="52" s="1" a="1"/>
  <c r="AE38" i="52" s="1"/>
  <c r="U38" i="52" a="1"/>
  <c r="U38" i="52" s="1"/>
  <c r="AF38" i="52" s="1" a="1"/>
  <c r="AF38" i="52" s="1"/>
  <c r="V38" i="52" a="1"/>
  <c r="V38" i="52" s="1"/>
  <c r="AG38" i="52" s="1" a="1"/>
  <c r="AG38" i="52" s="1"/>
  <c r="W38" i="52" a="1"/>
  <c r="W38" i="52" s="1"/>
  <c r="AH38" i="52" s="1" a="1"/>
  <c r="AH38" i="52" s="1"/>
  <c r="X38" i="52" a="1"/>
  <c r="X38" i="52" s="1"/>
  <c r="AI38" i="52" s="1" a="1"/>
  <c r="AI38" i="52" s="1"/>
  <c r="N39" i="52" a="1"/>
  <c r="N39" i="52" s="1"/>
  <c r="O39" i="52" a="1"/>
  <c r="O39" i="52" s="1"/>
  <c r="P39" i="52" a="1"/>
  <c r="P39" i="52" s="1"/>
  <c r="AA39" i="52" s="1" a="1"/>
  <c r="AA39" i="52" s="1"/>
  <c r="Q39" i="52" a="1"/>
  <c r="Q39" i="52" s="1"/>
  <c r="AB39" i="52" s="1" a="1"/>
  <c r="AB39" i="52" s="1"/>
  <c r="R39" i="52" a="1"/>
  <c r="R39" i="52" s="1"/>
  <c r="AC39" i="52" s="1" a="1"/>
  <c r="AC39" i="52" s="1"/>
  <c r="S39" i="52" a="1"/>
  <c r="S39" i="52" s="1"/>
  <c r="AD39" i="52" s="1" a="1"/>
  <c r="AD39" i="52" s="1"/>
  <c r="T39" i="52" a="1"/>
  <c r="T39" i="52" s="1"/>
  <c r="AE39" i="52" s="1" a="1"/>
  <c r="AE39" i="52" s="1"/>
  <c r="U39" i="52" a="1"/>
  <c r="U39" i="52" s="1"/>
  <c r="AF39" i="52" s="1" a="1"/>
  <c r="AF39" i="52" s="1"/>
  <c r="V39" i="52" a="1"/>
  <c r="V39" i="52" s="1"/>
  <c r="AG39" i="52" s="1" a="1"/>
  <c r="AG39" i="52" s="1"/>
  <c r="W39" i="52" a="1"/>
  <c r="W39" i="52" s="1"/>
  <c r="AH39" i="52" s="1" a="1"/>
  <c r="AH39" i="52" s="1"/>
  <c r="X39" i="52" a="1"/>
  <c r="X39" i="52" s="1"/>
  <c r="AI39" i="52" s="1" a="1"/>
  <c r="AI39" i="52" s="1"/>
  <c r="N40" i="52" a="1"/>
  <c r="N40" i="52" s="1"/>
  <c r="O40" i="52" a="1"/>
  <c r="O40" i="52" s="1"/>
  <c r="P40" i="52" a="1"/>
  <c r="P40" i="52" s="1"/>
  <c r="AA40" i="52" s="1" a="1"/>
  <c r="AA40" i="52" s="1"/>
  <c r="Q40" i="52" a="1"/>
  <c r="Q40" i="52" s="1"/>
  <c r="AB40" i="52" s="1" a="1"/>
  <c r="AB40" i="52" s="1"/>
  <c r="R40" i="52" a="1"/>
  <c r="R40" i="52" s="1"/>
  <c r="AC40" i="52" s="1" a="1"/>
  <c r="AC40" i="52" s="1"/>
  <c r="S40" i="52" a="1"/>
  <c r="S40" i="52" s="1"/>
  <c r="AD40" i="52" s="1" a="1"/>
  <c r="AD40" i="52" s="1"/>
  <c r="T40" i="52" a="1"/>
  <c r="T40" i="52" s="1"/>
  <c r="AE40" i="52" s="1" a="1"/>
  <c r="AE40" i="52" s="1"/>
  <c r="U40" i="52" a="1"/>
  <c r="U40" i="52" s="1"/>
  <c r="AF40" i="52" s="1" a="1"/>
  <c r="AF40" i="52" s="1"/>
  <c r="V40" i="52" a="1"/>
  <c r="V40" i="52" s="1"/>
  <c r="AG40" i="52" s="1" a="1"/>
  <c r="AG40" i="52" s="1"/>
  <c r="W40" i="52" a="1"/>
  <c r="W40" i="52" s="1"/>
  <c r="AH40" i="52" s="1" a="1"/>
  <c r="AH40" i="52" s="1"/>
  <c r="X40" i="52" a="1"/>
  <c r="X40" i="52" s="1"/>
  <c r="AI40" i="52" s="1" a="1"/>
  <c r="AI40" i="52" s="1"/>
  <c r="N41" i="52" a="1"/>
  <c r="N41" i="52" s="1"/>
  <c r="O41" i="52" a="1"/>
  <c r="O41" i="52" s="1"/>
  <c r="P41" i="52" a="1"/>
  <c r="P41" i="52" s="1"/>
  <c r="AA41" i="52" s="1" a="1"/>
  <c r="AA41" i="52" s="1"/>
  <c r="Q41" i="52" a="1"/>
  <c r="Q41" i="52" s="1"/>
  <c r="AB41" i="52" s="1" a="1"/>
  <c r="AB41" i="52" s="1"/>
  <c r="R41" i="52" a="1"/>
  <c r="R41" i="52" s="1"/>
  <c r="AC41" i="52" s="1" a="1"/>
  <c r="AC41" i="52" s="1"/>
  <c r="S41" i="52" a="1"/>
  <c r="S41" i="52" s="1"/>
  <c r="AD41" i="52" s="1" a="1"/>
  <c r="AD41" i="52" s="1"/>
  <c r="T41" i="52" a="1"/>
  <c r="T41" i="52" s="1"/>
  <c r="AE41" i="52" s="1" a="1"/>
  <c r="AE41" i="52" s="1"/>
  <c r="U41" i="52" a="1"/>
  <c r="U41" i="52" s="1"/>
  <c r="AF41" i="52" s="1" a="1"/>
  <c r="AF41" i="52" s="1"/>
  <c r="V41" i="52" a="1"/>
  <c r="V41" i="52" s="1"/>
  <c r="AG41" i="52" s="1" a="1"/>
  <c r="AG41" i="52" s="1"/>
  <c r="W41" i="52" a="1"/>
  <c r="W41" i="52" s="1"/>
  <c r="AH41" i="52" s="1" a="1"/>
  <c r="AH41" i="52" s="1"/>
  <c r="X41" i="52" a="1"/>
  <c r="X41" i="52" s="1"/>
  <c r="AI41" i="52" s="1" a="1"/>
  <c r="AI41" i="52" s="1"/>
  <c r="N42" i="52" a="1"/>
  <c r="N42" i="52" s="1"/>
  <c r="O42" i="52" a="1"/>
  <c r="O42" i="52" s="1"/>
  <c r="P42" i="52" a="1"/>
  <c r="P42" i="52" s="1"/>
  <c r="AA42" i="52" s="1" a="1"/>
  <c r="AA42" i="52" s="1"/>
  <c r="Q42" i="52" a="1"/>
  <c r="Q42" i="52" s="1"/>
  <c r="AB42" i="52" s="1" a="1"/>
  <c r="AB42" i="52" s="1"/>
  <c r="R42" i="52" a="1"/>
  <c r="R42" i="52" s="1"/>
  <c r="AC42" i="52" s="1" a="1"/>
  <c r="AC42" i="52" s="1"/>
  <c r="S42" i="52" a="1"/>
  <c r="S42" i="52" s="1"/>
  <c r="AD42" i="52" s="1" a="1"/>
  <c r="AD42" i="52" s="1"/>
  <c r="T42" i="52" a="1"/>
  <c r="T42" i="52" s="1"/>
  <c r="AE42" i="52" s="1" a="1"/>
  <c r="AE42" i="52" s="1"/>
  <c r="U42" i="52" a="1"/>
  <c r="U42" i="52" s="1"/>
  <c r="AF42" i="52" s="1" a="1"/>
  <c r="AF42" i="52" s="1"/>
  <c r="V42" i="52" a="1"/>
  <c r="V42" i="52" s="1"/>
  <c r="AG42" i="52" s="1" a="1"/>
  <c r="AG42" i="52" s="1"/>
  <c r="W42" i="52" a="1"/>
  <c r="W42" i="52" s="1"/>
  <c r="AH42" i="52" s="1" a="1"/>
  <c r="AH42" i="52" s="1"/>
  <c r="X42" i="52" a="1"/>
  <c r="X42" i="52" s="1"/>
  <c r="AI42" i="52" s="1" a="1"/>
  <c r="AI42" i="52" s="1"/>
  <c r="N43" i="52" a="1"/>
  <c r="N43" i="52" s="1"/>
  <c r="O43" i="52" a="1"/>
  <c r="O43" i="52" s="1"/>
  <c r="P43" i="52" a="1"/>
  <c r="P43" i="52" s="1"/>
  <c r="AA43" i="52" s="1" a="1"/>
  <c r="AA43" i="52" s="1"/>
  <c r="Q43" i="52" a="1"/>
  <c r="Q43" i="52" s="1"/>
  <c r="AB43" i="52" s="1" a="1"/>
  <c r="AB43" i="52" s="1"/>
  <c r="R43" i="52" a="1"/>
  <c r="R43" i="52" s="1"/>
  <c r="AC43" i="52" s="1" a="1"/>
  <c r="AC43" i="52" s="1"/>
  <c r="S43" i="52" a="1"/>
  <c r="S43" i="52" s="1"/>
  <c r="AD43" i="52" s="1" a="1"/>
  <c r="AD43" i="52" s="1"/>
  <c r="T43" i="52" a="1"/>
  <c r="T43" i="52" s="1"/>
  <c r="AE43" i="52" s="1" a="1"/>
  <c r="AE43" i="52" s="1"/>
  <c r="U43" i="52" a="1"/>
  <c r="U43" i="52" s="1"/>
  <c r="AF43" i="52" s="1" a="1"/>
  <c r="AF43" i="52" s="1"/>
  <c r="V43" i="52" a="1"/>
  <c r="V43" i="52" s="1"/>
  <c r="AG43" i="52" s="1" a="1"/>
  <c r="AG43" i="52" s="1"/>
  <c r="W43" i="52" a="1"/>
  <c r="W43" i="52" s="1"/>
  <c r="AH43" i="52" s="1" a="1"/>
  <c r="AH43" i="52" s="1"/>
  <c r="X43" i="52" a="1"/>
  <c r="X43" i="52" s="1"/>
  <c r="AI43" i="52" s="1" a="1"/>
  <c r="AI43" i="52" s="1"/>
  <c r="N44" i="52" a="1"/>
  <c r="N44" i="52" s="1"/>
  <c r="O44" i="52" a="1"/>
  <c r="O44" i="52" s="1"/>
  <c r="P44" i="52" a="1"/>
  <c r="P44" i="52" s="1"/>
  <c r="AA44" i="52" s="1" a="1"/>
  <c r="AA44" i="52" s="1"/>
  <c r="Q44" i="52" a="1"/>
  <c r="Q44" i="52" s="1"/>
  <c r="AB44" i="52" s="1" a="1"/>
  <c r="AB44" i="52" s="1"/>
  <c r="R44" i="52" a="1"/>
  <c r="R44" i="52" s="1"/>
  <c r="AC44" i="52" s="1" a="1"/>
  <c r="AC44" i="52" s="1"/>
  <c r="S44" i="52" a="1"/>
  <c r="S44" i="52" s="1"/>
  <c r="AD44" i="52" s="1" a="1"/>
  <c r="AD44" i="52" s="1"/>
  <c r="T44" i="52" a="1"/>
  <c r="T44" i="52" s="1"/>
  <c r="AE44" i="52" s="1" a="1"/>
  <c r="AE44" i="52" s="1"/>
  <c r="U44" i="52" a="1"/>
  <c r="U44" i="52" s="1"/>
  <c r="AF44" i="52" s="1" a="1"/>
  <c r="AF44" i="52" s="1"/>
  <c r="V44" i="52" a="1"/>
  <c r="V44" i="52" s="1"/>
  <c r="AG44" i="52" s="1" a="1"/>
  <c r="AG44" i="52" s="1"/>
  <c r="W44" i="52" a="1"/>
  <c r="W44" i="52" s="1"/>
  <c r="AH44" i="52" s="1" a="1"/>
  <c r="AH44" i="52" s="1"/>
  <c r="X44" i="52" a="1"/>
  <c r="X44" i="52" s="1"/>
  <c r="AI44" i="52" s="1" a="1"/>
  <c r="AI44" i="52" s="1"/>
  <c r="N45" i="52" a="1"/>
  <c r="N45" i="52" s="1"/>
  <c r="O45" i="52" a="1"/>
  <c r="O45" i="52" s="1"/>
  <c r="P45" i="52" a="1"/>
  <c r="P45" i="52" s="1"/>
  <c r="AA45" i="52" s="1" a="1"/>
  <c r="AA45" i="52" s="1"/>
  <c r="Q45" i="52" a="1"/>
  <c r="Q45" i="52" s="1"/>
  <c r="AB45" i="52" s="1" a="1"/>
  <c r="AB45" i="52" s="1"/>
  <c r="R45" i="52" a="1"/>
  <c r="R45" i="52" s="1"/>
  <c r="AC45" i="52" s="1" a="1"/>
  <c r="AC45" i="52" s="1"/>
  <c r="S45" i="52" a="1"/>
  <c r="S45" i="52" s="1"/>
  <c r="AD45" i="52" s="1" a="1"/>
  <c r="AD45" i="52" s="1"/>
  <c r="T45" i="52" a="1"/>
  <c r="T45" i="52" s="1"/>
  <c r="AE45" i="52" s="1" a="1"/>
  <c r="AE45" i="52" s="1"/>
  <c r="U45" i="52" a="1"/>
  <c r="U45" i="52" s="1"/>
  <c r="AF45" i="52" s="1" a="1"/>
  <c r="AF45" i="52" s="1"/>
  <c r="V45" i="52" a="1"/>
  <c r="V45" i="52" s="1"/>
  <c r="AG45" i="52" s="1" a="1"/>
  <c r="AG45" i="52" s="1"/>
  <c r="W45" i="52" a="1"/>
  <c r="W45" i="52" s="1"/>
  <c r="AH45" i="52" s="1" a="1"/>
  <c r="AH45" i="52" s="1"/>
  <c r="X45" i="52" a="1"/>
  <c r="X45" i="52" s="1"/>
  <c r="AI45" i="52" s="1" a="1"/>
  <c r="AI45" i="52" s="1"/>
  <c r="N46" i="52" a="1"/>
  <c r="N46" i="52" s="1"/>
  <c r="O46" i="52" a="1"/>
  <c r="O46" i="52" s="1"/>
  <c r="P46" i="52" a="1"/>
  <c r="P46" i="52" s="1"/>
  <c r="AA46" i="52" s="1" a="1"/>
  <c r="AA46" i="52" s="1"/>
  <c r="Q46" i="52" a="1"/>
  <c r="Q46" i="52" s="1"/>
  <c r="AB46" i="52" s="1" a="1"/>
  <c r="AB46" i="52" s="1"/>
  <c r="R46" i="52" a="1"/>
  <c r="R46" i="52" s="1"/>
  <c r="S46" i="52" a="1"/>
  <c r="S46" i="52" s="1"/>
  <c r="AD46" i="52" s="1" a="1"/>
  <c r="AD46" i="52" s="1"/>
  <c r="T46" i="52" a="1"/>
  <c r="T46" i="52" s="1"/>
  <c r="AE46" i="52" s="1" a="1"/>
  <c r="AE46" i="52" s="1"/>
  <c r="U46" i="52" a="1"/>
  <c r="U46" i="52" s="1"/>
  <c r="AF46" i="52" s="1" a="1"/>
  <c r="AF46" i="52" s="1"/>
  <c r="V46" i="52" a="1"/>
  <c r="V46" i="52" s="1"/>
  <c r="AG46" i="52" s="1" a="1"/>
  <c r="AG46" i="52" s="1"/>
  <c r="W46" i="52" a="1"/>
  <c r="W46" i="52" s="1"/>
  <c r="AH46" i="52" s="1" a="1"/>
  <c r="AH46" i="52" s="1"/>
  <c r="X46" i="52" a="1"/>
  <c r="X46" i="52" s="1"/>
  <c r="AI46" i="52" s="1" a="1"/>
  <c r="AI46" i="52" s="1"/>
  <c r="N47" i="52" a="1"/>
  <c r="N47" i="52" s="1"/>
  <c r="O47" i="52" a="1"/>
  <c r="O47" i="52" s="1"/>
  <c r="P47" i="52" a="1"/>
  <c r="P47" i="52" s="1"/>
  <c r="AA47" i="52" s="1" a="1"/>
  <c r="AA47" i="52" s="1"/>
  <c r="Q47" i="52" a="1"/>
  <c r="Q47" i="52" s="1"/>
  <c r="AB47" i="52" s="1" a="1"/>
  <c r="AB47" i="52" s="1"/>
  <c r="R47" i="52" a="1"/>
  <c r="R47" i="52" s="1"/>
  <c r="AC47" i="52" s="1" a="1"/>
  <c r="AC47" i="52" s="1"/>
  <c r="S47" i="52" a="1"/>
  <c r="S47" i="52" s="1"/>
  <c r="AD47" i="52" s="1" a="1"/>
  <c r="AD47" i="52" s="1"/>
  <c r="T47" i="52" a="1"/>
  <c r="T47" i="52" s="1"/>
  <c r="AE47" i="52" s="1" a="1"/>
  <c r="AE47" i="52" s="1"/>
  <c r="U47" i="52" a="1"/>
  <c r="U47" i="52" s="1"/>
  <c r="AF47" i="52" s="1" a="1"/>
  <c r="AF47" i="52" s="1"/>
  <c r="V47" i="52" a="1"/>
  <c r="V47" i="52" s="1"/>
  <c r="AG47" i="52" s="1" a="1"/>
  <c r="AG47" i="52" s="1"/>
  <c r="W47" i="52" a="1"/>
  <c r="W47" i="52" s="1"/>
  <c r="AH47" i="52" s="1" a="1"/>
  <c r="AH47" i="52" s="1"/>
  <c r="X47" i="52" a="1"/>
  <c r="X47" i="52" s="1"/>
  <c r="AI47" i="52" s="1" a="1"/>
  <c r="AI47" i="52" s="1"/>
  <c r="N48" i="52" a="1"/>
  <c r="N48" i="52" s="1"/>
  <c r="O48" i="52" a="1"/>
  <c r="O48" i="52" s="1"/>
  <c r="P48" i="52" a="1"/>
  <c r="P48" i="52" s="1"/>
  <c r="AA48" i="52" s="1" a="1"/>
  <c r="AA48" i="52" s="1"/>
  <c r="Q48" i="52" a="1"/>
  <c r="Q48" i="52" s="1"/>
  <c r="AB48" i="52" s="1" a="1"/>
  <c r="AB48" i="52" s="1"/>
  <c r="R48" i="52" a="1"/>
  <c r="R48" i="52" s="1"/>
  <c r="AC48" i="52" s="1" a="1"/>
  <c r="AC48" i="52" s="1"/>
  <c r="S48" i="52" a="1"/>
  <c r="S48" i="52" s="1"/>
  <c r="AD48" i="52" s="1" a="1"/>
  <c r="AD48" i="52" s="1"/>
  <c r="T48" i="52" a="1"/>
  <c r="T48" i="52" s="1"/>
  <c r="AE48" i="52" s="1" a="1"/>
  <c r="AE48" i="52" s="1"/>
  <c r="U48" i="52" a="1"/>
  <c r="U48" i="52" s="1"/>
  <c r="AF48" i="52" s="1" a="1"/>
  <c r="AF48" i="52" s="1"/>
  <c r="V48" i="52" a="1"/>
  <c r="V48" i="52" s="1"/>
  <c r="AG48" i="52" s="1" a="1"/>
  <c r="AG48" i="52" s="1"/>
  <c r="W48" i="52" a="1"/>
  <c r="W48" i="52" s="1"/>
  <c r="AH48" i="52" s="1" a="1"/>
  <c r="AH48" i="52" s="1"/>
  <c r="X48" i="52" a="1"/>
  <c r="X48" i="52" s="1"/>
  <c r="AI48" i="52" s="1" a="1"/>
  <c r="AI48" i="52" s="1"/>
  <c r="N14" i="52" a="1"/>
  <c r="N14" i="52" s="1"/>
  <c r="O14" i="52" a="1"/>
  <c r="O14" i="52" s="1"/>
  <c r="P14" i="52" a="1"/>
  <c r="P14" i="52" s="1"/>
  <c r="AA14" i="52" s="1" a="1"/>
  <c r="AA14" i="52" s="1"/>
  <c r="Q14" i="52" a="1"/>
  <c r="Q14" i="52" s="1"/>
  <c r="AB14" i="52" s="1" a="1"/>
  <c r="AB14" i="52" s="1"/>
  <c r="R14" i="52" a="1"/>
  <c r="R14" i="52" s="1"/>
  <c r="S14" i="52" a="1"/>
  <c r="S14" i="52" s="1"/>
  <c r="AD14" i="52" s="1" a="1"/>
  <c r="AD14" i="52" s="1"/>
  <c r="T14" i="52" a="1"/>
  <c r="T14" i="52" s="1"/>
  <c r="AE14" i="52" s="1" a="1"/>
  <c r="AE14" i="52" s="1"/>
  <c r="U14" i="52" a="1"/>
  <c r="U14" i="52" s="1"/>
  <c r="AF14" i="52" s="1" a="1"/>
  <c r="AF14" i="52" s="1"/>
  <c r="V14" i="52" a="1"/>
  <c r="V14" i="52" s="1"/>
  <c r="AG14" i="52" s="1" a="1"/>
  <c r="AG14" i="52" s="1"/>
  <c r="W14" i="52" a="1"/>
  <c r="W14" i="52" s="1"/>
  <c r="AH14" i="52" s="1" a="1"/>
  <c r="AH14" i="52" s="1"/>
  <c r="X14" i="52" a="1"/>
  <c r="X14" i="52" s="1"/>
  <c r="AI14" i="52" s="1" a="1"/>
  <c r="AI14" i="52" s="1"/>
  <c r="N15" i="52" a="1"/>
  <c r="N15" i="52" s="1"/>
  <c r="O15" i="52" a="1"/>
  <c r="O15" i="52" s="1"/>
  <c r="P15" i="52" a="1"/>
  <c r="P15" i="52" s="1"/>
  <c r="Q15" i="52" a="1"/>
  <c r="Q15" i="52" s="1"/>
  <c r="AB15" i="52" s="1" a="1"/>
  <c r="AB15" i="52" s="1"/>
  <c r="R15" i="52" a="1"/>
  <c r="R15" i="52" s="1"/>
  <c r="AC15" i="52" s="1" a="1"/>
  <c r="AC15" i="52" s="1"/>
  <c r="S15" i="52" a="1"/>
  <c r="S15" i="52" s="1"/>
  <c r="AD15" i="52" s="1" a="1"/>
  <c r="AD15" i="52" s="1"/>
  <c r="T15" i="52" a="1"/>
  <c r="T15" i="52" s="1"/>
  <c r="AE15" i="52" s="1" a="1"/>
  <c r="AE15" i="52" s="1"/>
  <c r="U15" i="52" a="1"/>
  <c r="U15" i="52" s="1"/>
  <c r="AF15" i="52" s="1" a="1"/>
  <c r="AF15" i="52" s="1"/>
  <c r="V15" i="52" a="1"/>
  <c r="V15" i="52" s="1"/>
  <c r="AG15" i="52" s="1" a="1"/>
  <c r="AG15" i="52" s="1"/>
  <c r="W15" i="52" a="1"/>
  <c r="W15" i="52" s="1"/>
  <c r="AH15" i="52" s="1" a="1"/>
  <c r="AH15" i="52" s="1"/>
  <c r="X15" i="52" a="1"/>
  <c r="X15" i="52" s="1"/>
  <c r="AI15" i="52" s="1" a="1"/>
  <c r="AI15" i="52" s="1"/>
  <c r="N16" i="52" a="1"/>
  <c r="N16" i="52" s="1"/>
  <c r="O16" i="52" a="1"/>
  <c r="O16" i="52" s="1"/>
  <c r="P16" i="52" a="1"/>
  <c r="P16" i="52" s="1"/>
  <c r="AA16" i="52" s="1" a="1"/>
  <c r="AA16" i="52" s="1"/>
  <c r="Q16" i="52" a="1"/>
  <c r="Q16" i="52" s="1"/>
  <c r="AB16" i="52" s="1" a="1"/>
  <c r="AB16" i="52" s="1"/>
  <c r="R16" i="52" a="1"/>
  <c r="R16" i="52" s="1"/>
  <c r="AC16" i="52" s="1" a="1"/>
  <c r="AC16" i="52" s="1"/>
  <c r="S16" i="52" a="1"/>
  <c r="S16" i="52" s="1"/>
  <c r="AD16" i="52" s="1" a="1"/>
  <c r="AD16" i="52" s="1"/>
  <c r="T16" i="52" a="1"/>
  <c r="T16" i="52" s="1"/>
  <c r="AE16" i="52" s="1" a="1"/>
  <c r="AE16" i="52" s="1"/>
  <c r="U16" i="52" a="1"/>
  <c r="U16" i="52" s="1"/>
  <c r="AF16" i="52" s="1" a="1"/>
  <c r="AF16" i="52" s="1"/>
  <c r="V16" i="52" a="1"/>
  <c r="V16" i="52" s="1"/>
  <c r="AG16" i="52" s="1" a="1"/>
  <c r="AG16" i="52" s="1"/>
  <c r="W16" i="52" a="1"/>
  <c r="W16" i="52" s="1"/>
  <c r="AH16" i="52" s="1" a="1"/>
  <c r="AH16" i="52" s="1"/>
  <c r="X16" i="52" a="1"/>
  <c r="X16" i="52" s="1"/>
  <c r="AI16" i="52" s="1" a="1"/>
  <c r="AI16" i="52" s="1"/>
  <c r="N17" i="52" a="1"/>
  <c r="N17" i="52" s="1"/>
  <c r="O17" i="52" a="1"/>
  <c r="O17" i="52" s="1"/>
  <c r="P17" i="52" a="1"/>
  <c r="P17" i="52" s="1"/>
  <c r="AA17" i="52" s="1" a="1"/>
  <c r="AA17" i="52" s="1"/>
  <c r="Q17" i="52" a="1"/>
  <c r="Q17" i="52" s="1"/>
  <c r="AB17" i="52" s="1" a="1"/>
  <c r="AB17" i="52" s="1"/>
  <c r="R17" i="52" a="1"/>
  <c r="R17" i="52" s="1"/>
  <c r="AC17" i="52" s="1" a="1"/>
  <c r="AC17" i="52" s="1"/>
  <c r="S17" i="52" a="1"/>
  <c r="S17" i="52" s="1"/>
  <c r="AD17" i="52" s="1" a="1"/>
  <c r="AD17" i="52" s="1"/>
  <c r="T17" i="52" a="1"/>
  <c r="T17" i="52" s="1"/>
  <c r="AE17" i="52" s="1" a="1"/>
  <c r="AE17" i="52" s="1"/>
  <c r="U17" i="52" a="1"/>
  <c r="U17" i="52" s="1"/>
  <c r="AF17" i="52" s="1" a="1"/>
  <c r="AF17" i="52" s="1"/>
  <c r="V17" i="52" a="1"/>
  <c r="V17" i="52" s="1"/>
  <c r="AG17" i="52" s="1" a="1"/>
  <c r="AG17" i="52" s="1"/>
  <c r="W17" i="52" a="1"/>
  <c r="W17" i="52" s="1"/>
  <c r="AH17" i="52" s="1" a="1"/>
  <c r="AH17" i="52" s="1"/>
  <c r="X17" i="52" a="1"/>
  <c r="X17" i="52" s="1"/>
  <c r="AI17" i="52" s="1" a="1"/>
  <c r="AI17" i="52" s="1"/>
  <c r="N18" i="52" a="1"/>
  <c r="N18" i="52" s="1"/>
  <c r="O18" i="52" a="1"/>
  <c r="O18" i="52" s="1"/>
  <c r="P18" i="52" a="1"/>
  <c r="P18" i="52" s="1"/>
  <c r="AA18" i="52" s="1" a="1"/>
  <c r="AA18" i="52" s="1"/>
  <c r="Q18" i="52" a="1"/>
  <c r="Q18" i="52" s="1"/>
  <c r="AB18" i="52" s="1" a="1"/>
  <c r="AB18" i="52" s="1"/>
  <c r="R18" i="52" a="1"/>
  <c r="R18" i="52" s="1"/>
  <c r="AC18" i="52" s="1" a="1"/>
  <c r="AC18" i="52" s="1"/>
  <c r="S18" i="52" a="1"/>
  <c r="S18" i="52" s="1"/>
  <c r="AD18" i="52" s="1" a="1"/>
  <c r="AD18" i="52" s="1"/>
  <c r="T18" i="52" a="1"/>
  <c r="T18" i="52" s="1"/>
  <c r="AE18" i="52" s="1" a="1"/>
  <c r="AE18" i="52" s="1"/>
  <c r="U18" i="52" a="1"/>
  <c r="U18" i="52" s="1"/>
  <c r="AF18" i="52" s="1" a="1"/>
  <c r="AF18" i="52" s="1"/>
  <c r="V18" i="52" a="1"/>
  <c r="V18" i="52" s="1"/>
  <c r="AG18" i="52" s="1" a="1"/>
  <c r="AG18" i="52" s="1"/>
  <c r="W18" i="52" a="1"/>
  <c r="W18" i="52" s="1"/>
  <c r="AH18" i="52" s="1" a="1"/>
  <c r="AH18" i="52" s="1"/>
  <c r="X18" i="52" a="1"/>
  <c r="X18" i="52" s="1"/>
  <c r="AI18" i="52" s="1" a="1"/>
  <c r="AI18" i="52" s="1"/>
  <c r="N19" i="52" a="1"/>
  <c r="N19" i="52" s="1"/>
  <c r="O19" i="52" a="1"/>
  <c r="O19" i="52" s="1"/>
  <c r="P19" i="52" a="1"/>
  <c r="P19" i="52" s="1"/>
  <c r="AA19" i="52" s="1" a="1"/>
  <c r="AA19" i="52" s="1"/>
  <c r="Q19" i="52" a="1"/>
  <c r="Q19" i="52" s="1"/>
  <c r="AB19" i="52" s="1" a="1"/>
  <c r="AB19" i="52" s="1"/>
  <c r="R19" i="52" a="1"/>
  <c r="R19" i="52" s="1"/>
  <c r="AC19" i="52" s="1" a="1"/>
  <c r="AC19" i="52" s="1"/>
  <c r="S19" i="52" a="1"/>
  <c r="S19" i="52" s="1"/>
  <c r="AD19" i="52" s="1" a="1"/>
  <c r="AD19" i="52" s="1"/>
  <c r="T19" i="52" a="1"/>
  <c r="T19" i="52" s="1"/>
  <c r="AE19" i="52" s="1" a="1"/>
  <c r="AE19" i="52" s="1"/>
  <c r="U19" i="52" a="1"/>
  <c r="U19" i="52" s="1"/>
  <c r="AF19" i="52" s="1" a="1"/>
  <c r="AF19" i="52" s="1"/>
  <c r="V19" i="52" a="1"/>
  <c r="V19" i="52" s="1"/>
  <c r="AG19" i="52" s="1" a="1"/>
  <c r="AG19" i="52" s="1"/>
  <c r="W19" i="52" a="1"/>
  <c r="W19" i="52" s="1"/>
  <c r="AH19" i="52" s="1" a="1"/>
  <c r="AH19" i="52" s="1"/>
  <c r="X19" i="52" a="1"/>
  <c r="X19" i="52" s="1"/>
  <c r="AI19" i="52" s="1" a="1"/>
  <c r="AI19" i="52" s="1"/>
  <c r="N20" i="52" a="1"/>
  <c r="N20" i="52" s="1"/>
  <c r="O20" i="52" a="1"/>
  <c r="O20" i="52" s="1"/>
  <c r="P20" i="52" a="1"/>
  <c r="P20" i="52" s="1"/>
  <c r="Q20" i="52" a="1"/>
  <c r="Q20" i="52" s="1"/>
  <c r="AB20" i="52" s="1" a="1"/>
  <c r="AB20" i="52" s="1"/>
  <c r="R20" i="52" a="1"/>
  <c r="R20" i="52" s="1"/>
  <c r="AC20" i="52" s="1" a="1"/>
  <c r="AC20" i="52" s="1"/>
  <c r="S20" i="52" a="1"/>
  <c r="S20" i="52" s="1"/>
  <c r="AD20" i="52" s="1" a="1"/>
  <c r="AD20" i="52" s="1"/>
  <c r="T20" i="52" a="1"/>
  <c r="T20" i="52" s="1"/>
  <c r="AE20" i="52" s="1" a="1"/>
  <c r="AE20" i="52" s="1"/>
  <c r="U20" i="52" a="1"/>
  <c r="U20" i="52" s="1"/>
  <c r="AF20" i="52" s="1" a="1"/>
  <c r="AF20" i="52" s="1"/>
  <c r="V20" i="52" a="1"/>
  <c r="V20" i="52" s="1"/>
  <c r="AG20" i="52" s="1" a="1"/>
  <c r="AG20" i="52" s="1"/>
  <c r="W20" i="52" a="1"/>
  <c r="W20" i="52" s="1"/>
  <c r="AH20" i="52" s="1" a="1"/>
  <c r="AH20" i="52" s="1"/>
  <c r="X20" i="52" a="1"/>
  <c r="X20" i="52" s="1"/>
  <c r="AI20" i="52" s="1" a="1"/>
  <c r="AI20" i="52" s="1"/>
  <c r="N21" i="52" a="1"/>
  <c r="N21" i="52" s="1"/>
  <c r="O21" i="52" a="1"/>
  <c r="O21" i="52" s="1"/>
  <c r="P21" i="52" a="1"/>
  <c r="P21" i="52" s="1"/>
  <c r="AA21" i="52" s="1" a="1"/>
  <c r="AA21" i="52" s="1"/>
  <c r="Q21" i="52" a="1"/>
  <c r="Q21" i="52" s="1"/>
  <c r="AB21" i="52" s="1" a="1"/>
  <c r="AB21" i="52" s="1"/>
  <c r="R21" i="52" a="1"/>
  <c r="R21" i="52" s="1"/>
  <c r="AC21" i="52" s="1" a="1"/>
  <c r="AC21" i="52" s="1"/>
  <c r="S21" i="52" a="1"/>
  <c r="S21" i="52" s="1"/>
  <c r="AD21" i="52" s="1" a="1"/>
  <c r="AD21" i="52" s="1"/>
  <c r="T21" i="52" a="1"/>
  <c r="T21" i="52" s="1"/>
  <c r="AE21" i="52" s="1" a="1"/>
  <c r="AE21" i="52" s="1"/>
  <c r="U21" i="52" a="1"/>
  <c r="U21" i="52" s="1"/>
  <c r="AF21" i="52" s="1" a="1"/>
  <c r="AF21" i="52" s="1"/>
  <c r="V21" i="52" a="1"/>
  <c r="V21" i="52" s="1"/>
  <c r="AG21" i="52" s="1" a="1"/>
  <c r="AG21" i="52" s="1"/>
  <c r="W21" i="52" a="1"/>
  <c r="W21" i="52" s="1"/>
  <c r="AH21" i="52" s="1" a="1"/>
  <c r="AH21" i="52" s="1"/>
  <c r="X21" i="52" a="1"/>
  <c r="X21" i="52" s="1"/>
  <c r="AI21" i="52" s="1" a="1"/>
  <c r="AI21" i="52" s="1"/>
  <c r="N22" i="52" a="1"/>
  <c r="N22" i="52" s="1"/>
  <c r="O22" i="52" a="1"/>
  <c r="O22" i="52" s="1"/>
  <c r="P22" i="52" a="1"/>
  <c r="P22" i="52" s="1"/>
  <c r="AA22" i="52" s="1" a="1"/>
  <c r="AA22" i="52" s="1"/>
  <c r="Q22" i="52" a="1"/>
  <c r="Q22" i="52" s="1"/>
  <c r="AB22" i="52" s="1" a="1"/>
  <c r="AB22" i="52" s="1"/>
  <c r="R22" i="52" a="1"/>
  <c r="R22" i="52" s="1"/>
  <c r="S22" i="52" a="1"/>
  <c r="S22" i="52" s="1"/>
  <c r="AD22" i="52" s="1" a="1"/>
  <c r="AD22" i="52" s="1"/>
  <c r="T22" i="52" a="1"/>
  <c r="T22" i="52" s="1"/>
  <c r="AE22" i="52" s="1" a="1"/>
  <c r="AE22" i="52" s="1"/>
  <c r="U22" i="52" a="1"/>
  <c r="U22" i="52" s="1"/>
  <c r="AF22" i="52" s="1" a="1"/>
  <c r="AF22" i="52" s="1"/>
  <c r="V22" i="52" a="1"/>
  <c r="V22" i="52" s="1"/>
  <c r="AG22" i="52" s="1" a="1"/>
  <c r="AG22" i="52" s="1"/>
  <c r="W22" i="52" a="1"/>
  <c r="W22" i="52" s="1"/>
  <c r="AH22" i="52" s="1" a="1"/>
  <c r="AH22" i="52" s="1"/>
  <c r="X22" i="52" a="1"/>
  <c r="X22" i="52" s="1"/>
  <c r="AI22" i="52" s="1" a="1"/>
  <c r="AI22" i="52" s="1"/>
  <c r="N23" i="52" a="1"/>
  <c r="N23" i="52" s="1"/>
  <c r="O23" i="52" a="1"/>
  <c r="O23" i="52" s="1"/>
  <c r="P23" i="52" a="1"/>
  <c r="P23" i="52" s="1"/>
  <c r="AA23" i="52" s="1" a="1"/>
  <c r="AA23" i="52" s="1"/>
  <c r="Q23" i="52" a="1"/>
  <c r="Q23" i="52" s="1"/>
  <c r="AB23" i="52" s="1" a="1"/>
  <c r="AB23" i="52" s="1"/>
  <c r="R23" i="52" a="1"/>
  <c r="R23" i="52" s="1"/>
  <c r="AC23" i="52" s="1" a="1"/>
  <c r="AC23" i="52" s="1"/>
  <c r="S23" i="52" a="1"/>
  <c r="S23" i="52" s="1"/>
  <c r="AD23" i="52" s="1" a="1"/>
  <c r="AD23" i="52" s="1"/>
  <c r="T23" i="52" a="1"/>
  <c r="T23" i="52" s="1"/>
  <c r="AE23" i="52" s="1" a="1"/>
  <c r="AE23" i="52" s="1"/>
  <c r="U23" i="52" a="1"/>
  <c r="U23" i="52" s="1"/>
  <c r="AF23" i="52" s="1" a="1"/>
  <c r="AF23" i="52" s="1"/>
  <c r="V23" i="52" a="1"/>
  <c r="V23" i="52" s="1"/>
  <c r="AG23" i="52" s="1" a="1"/>
  <c r="AG23" i="52" s="1"/>
  <c r="W23" i="52" a="1"/>
  <c r="W23" i="52" s="1"/>
  <c r="AH23" i="52" s="1" a="1"/>
  <c r="AH23" i="52" s="1"/>
  <c r="X23" i="52" a="1"/>
  <c r="X23" i="52" s="1"/>
  <c r="AI23" i="52" s="1" a="1"/>
  <c r="AI23" i="52" s="1"/>
  <c r="N24" i="52" a="1"/>
  <c r="N24" i="52" s="1"/>
  <c r="O24" i="52" a="1"/>
  <c r="O24" i="52" s="1"/>
  <c r="P24" i="52" a="1"/>
  <c r="P24" i="52" s="1"/>
  <c r="AA24" i="52" s="1" a="1"/>
  <c r="AA24" i="52" s="1"/>
  <c r="Q24" i="52" a="1"/>
  <c r="Q24" i="52" s="1"/>
  <c r="AB24" i="52" s="1" a="1"/>
  <c r="AB24" i="52" s="1"/>
  <c r="R24" i="52" a="1"/>
  <c r="R24" i="52" s="1"/>
  <c r="AC24" i="52" s="1" a="1"/>
  <c r="AC24" i="52" s="1"/>
  <c r="S24" i="52" a="1"/>
  <c r="S24" i="52" s="1"/>
  <c r="AD24" i="52" s="1" a="1"/>
  <c r="AD24" i="52" s="1"/>
  <c r="T24" i="52" a="1"/>
  <c r="T24" i="52" s="1"/>
  <c r="AE24" i="52" s="1" a="1"/>
  <c r="AE24" i="52" s="1"/>
  <c r="U24" i="52" a="1"/>
  <c r="U24" i="52" s="1"/>
  <c r="AF24" i="52" s="1" a="1"/>
  <c r="AF24" i="52" s="1"/>
  <c r="V24" i="52" a="1"/>
  <c r="V24" i="52" s="1"/>
  <c r="AG24" i="52" s="1" a="1"/>
  <c r="AG24" i="52" s="1"/>
  <c r="W24" i="52" a="1"/>
  <c r="W24" i="52" s="1"/>
  <c r="AH24" i="52" s="1" a="1"/>
  <c r="AH24" i="52" s="1"/>
  <c r="X24" i="52" a="1"/>
  <c r="X24" i="52" s="1"/>
  <c r="AI24" i="52" s="1" a="1"/>
  <c r="AI24" i="52" s="1"/>
  <c r="N25" i="52" a="1"/>
  <c r="N25" i="52" s="1"/>
  <c r="O25" i="52" a="1"/>
  <c r="O25" i="52" s="1"/>
  <c r="P25" i="52" a="1"/>
  <c r="P25" i="52" s="1"/>
  <c r="AA25" i="52" s="1" a="1"/>
  <c r="AA25" i="52" s="1"/>
  <c r="Q25" i="52" a="1"/>
  <c r="Q25" i="52" s="1"/>
  <c r="AB25" i="52" s="1" a="1"/>
  <c r="AB25" i="52" s="1"/>
  <c r="R25" i="52" a="1"/>
  <c r="R25" i="52" s="1"/>
  <c r="AC25" i="52" s="1" a="1"/>
  <c r="AC25" i="52" s="1"/>
  <c r="S25" i="52" a="1"/>
  <c r="S25" i="52" s="1"/>
  <c r="AD25" i="52" s="1" a="1"/>
  <c r="AD25" i="52" s="1"/>
  <c r="T25" i="52" a="1"/>
  <c r="T25" i="52" s="1"/>
  <c r="AE25" i="52" s="1" a="1"/>
  <c r="AE25" i="52" s="1"/>
  <c r="U25" i="52" a="1"/>
  <c r="U25" i="52" s="1"/>
  <c r="AF25" i="52" s="1" a="1"/>
  <c r="AF25" i="52" s="1"/>
  <c r="V25" i="52" a="1"/>
  <c r="V25" i="52" s="1"/>
  <c r="AG25" i="52" s="1" a="1"/>
  <c r="AG25" i="52" s="1"/>
  <c r="W25" i="52" a="1"/>
  <c r="W25" i="52" s="1"/>
  <c r="AH25" i="52" s="1" a="1"/>
  <c r="AH25" i="52" s="1"/>
  <c r="X25" i="52" a="1"/>
  <c r="X25" i="52" s="1"/>
  <c r="AI25" i="52" s="1" a="1"/>
  <c r="AI25" i="52" s="1"/>
  <c r="N26" i="52" a="1"/>
  <c r="N26" i="52" s="1"/>
  <c r="O26" i="52" a="1"/>
  <c r="O26" i="52" s="1"/>
  <c r="P26" i="52" a="1"/>
  <c r="P26" i="52" s="1"/>
  <c r="AA26" i="52" s="1" a="1"/>
  <c r="AA26" i="52" s="1"/>
  <c r="Q26" i="52" a="1"/>
  <c r="Q26" i="52" s="1"/>
  <c r="AB26" i="52" s="1" a="1"/>
  <c r="AB26" i="52" s="1"/>
  <c r="R26" i="52" a="1"/>
  <c r="R26" i="52" s="1"/>
  <c r="AC26" i="52" s="1" a="1"/>
  <c r="AC26" i="52" s="1"/>
  <c r="S26" i="52" a="1"/>
  <c r="S26" i="52" s="1"/>
  <c r="AD26" i="52" s="1" a="1"/>
  <c r="AD26" i="52" s="1"/>
  <c r="T26" i="52" a="1"/>
  <c r="T26" i="52" s="1"/>
  <c r="AE26" i="52" s="1" a="1"/>
  <c r="AE26" i="52" s="1"/>
  <c r="U26" i="52" a="1"/>
  <c r="U26" i="52" s="1"/>
  <c r="AF26" i="52" s="1" a="1"/>
  <c r="AF26" i="52" s="1"/>
  <c r="V26" i="52" a="1"/>
  <c r="V26" i="52" s="1"/>
  <c r="AG26" i="52" s="1" a="1"/>
  <c r="AG26" i="52" s="1"/>
  <c r="W26" i="52" a="1"/>
  <c r="W26" i="52" s="1"/>
  <c r="AH26" i="52" s="1" a="1"/>
  <c r="AH26" i="52" s="1"/>
  <c r="X26" i="52" a="1"/>
  <c r="X26" i="52" s="1"/>
  <c r="AI26" i="52" s="1" a="1"/>
  <c r="AI26" i="52" s="1"/>
  <c r="N27" i="52" a="1"/>
  <c r="N27" i="52" s="1"/>
  <c r="O27" i="52" a="1"/>
  <c r="O27" i="52" s="1"/>
  <c r="P27" i="52" a="1"/>
  <c r="P27" i="52" s="1"/>
  <c r="AA27" i="52" s="1" a="1"/>
  <c r="AA27" i="52" s="1"/>
  <c r="Q27" i="52" a="1"/>
  <c r="Q27" i="52" s="1"/>
  <c r="AB27" i="52" s="1" a="1"/>
  <c r="AB27" i="52" s="1"/>
  <c r="R27" i="52" a="1"/>
  <c r="R27" i="52" s="1"/>
  <c r="AC27" i="52" s="1" a="1"/>
  <c r="AC27" i="52" s="1"/>
  <c r="S27" i="52" a="1"/>
  <c r="S27" i="52" s="1"/>
  <c r="AD27" i="52" s="1" a="1"/>
  <c r="AD27" i="52" s="1"/>
  <c r="T27" i="52" a="1"/>
  <c r="T27" i="52" s="1"/>
  <c r="AE27" i="52" s="1" a="1"/>
  <c r="AE27" i="52" s="1"/>
  <c r="U27" i="52" a="1"/>
  <c r="U27" i="52" s="1"/>
  <c r="AF27" i="52" s="1" a="1"/>
  <c r="AF27" i="52" s="1"/>
  <c r="V27" i="52" a="1"/>
  <c r="V27" i="52" s="1"/>
  <c r="AG27" i="52" s="1" a="1"/>
  <c r="AG27" i="52" s="1"/>
  <c r="W27" i="52" a="1"/>
  <c r="W27" i="52" s="1"/>
  <c r="AH27" i="52" s="1" a="1"/>
  <c r="AH27" i="52" s="1"/>
  <c r="X27" i="52" a="1"/>
  <c r="X27" i="52" s="1"/>
  <c r="AI27" i="52" s="1" a="1"/>
  <c r="AI27" i="52" s="1"/>
  <c r="N14" i="51" a="1"/>
  <c r="N14" i="51" s="1"/>
  <c r="O14" i="51" a="1"/>
  <c r="O14" i="51" s="1"/>
  <c r="P14" i="51" a="1"/>
  <c r="P14" i="51" s="1"/>
  <c r="Q14" i="51" a="1"/>
  <c r="Q14" i="51" s="1"/>
  <c r="R14" i="51" a="1"/>
  <c r="R14" i="51" s="1"/>
  <c r="S14" i="51" a="1"/>
  <c r="S14" i="51" s="1"/>
  <c r="AD14" i="51" s="1" a="1"/>
  <c r="AD14" i="51" s="1"/>
  <c r="T14" i="51" a="1"/>
  <c r="T14" i="51" s="1"/>
  <c r="AE14" i="51" s="1" a="1"/>
  <c r="AE14" i="51" s="1"/>
  <c r="U14" i="51" a="1"/>
  <c r="U14" i="51" s="1"/>
  <c r="AF14" i="51" s="1" a="1"/>
  <c r="AF14" i="51" s="1"/>
  <c r="V14" i="51" a="1"/>
  <c r="V14" i="51" s="1"/>
  <c r="AG14" i="51" s="1" a="1"/>
  <c r="AG14" i="51" s="1"/>
  <c r="W14" i="51" a="1"/>
  <c r="W14" i="51" s="1"/>
  <c r="AH14" i="51" s="1" a="1"/>
  <c r="AH14" i="51" s="1"/>
  <c r="X14" i="51" a="1"/>
  <c r="X14" i="51" s="1"/>
  <c r="AI14" i="51" s="1" a="1"/>
  <c r="AI14" i="51" s="1"/>
  <c r="N15" i="51" a="1"/>
  <c r="N15" i="51" s="1"/>
  <c r="O15" i="51" a="1"/>
  <c r="O15" i="51" s="1"/>
  <c r="P15" i="51" a="1"/>
  <c r="P15" i="51" s="1"/>
  <c r="Q15" i="51" a="1"/>
  <c r="Q15" i="51" s="1"/>
  <c r="R15" i="51" a="1"/>
  <c r="R15" i="51" s="1"/>
  <c r="S15" i="51" a="1"/>
  <c r="S15" i="51" s="1"/>
  <c r="AD15" i="51" s="1" a="1"/>
  <c r="AD15" i="51" s="1"/>
  <c r="T15" i="51" a="1"/>
  <c r="T15" i="51" s="1"/>
  <c r="AE15" i="51" s="1" a="1"/>
  <c r="AE15" i="51" s="1"/>
  <c r="U15" i="51" a="1"/>
  <c r="U15" i="51" s="1"/>
  <c r="AF15" i="51" s="1" a="1"/>
  <c r="AF15" i="51" s="1"/>
  <c r="V15" i="51" a="1"/>
  <c r="V15" i="51" s="1"/>
  <c r="AG15" i="51" s="1" a="1"/>
  <c r="AG15" i="51" s="1"/>
  <c r="W15" i="51" a="1"/>
  <c r="W15" i="51" s="1"/>
  <c r="AH15" i="51" s="1" a="1"/>
  <c r="AH15" i="51" s="1"/>
  <c r="X15" i="51" a="1"/>
  <c r="X15" i="51" s="1"/>
  <c r="AI15" i="51" s="1" a="1"/>
  <c r="AI15" i="51" s="1"/>
  <c r="N16" i="51" a="1"/>
  <c r="N16" i="51" s="1"/>
  <c r="O16" i="51" a="1"/>
  <c r="O16" i="51" s="1"/>
  <c r="P16" i="51" a="1"/>
  <c r="P16" i="51" s="1"/>
  <c r="Q16" i="51" a="1"/>
  <c r="Q16" i="51" s="1"/>
  <c r="R16" i="51" a="1"/>
  <c r="R16" i="51" s="1"/>
  <c r="S16" i="51" a="1"/>
  <c r="S16" i="51" s="1"/>
  <c r="AD16" i="51" s="1" a="1"/>
  <c r="AD16" i="51" s="1"/>
  <c r="T16" i="51" a="1"/>
  <c r="T16" i="51" s="1"/>
  <c r="AE16" i="51" s="1" a="1"/>
  <c r="AE16" i="51" s="1"/>
  <c r="U16" i="51" a="1"/>
  <c r="U16" i="51" s="1"/>
  <c r="AF16" i="51" s="1" a="1"/>
  <c r="AF16" i="51" s="1"/>
  <c r="V16" i="51" a="1"/>
  <c r="V16" i="51" s="1"/>
  <c r="AG16" i="51" s="1" a="1"/>
  <c r="AG16" i="51" s="1"/>
  <c r="W16" i="51" a="1"/>
  <c r="W16" i="51" s="1"/>
  <c r="AH16" i="51" s="1" a="1"/>
  <c r="AH16" i="51" s="1"/>
  <c r="X16" i="51" a="1"/>
  <c r="X16" i="51" s="1"/>
  <c r="AI16" i="51" s="1" a="1"/>
  <c r="AI16" i="51" s="1"/>
  <c r="N17" i="51" a="1"/>
  <c r="N17" i="51" s="1"/>
  <c r="O17" i="51" a="1"/>
  <c r="O17" i="51" s="1"/>
  <c r="P17" i="51" a="1"/>
  <c r="P17" i="51" s="1"/>
  <c r="Q17" i="51" a="1"/>
  <c r="Q17" i="51" s="1"/>
  <c r="R17" i="51" a="1"/>
  <c r="R17" i="51" s="1"/>
  <c r="S17" i="51" a="1"/>
  <c r="S17" i="51" s="1"/>
  <c r="AD17" i="51" s="1" a="1"/>
  <c r="AD17" i="51" s="1"/>
  <c r="T17" i="51" a="1"/>
  <c r="T17" i="51" s="1"/>
  <c r="AE17" i="51" s="1" a="1"/>
  <c r="AE17" i="51" s="1"/>
  <c r="U17" i="51" a="1"/>
  <c r="U17" i="51" s="1"/>
  <c r="AF17" i="51" s="1" a="1"/>
  <c r="AF17" i="51" s="1"/>
  <c r="V17" i="51" a="1"/>
  <c r="V17" i="51" s="1"/>
  <c r="AG17" i="51" s="1" a="1"/>
  <c r="AG17" i="51" s="1"/>
  <c r="W17" i="51" a="1"/>
  <c r="W17" i="51" s="1"/>
  <c r="AH17" i="51" s="1" a="1"/>
  <c r="AH17" i="51" s="1"/>
  <c r="X17" i="51" a="1"/>
  <c r="X17" i="51" s="1"/>
  <c r="AI17" i="51" s="1" a="1"/>
  <c r="AI17" i="51" s="1"/>
  <c r="N18" i="51" a="1"/>
  <c r="N18" i="51" s="1"/>
  <c r="O18" i="51" a="1"/>
  <c r="O18" i="51" s="1"/>
  <c r="P18" i="51" a="1"/>
  <c r="P18" i="51" s="1"/>
  <c r="Q18" i="51" a="1"/>
  <c r="Q18" i="51" s="1"/>
  <c r="R18" i="51" a="1"/>
  <c r="R18" i="51" s="1"/>
  <c r="S18" i="51" a="1"/>
  <c r="S18" i="51" s="1"/>
  <c r="AD18" i="51" s="1" a="1"/>
  <c r="AD18" i="51" s="1"/>
  <c r="T18" i="51" a="1"/>
  <c r="T18" i="51" s="1"/>
  <c r="AE18" i="51" s="1" a="1"/>
  <c r="AE18" i="51" s="1"/>
  <c r="U18" i="51" a="1"/>
  <c r="U18" i="51" s="1"/>
  <c r="AF18" i="51" s="1" a="1"/>
  <c r="AF18" i="51" s="1"/>
  <c r="V18" i="51" a="1"/>
  <c r="V18" i="51" s="1"/>
  <c r="AG18" i="51" s="1" a="1"/>
  <c r="AG18" i="51" s="1"/>
  <c r="W18" i="51" a="1"/>
  <c r="W18" i="51" s="1"/>
  <c r="AH18" i="51" s="1" a="1"/>
  <c r="AH18" i="51" s="1"/>
  <c r="X18" i="51" a="1"/>
  <c r="X18" i="51" s="1"/>
  <c r="AI18" i="51" s="1" a="1"/>
  <c r="AI18" i="51" s="1"/>
  <c r="N19" i="51" a="1"/>
  <c r="N19" i="51" s="1"/>
  <c r="O19" i="51" a="1"/>
  <c r="O19" i="51" s="1"/>
  <c r="P19" i="51" a="1"/>
  <c r="P19" i="51" s="1"/>
  <c r="Q19" i="51" a="1"/>
  <c r="Q19" i="51" s="1"/>
  <c r="R19" i="51" a="1"/>
  <c r="R19" i="51" s="1"/>
  <c r="S19" i="51" a="1"/>
  <c r="S19" i="51" s="1"/>
  <c r="AD19" i="51" s="1" a="1"/>
  <c r="AD19" i="51" s="1"/>
  <c r="T19" i="51" a="1"/>
  <c r="T19" i="51" s="1"/>
  <c r="AE19" i="51" s="1" a="1"/>
  <c r="AE19" i="51" s="1"/>
  <c r="U19" i="51" a="1"/>
  <c r="U19" i="51" s="1"/>
  <c r="AF19" i="51" s="1" a="1"/>
  <c r="AF19" i="51" s="1"/>
  <c r="V19" i="51" a="1"/>
  <c r="V19" i="51" s="1"/>
  <c r="AG19" i="51" s="1" a="1"/>
  <c r="AG19" i="51" s="1"/>
  <c r="W19" i="51" a="1"/>
  <c r="W19" i="51" s="1"/>
  <c r="AH19" i="51" s="1" a="1"/>
  <c r="AH19" i="51" s="1"/>
  <c r="X19" i="51" a="1"/>
  <c r="X19" i="51" s="1"/>
  <c r="AI19" i="51" s="1" a="1"/>
  <c r="AI19" i="51" s="1"/>
  <c r="N20" i="51" a="1"/>
  <c r="N20" i="51" s="1"/>
  <c r="O20" i="51" a="1"/>
  <c r="O20" i="51" s="1"/>
  <c r="P20" i="51" a="1"/>
  <c r="P20" i="51" s="1"/>
  <c r="Q20" i="51" a="1"/>
  <c r="Q20" i="51" s="1"/>
  <c r="R20" i="51" a="1"/>
  <c r="R20" i="51" s="1"/>
  <c r="S20" i="51" a="1"/>
  <c r="S20" i="51" s="1"/>
  <c r="AD20" i="51" s="1" a="1"/>
  <c r="AD20" i="51" s="1"/>
  <c r="T20" i="51" a="1"/>
  <c r="T20" i="51" s="1"/>
  <c r="AE20" i="51" s="1" a="1"/>
  <c r="AE20" i="51" s="1"/>
  <c r="U20" i="51" a="1"/>
  <c r="U20" i="51" s="1"/>
  <c r="AF20" i="51" s="1" a="1"/>
  <c r="AF20" i="51" s="1"/>
  <c r="V20" i="51" a="1"/>
  <c r="V20" i="51" s="1"/>
  <c r="AG20" i="51" s="1" a="1"/>
  <c r="AG20" i="51" s="1"/>
  <c r="W20" i="51" a="1"/>
  <c r="W20" i="51" s="1"/>
  <c r="AH20" i="51" s="1" a="1"/>
  <c r="AH20" i="51" s="1"/>
  <c r="X20" i="51" a="1"/>
  <c r="X20" i="51" s="1"/>
  <c r="AI20" i="51" s="1" a="1"/>
  <c r="AI20" i="51" s="1"/>
  <c r="N21" i="51" a="1"/>
  <c r="N21" i="51" s="1"/>
  <c r="O21" i="51" a="1"/>
  <c r="O21" i="51" s="1"/>
  <c r="P21" i="51" a="1"/>
  <c r="P21" i="51" s="1"/>
  <c r="Q21" i="51" a="1"/>
  <c r="Q21" i="51" s="1"/>
  <c r="R21" i="51" a="1"/>
  <c r="R21" i="51" s="1"/>
  <c r="S21" i="51" a="1"/>
  <c r="S21" i="51" s="1"/>
  <c r="AD21" i="51" s="1" a="1"/>
  <c r="AD21" i="51" s="1"/>
  <c r="T21" i="51" a="1"/>
  <c r="T21" i="51" s="1"/>
  <c r="AE21" i="51" s="1" a="1"/>
  <c r="AE21" i="51" s="1"/>
  <c r="U21" i="51" a="1"/>
  <c r="U21" i="51" s="1"/>
  <c r="AF21" i="51" s="1" a="1"/>
  <c r="AF21" i="51" s="1"/>
  <c r="V21" i="51" a="1"/>
  <c r="V21" i="51" s="1"/>
  <c r="AG21" i="51" s="1" a="1"/>
  <c r="AG21" i="51" s="1"/>
  <c r="W21" i="51" a="1"/>
  <c r="W21" i="51" s="1"/>
  <c r="AH21" i="51" s="1" a="1"/>
  <c r="AH21" i="51" s="1"/>
  <c r="X21" i="51" a="1"/>
  <c r="X21" i="51" s="1"/>
  <c r="AI21" i="51" s="1" a="1"/>
  <c r="AI21" i="51" s="1"/>
  <c r="N22" i="51" a="1"/>
  <c r="N22" i="51" s="1"/>
  <c r="O22" i="51" a="1"/>
  <c r="O22" i="51" s="1"/>
  <c r="P22" i="51" a="1"/>
  <c r="P22" i="51" s="1"/>
  <c r="Q22" i="51" a="1"/>
  <c r="Q22" i="51" s="1"/>
  <c r="R22" i="51" a="1"/>
  <c r="R22" i="51" s="1"/>
  <c r="S22" i="51" a="1"/>
  <c r="S22" i="51" s="1"/>
  <c r="AD22" i="51" s="1" a="1"/>
  <c r="AD22" i="51" s="1"/>
  <c r="T22" i="51" a="1"/>
  <c r="T22" i="51" s="1"/>
  <c r="AE22" i="51" s="1" a="1"/>
  <c r="AE22" i="51" s="1"/>
  <c r="U22" i="51" a="1"/>
  <c r="U22" i="51" s="1"/>
  <c r="AF22" i="51" s="1" a="1"/>
  <c r="AF22" i="51" s="1"/>
  <c r="V22" i="51" a="1"/>
  <c r="V22" i="51" s="1"/>
  <c r="AG22" i="51" s="1" a="1"/>
  <c r="AG22" i="51" s="1"/>
  <c r="W22" i="51" a="1"/>
  <c r="W22" i="51" s="1"/>
  <c r="AH22" i="51" s="1" a="1"/>
  <c r="AH22" i="51" s="1"/>
  <c r="X22" i="51" a="1"/>
  <c r="X22" i="51" s="1"/>
  <c r="AI22" i="51" s="1" a="1"/>
  <c r="AI22" i="51" s="1"/>
  <c r="N23" i="51" a="1"/>
  <c r="N23" i="51" s="1"/>
  <c r="O23" i="51" a="1"/>
  <c r="O23" i="51" s="1"/>
  <c r="P23" i="51" a="1"/>
  <c r="P23" i="51" s="1"/>
  <c r="Q23" i="51" a="1"/>
  <c r="Q23" i="51" s="1"/>
  <c r="R23" i="51" a="1"/>
  <c r="R23" i="51" s="1"/>
  <c r="S23" i="51" a="1"/>
  <c r="S23" i="51" s="1"/>
  <c r="AD23" i="51" s="1" a="1"/>
  <c r="AD23" i="51" s="1"/>
  <c r="T23" i="51" a="1"/>
  <c r="T23" i="51" s="1"/>
  <c r="AE23" i="51" s="1" a="1"/>
  <c r="AE23" i="51" s="1"/>
  <c r="U23" i="51" a="1"/>
  <c r="U23" i="51" s="1"/>
  <c r="AF23" i="51" s="1" a="1"/>
  <c r="AF23" i="51" s="1"/>
  <c r="V23" i="51" a="1"/>
  <c r="V23" i="51" s="1"/>
  <c r="AG23" i="51" s="1" a="1"/>
  <c r="AG23" i="51" s="1"/>
  <c r="W23" i="51" a="1"/>
  <c r="W23" i="51" s="1"/>
  <c r="AH23" i="51" s="1" a="1"/>
  <c r="AH23" i="51" s="1"/>
  <c r="X23" i="51" a="1"/>
  <c r="X23" i="51" s="1"/>
  <c r="AI23" i="51" s="1" a="1"/>
  <c r="AI23" i="51" s="1"/>
  <c r="N24" i="51" a="1"/>
  <c r="N24" i="51" s="1"/>
  <c r="O24" i="51" a="1"/>
  <c r="O24" i="51" s="1"/>
  <c r="P24" i="51" a="1"/>
  <c r="P24" i="51" s="1"/>
  <c r="Q24" i="51" a="1"/>
  <c r="Q24" i="51" s="1"/>
  <c r="R24" i="51" a="1"/>
  <c r="R24" i="51" s="1"/>
  <c r="S24" i="51" a="1"/>
  <c r="S24" i="51" s="1"/>
  <c r="AD24" i="51" s="1" a="1"/>
  <c r="AD24" i="51" s="1"/>
  <c r="T24" i="51" a="1"/>
  <c r="T24" i="51" s="1"/>
  <c r="AE24" i="51" s="1" a="1"/>
  <c r="AE24" i="51" s="1"/>
  <c r="U24" i="51" a="1"/>
  <c r="U24" i="51" s="1"/>
  <c r="AF24" i="51" s="1" a="1"/>
  <c r="AF24" i="51" s="1"/>
  <c r="V24" i="51" a="1"/>
  <c r="V24" i="51" s="1"/>
  <c r="AG24" i="51" s="1" a="1"/>
  <c r="AG24" i="51" s="1"/>
  <c r="W24" i="51" a="1"/>
  <c r="W24" i="51" s="1"/>
  <c r="AH24" i="51" s="1" a="1"/>
  <c r="AH24" i="51" s="1"/>
  <c r="X24" i="51" a="1"/>
  <c r="X24" i="51" s="1"/>
  <c r="AI24" i="51" s="1" a="1"/>
  <c r="AI24" i="51" s="1"/>
  <c r="N25" i="51" a="1"/>
  <c r="N25" i="51" s="1"/>
  <c r="O25" i="51" a="1"/>
  <c r="O25" i="51" s="1"/>
  <c r="P25" i="51" a="1"/>
  <c r="P25" i="51" s="1"/>
  <c r="Q25" i="51" a="1"/>
  <c r="Q25" i="51" s="1"/>
  <c r="R25" i="51" a="1"/>
  <c r="R25" i="51" s="1"/>
  <c r="S25" i="51" a="1"/>
  <c r="S25" i="51" s="1"/>
  <c r="AD25" i="51" s="1" a="1"/>
  <c r="AD25" i="51" s="1"/>
  <c r="T25" i="51" a="1"/>
  <c r="T25" i="51" s="1"/>
  <c r="AE25" i="51" s="1" a="1"/>
  <c r="AE25" i="51" s="1"/>
  <c r="U25" i="51" a="1"/>
  <c r="U25" i="51" s="1"/>
  <c r="AF25" i="51" s="1" a="1"/>
  <c r="AF25" i="51" s="1"/>
  <c r="V25" i="51" a="1"/>
  <c r="V25" i="51" s="1"/>
  <c r="AG25" i="51" s="1" a="1"/>
  <c r="AG25" i="51" s="1"/>
  <c r="W25" i="51" a="1"/>
  <c r="W25" i="51" s="1"/>
  <c r="AH25" i="51" s="1" a="1"/>
  <c r="AH25" i="51" s="1"/>
  <c r="X25" i="51" a="1"/>
  <c r="X25" i="51" s="1"/>
  <c r="AI25" i="51" s="1" a="1"/>
  <c r="AI25" i="51" s="1"/>
  <c r="N26" i="51" a="1"/>
  <c r="N26" i="51" s="1"/>
  <c r="O26" i="51" a="1"/>
  <c r="O26" i="51" s="1"/>
  <c r="P26" i="51" a="1"/>
  <c r="P26" i="51" s="1"/>
  <c r="Q26" i="51" a="1"/>
  <c r="Q26" i="51" s="1"/>
  <c r="R26" i="51" a="1"/>
  <c r="R26" i="51" s="1"/>
  <c r="S26" i="51" a="1"/>
  <c r="S26" i="51" s="1"/>
  <c r="AD26" i="51" s="1" a="1"/>
  <c r="AD26" i="51" s="1"/>
  <c r="T26" i="51" a="1"/>
  <c r="T26" i="51" s="1"/>
  <c r="AE26" i="51" s="1" a="1"/>
  <c r="AE26" i="51" s="1"/>
  <c r="U26" i="51" a="1"/>
  <c r="U26" i="51" s="1"/>
  <c r="AF26" i="51" s="1" a="1"/>
  <c r="AF26" i="51" s="1"/>
  <c r="V26" i="51" a="1"/>
  <c r="V26" i="51" s="1"/>
  <c r="AG26" i="51" s="1" a="1"/>
  <c r="AG26" i="51" s="1"/>
  <c r="W26" i="51" a="1"/>
  <c r="W26" i="51" s="1"/>
  <c r="AH26" i="51" s="1" a="1"/>
  <c r="AH26" i="51" s="1"/>
  <c r="X26" i="51" a="1"/>
  <c r="X26" i="51" s="1"/>
  <c r="AI26" i="51" s="1" a="1"/>
  <c r="AI26" i="51" s="1"/>
  <c r="N27" i="51" a="1"/>
  <c r="N27" i="51" s="1"/>
  <c r="O27" i="51" a="1"/>
  <c r="O27" i="51" s="1"/>
  <c r="P27" i="51" a="1"/>
  <c r="P27" i="51" s="1"/>
  <c r="Q27" i="51" a="1"/>
  <c r="Q27" i="51" s="1"/>
  <c r="R27" i="51" a="1"/>
  <c r="R27" i="51" s="1"/>
  <c r="S27" i="51" a="1"/>
  <c r="S27" i="51" s="1"/>
  <c r="T27" i="51" a="1"/>
  <c r="T27" i="51" s="1"/>
  <c r="AE27" i="51" s="1" a="1"/>
  <c r="AE27" i="51" s="1"/>
  <c r="U27" i="51" a="1"/>
  <c r="U27" i="51" s="1"/>
  <c r="AF27" i="51" s="1" a="1"/>
  <c r="AF27" i="51" s="1"/>
  <c r="V27" i="51" a="1"/>
  <c r="V27" i="51" s="1"/>
  <c r="AG27" i="51" s="1" a="1"/>
  <c r="AG27" i="51" s="1"/>
  <c r="W27" i="51" a="1"/>
  <c r="W27" i="51" s="1"/>
  <c r="AH27" i="51" s="1" a="1"/>
  <c r="AH27" i="51" s="1"/>
  <c r="X27" i="51" a="1"/>
  <c r="X27" i="51" s="1"/>
  <c r="AI27" i="51" s="1" a="1"/>
  <c r="AI27" i="51" s="1"/>
  <c r="N28" i="51" a="1"/>
  <c r="N28" i="51" s="1"/>
  <c r="O28" i="51" a="1"/>
  <c r="O28" i="51" s="1"/>
  <c r="P28" i="51" a="1"/>
  <c r="P28" i="51" s="1"/>
  <c r="Q28" i="51" a="1"/>
  <c r="Q28" i="51" s="1"/>
  <c r="R28" i="51" a="1"/>
  <c r="R28" i="51" s="1"/>
  <c r="S28" i="51" a="1"/>
  <c r="S28" i="51" s="1"/>
  <c r="AD28" i="51" s="1" a="1"/>
  <c r="AD28" i="51" s="1"/>
  <c r="T28" i="51" a="1"/>
  <c r="T28" i="51" s="1"/>
  <c r="AE28" i="51" s="1" a="1"/>
  <c r="AE28" i="51" s="1"/>
  <c r="U28" i="51" a="1"/>
  <c r="U28" i="51" s="1"/>
  <c r="AF28" i="51" s="1" a="1"/>
  <c r="AF28" i="51" s="1"/>
  <c r="V28" i="51" a="1"/>
  <c r="V28" i="51" s="1"/>
  <c r="AG28" i="51" s="1" a="1"/>
  <c r="AG28" i="51" s="1"/>
  <c r="W28" i="51" a="1"/>
  <c r="W28" i="51" s="1"/>
  <c r="AH28" i="51" s="1" a="1"/>
  <c r="AH28" i="51" s="1"/>
  <c r="X28" i="51" a="1"/>
  <c r="X28" i="51" s="1"/>
  <c r="AI28" i="51" s="1" a="1"/>
  <c r="AI28" i="51" s="1"/>
  <c r="N29" i="51" a="1"/>
  <c r="N29" i="51" s="1"/>
  <c r="O29" i="51" a="1"/>
  <c r="O29" i="51" s="1"/>
  <c r="P29" i="51" a="1"/>
  <c r="P29" i="51" s="1"/>
  <c r="Q29" i="51" a="1"/>
  <c r="Q29" i="51" s="1"/>
  <c r="R29" i="51" a="1"/>
  <c r="R29" i="51" s="1"/>
  <c r="S29" i="51" a="1"/>
  <c r="S29" i="51" s="1"/>
  <c r="AD29" i="51" s="1" a="1"/>
  <c r="AD29" i="51" s="1"/>
  <c r="T29" i="51" a="1"/>
  <c r="T29" i="51" s="1"/>
  <c r="AE29" i="51" s="1" a="1"/>
  <c r="AE29" i="51" s="1"/>
  <c r="U29" i="51" a="1"/>
  <c r="U29" i="51" s="1"/>
  <c r="AF29" i="51" s="1" a="1"/>
  <c r="AF29" i="51" s="1"/>
  <c r="V29" i="51" a="1"/>
  <c r="V29" i="51" s="1"/>
  <c r="AG29" i="51" s="1" a="1"/>
  <c r="AG29" i="51" s="1"/>
  <c r="W29" i="51" a="1"/>
  <c r="W29" i="51" s="1"/>
  <c r="AH29" i="51" s="1" a="1"/>
  <c r="AH29" i="51" s="1"/>
  <c r="X29" i="51" a="1"/>
  <c r="X29" i="51" s="1"/>
  <c r="AI29" i="51" s="1" a="1"/>
  <c r="AI29" i="51" s="1"/>
  <c r="N30" i="51" a="1"/>
  <c r="N30" i="51" s="1"/>
  <c r="O30" i="51" a="1"/>
  <c r="O30" i="51" s="1"/>
  <c r="P30" i="51" a="1"/>
  <c r="P30" i="51" s="1"/>
  <c r="Q30" i="51" a="1"/>
  <c r="Q30" i="51" s="1"/>
  <c r="R30" i="51" a="1"/>
  <c r="R30" i="51" s="1"/>
  <c r="S30" i="51" a="1"/>
  <c r="S30" i="51" s="1"/>
  <c r="AD30" i="51" s="1" a="1"/>
  <c r="AD30" i="51" s="1"/>
  <c r="T30" i="51" a="1"/>
  <c r="T30" i="51" s="1"/>
  <c r="AE30" i="51" s="1" a="1"/>
  <c r="AE30" i="51" s="1"/>
  <c r="U30" i="51" a="1"/>
  <c r="U30" i="51" s="1"/>
  <c r="AF30" i="51" s="1" a="1"/>
  <c r="AF30" i="51" s="1"/>
  <c r="V30" i="51" a="1"/>
  <c r="V30" i="51" s="1"/>
  <c r="AG30" i="51" s="1" a="1"/>
  <c r="AG30" i="51" s="1"/>
  <c r="W30" i="51" a="1"/>
  <c r="W30" i="51" s="1"/>
  <c r="AH30" i="51" s="1" a="1"/>
  <c r="AH30" i="51" s="1"/>
  <c r="X30" i="51" a="1"/>
  <c r="X30" i="51" s="1"/>
  <c r="AI30" i="51" s="1" a="1"/>
  <c r="AI30" i="51" s="1"/>
  <c r="N31" i="51" a="1"/>
  <c r="N31" i="51" s="1"/>
  <c r="O31" i="51" a="1"/>
  <c r="O31" i="51" s="1"/>
  <c r="P31" i="51" a="1"/>
  <c r="P31" i="51" s="1"/>
  <c r="Q31" i="51" a="1"/>
  <c r="Q31" i="51" s="1"/>
  <c r="R31" i="51" a="1"/>
  <c r="R31" i="51" s="1"/>
  <c r="S31" i="51" a="1"/>
  <c r="S31" i="51" s="1"/>
  <c r="AD31" i="51" s="1" a="1"/>
  <c r="AD31" i="51" s="1"/>
  <c r="T31" i="51" a="1"/>
  <c r="T31" i="51" s="1"/>
  <c r="AE31" i="51" s="1" a="1"/>
  <c r="AE31" i="51" s="1"/>
  <c r="U31" i="51" a="1"/>
  <c r="U31" i="51" s="1"/>
  <c r="AF31" i="51" s="1" a="1"/>
  <c r="AF31" i="51" s="1"/>
  <c r="V31" i="51" a="1"/>
  <c r="V31" i="51" s="1"/>
  <c r="AG31" i="51" s="1" a="1"/>
  <c r="AG31" i="51" s="1"/>
  <c r="W31" i="51" a="1"/>
  <c r="W31" i="51" s="1"/>
  <c r="AH31" i="51" s="1" a="1"/>
  <c r="AH31" i="51" s="1"/>
  <c r="X31" i="51" a="1"/>
  <c r="X31" i="51" s="1"/>
  <c r="AI31" i="51" s="1" a="1"/>
  <c r="AI31" i="51" s="1"/>
  <c r="N32" i="51" a="1"/>
  <c r="N32" i="51" s="1"/>
  <c r="O32" i="51" a="1"/>
  <c r="O32" i="51" s="1"/>
  <c r="P32" i="51" a="1"/>
  <c r="P32" i="51" s="1"/>
  <c r="Q32" i="51" a="1"/>
  <c r="Q32" i="51" s="1"/>
  <c r="R32" i="51" a="1"/>
  <c r="R32" i="51" s="1"/>
  <c r="S32" i="51" a="1"/>
  <c r="S32" i="51" s="1"/>
  <c r="AD32" i="51" s="1" a="1"/>
  <c r="AD32" i="51" s="1"/>
  <c r="T32" i="51" a="1"/>
  <c r="T32" i="51" s="1"/>
  <c r="AE32" i="51" s="1" a="1"/>
  <c r="AE32" i="51" s="1"/>
  <c r="U32" i="51" a="1"/>
  <c r="U32" i="51" s="1"/>
  <c r="AF32" i="51" s="1" a="1"/>
  <c r="AF32" i="51" s="1"/>
  <c r="V32" i="51" a="1"/>
  <c r="V32" i="51" s="1"/>
  <c r="AG32" i="51" s="1" a="1"/>
  <c r="AG32" i="51" s="1"/>
  <c r="W32" i="51" a="1"/>
  <c r="W32" i="51" s="1"/>
  <c r="AH32" i="51" s="1" a="1"/>
  <c r="AH32" i="51" s="1"/>
  <c r="X32" i="51" a="1"/>
  <c r="X32" i="51" s="1"/>
  <c r="AI32" i="51" s="1" a="1"/>
  <c r="AI32" i="51" s="1"/>
  <c r="N33" i="51" a="1"/>
  <c r="N33" i="51" s="1"/>
  <c r="O33" i="51" a="1"/>
  <c r="O33" i="51" s="1"/>
  <c r="P33" i="51" a="1"/>
  <c r="P33" i="51" s="1"/>
  <c r="Q33" i="51" a="1"/>
  <c r="Q33" i="51" s="1"/>
  <c r="R33" i="51" a="1"/>
  <c r="R33" i="51" s="1"/>
  <c r="S33" i="51" a="1"/>
  <c r="S33" i="51" s="1"/>
  <c r="AD33" i="51" s="1" a="1"/>
  <c r="AD33" i="51" s="1"/>
  <c r="T33" i="51" a="1"/>
  <c r="T33" i="51" s="1"/>
  <c r="AE33" i="51" s="1" a="1"/>
  <c r="AE33" i="51" s="1"/>
  <c r="U33" i="51" a="1"/>
  <c r="U33" i="51" s="1"/>
  <c r="AF33" i="51" s="1" a="1"/>
  <c r="AF33" i="51" s="1"/>
  <c r="V33" i="51" a="1"/>
  <c r="V33" i="51" s="1"/>
  <c r="AG33" i="51" s="1" a="1"/>
  <c r="AG33" i="51" s="1"/>
  <c r="W33" i="51" a="1"/>
  <c r="W33" i="51" s="1"/>
  <c r="AH33" i="51" s="1" a="1"/>
  <c r="AH33" i="51" s="1"/>
  <c r="X33" i="51" a="1"/>
  <c r="X33" i="51" s="1"/>
  <c r="AI33" i="51" s="1" a="1"/>
  <c r="AI33" i="51" s="1"/>
  <c r="N34" i="51" a="1"/>
  <c r="N34" i="51" s="1"/>
  <c r="O34" i="51" a="1"/>
  <c r="O34" i="51" s="1"/>
  <c r="P34" i="51" a="1"/>
  <c r="P34" i="51" s="1"/>
  <c r="Q34" i="51" a="1"/>
  <c r="Q34" i="51" s="1"/>
  <c r="R34" i="51" a="1"/>
  <c r="R34" i="51" s="1"/>
  <c r="S34" i="51" a="1"/>
  <c r="S34" i="51" s="1"/>
  <c r="AD34" i="51" s="1" a="1"/>
  <c r="AD34" i="51" s="1"/>
  <c r="T34" i="51" a="1"/>
  <c r="T34" i="51" s="1"/>
  <c r="AE34" i="51" s="1" a="1"/>
  <c r="AE34" i="51" s="1"/>
  <c r="U34" i="51" a="1"/>
  <c r="U34" i="51" s="1"/>
  <c r="AF34" i="51" s="1" a="1"/>
  <c r="AF34" i="51" s="1"/>
  <c r="V34" i="51" a="1"/>
  <c r="V34" i="51" s="1"/>
  <c r="AG34" i="51" s="1" a="1"/>
  <c r="AG34" i="51" s="1"/>
  <c r="W34" i="51" a="1"/>
  <c r="W34" i="51" s="1"/>
  <c r="AH34" i="51" s="1" a="1"/>
  <c r="AH34" i="51" s="1"/>
  <c r="X34" i="51" a="1"/>
  <c r="X34" i="51" s="1"/>
  <c r="AI34" i="51" s="1" a="1"/>
  <c r="AI34" i="51" s="1"/>
  <c r="N35" i="51" a="1"/>
  <c r="N35" i="51" s="1"/>
  <c r="O35" i="51" a="1"/>
  <c r="O35" i="51" s="1"/>
  <c r="P35" i="51" a="1"/>
  <c r="P35" i="51" s="1"/>
  <c r="Q35" i="51" a="1"/>
  <c r="Q35" i="51" s="1"/>
  <c r="R35" i="51" a="1"/>
  <c r="R35" i="51" s="1"/>
  <c r="S35" i="51" a="1"/>
  <c r="S35" i="51" s="1"/>
  <c r="AD35" i="51" s="1" a="1"/>
  <c r="AD35" i="51" s="1"/>
  <c r="T35" i="51" a="1"/>
  <c r="T35" i="51" s="1"/>
  <c r="AE35" i="51" s="1" a="1"/>
  <c r="AE35" i="51" s="1"/>
  <c r="U35" i="51" a="1"/>
  <c r="U35" i="51" s="1"/>
  <c r="AF35" i="51" s="1" a="1"/>
  <c r="AF35" i="51" s="1"/>
  <c r="V35" i="51" a="1"/>
  <c r="V35" i="51" s="1"/>
  <c r="AG35" i="51" s="1" a="1"/>
  <c r="AG35" i="51" s="1"/>
  <c r="W35" i="51" a="1"/>
  <c r="W35" i="51" s="1"/>
  <c r="AH35" i="51" s="1" a="1"/>
  <c r="AH35" i="51" s="1"/>
  <c r="X35" i="51" a="1"/>
  <c r="X35" i="51" s="1"/>
  <c r="AI35" i="51" s="1" a="1"/>
  <c r="AI35" i="51" s="1"/>
  <c r="N36" i="51" a="1"/>
  <c r="N36" i="51" s="1"/>
  <c r="O36" i="51" a="1"/>
  <c r="O36" i="51" s="1"/>
  <c r="P36" i="51" a="1"/>
  <c r="P36" i="51" s="1"/>
  <c r="Q36" i="51" a="1"/>
  <c r="Q36" i="51" s="1"/>
  <c r="R36" i="51" a="1"/>
  <c r="R36" i="51" s="1"/>
  <c r="S36" i="51" a="1"/>
  <c r="S36" i="51" s="1"/>
  <c r="AD36" i="51" s="1" a="1"/>
  <c r="AD36" i="51" s="1"/>
  <c r="T36" i="51" a="1"/>
  <c r="T36" i="51" s="1"/>
  <c r="AE36" i="51" s="1" a="1"/>
  <c r="AE36" i="51" s="1"/>
  <c r="U36" i="51" a="1"/>
  <c r="U36" i="51" s="1"/>
  <c r="AF36" i="51" s="1" a="1"/>
  <c r="AF36" i="51" s="1"/>
  <c r="V36" i="51" a="1"/>
  <c r="V36" i="51" s="1"/>
  <c r="AG36" i="51" s="1" a="1"/>
  <c r="AG36" i="51" s="1"/>
  <c r="W36" i="51" a="1"/>
  <c r="W36" i="51" s="1"/>
  <c r="AH36" i="51" s="1" a="1"/>
  <c r="AH36" i="51" s="1"/>
  <c r="X36" i="51" a="1"/>
  <c r="X36" i="51" s="1"/>
  <c r="AI36" i="51" s="1" a="1"/>
  <c r="AI36" i="51" s="1"/>
  <c r="N37" i="51" a="1"/>
  <c r="N37" i="51" s="1"/>
  <c r="O37" i="51" a="1"/>
  <c r="O37" i="51" s="1"/>
  <c r="P37" i="51" a="1"/>
  <c r="P37" i="51" s="1"/>
  <c r="Q37" i="51" a="1"/>
  <c r="Q37" i="51" s="1"/>
  <c r="R37" i="51" a="1"/>
  <c r="R37" i="51" s="1"/>
  <c r="S37" i="51" a="1"/>
  <c r="S37" i="51" s="1"/>
  <c r="AD37" i="51" s="1" a="1"/>
  <c r="AD37" i="51" s="1"/>
  <c r="T37" i="51" a="1"/>
  <c r="T37" i="51" s="1"/>
  <c r="AE37" i="51" s="1" a="1"/>
  <c r="AE37" i="51" s="1"/>
  <c r="U37" i="51" a="1"/>
  <c r="U37" i="51" s="1"/>
  <c r="AF37" i="51" s="1" a="1"/>
  <c r="AF37" i="51" s="1"/>
  <c r="V37" i="51" a="1"/>
  <c r="V37" i="51" s="1"/>
  <c r="AG37" i="51" s="1" a="1"/>
  <c r="AG37" i="51" s="1"/>
  <c r="W37" i="51" a="1"/>
  <c r="W37" i="51" s="1"/>
  <c r="AH37" i="51" s="1" a="1"/>
  <c r="AH37" i="51" s="1"/>
  <c r="X37" i="51" a="1"/>
  <c r="X37" i="51" s="1"/>
  <c r="AI37" i="51" s="1" a="1"/>
  <c r="AI37" i="51" s="1"/>
  <c r="N38" i="51" a="1"/>
  <c r="N38" i="51" s="1"/>
  <c r="O38" i="51" a="1"/>
  <c r="O38" i="51" s="1"/>
  <c r="P38" i="51" a="1"/>
  <c r="P38" i="51" s="1"/>
  <c r="Q38" i="51" a="1"/>
  <c r="Q38" i="51" s="1"/>
  <c r="R38" i="51" a="1"/>
  <c r="R38" i="51" s="1"/>
  <c r="S38" i="51" a="1"/>
  <c r="S38" i="51" s="1"/>
  <c r="T38" i="51" a="1"/>
  <c r="T38" i="51" s="1"/>
  <c r="AE38" i="51" s="1" a="1"/>
  <c r="AE38" i="51" s="1"/>
  <c r="U38" i="51" a="1"/>
  <c r="U38" i="51" s="1"/>
  <c r="AF38" i="51" s="1" a="1"/>
  <c r="AF38" i="51" s="1"/>
  <c r="V38" i="51" a="1"/>
  <c r="V38" i="51" s="1"/>
  <c r="AG38" i="51" s="1" a="1"/>
  <c r="AG38" i="51" s="1"/>
  <c r="W38" i="51" a="1"/>
  <c r="W38" i="51" s="1"/>
  <c r="AH38" i="51" s="1" a="1"/>
  <c r="AH38" i="51" s="1"/>
  <c r="X38" i="51" a="1"/>
  <c r="X38" i="51" s="1"/>
  <c r="AI38" i="51" s="1" a="1"/>
  <c r="AI38" i="51" s="1"/>
  <c r="N39" i="51" a="1"/>
  <c r="N39" i="51" s="1"/>
  <c r="O39" i="51" a="1"/>
  <c r="O39" i="51" s="1"/>
  <c r="P39" i="51" a="1"/>
  <c r="P39" i="51" s="1"/>
  <c r="Q39" i="51" a="1"/>
  <c r="Q39" i="51" s="1"/>
  <c r="R39" i="51" a="1"/>
  <c r="R39" i="51" s="1"/>
  <c r="S39" i="51" a="1"/>
  <c r="S39" i="51" s="1"/>
  <c r="AD39" i="51" s="1" a="1"/>
  <c r="AD39" i="51" s="1"/>
  <c r="T39" i="51" a="1"/>
  <c r="T39" i="51" s="1"/>
  <c r="AE39" i="51" s="1" a="1"/>
  <c r="AE39" i="51" s="1"/>
  <c r="U39" i="51" a="1"/>
  <c r="U39" i="51" s="1"/>
  <c r="AF39" i="51" s="1" a="1"/>
  <c r="AF39" i="51" s="1"/>
  <c r="V39" i="51" a="1"/>
  <c r="V39" i="51" s="1"/>
  <c r="AG39" i="51" s="1" a="1"/>
  <c r="AG39" i="51" s="1"/>
  <c r="W39" i="51" a="1"/>
  <c r="W39" i="51" s="1"/>
  <c r="AH39" i="51" s="1" a="1"/>
  <c r="AH39" i="51" s="1"/>
  <c r="X39" i="51" a="1"/>
  <c r="X39" i="51" s="1"/>
  <c r="AI39" i="51" s="1" a="1"/>
  <c r="AI39" i="51" s="1"/>
  <c r="N40" i="51" a="1"/>
  <c r="N40" i="51" s="1"/>
  <c r="O40" i="51" a="1"/>
  <c r="O40" i="51" s="1"/>
  <c r="P40" i="51" a="1"/>
  <c r="P40" i="51" s="1"/>
  <c r="Q40" i="51" a="1"/>
  <c r="Q40" i="51" s="1"/>
  <c r="R40" i="51" a="1"/>
  <c r="R40" i="51" s="1"/>
  <c r="S40" i="51" a="1"/>
  <c r="S40" i="51" s="1"/>
  <c r="AD40" i="51" s="1" a="1"/>
  <c r="AD40" i="51" s="1"/>
  <c r="T40" i="51" a="1"/>
  <c r="T40" i="51" s="1"/>
  <c r="AE40" i="51" s="1" a="1"/>
  <c r="AE40" i="51" s="1"/>
  <c r="U40" i="51" a="1"/>
  <c r="U40" i="51" s="1"/>
  <c r="AF40" i="51" s="1" a="1"/>
  <c r="AF40" i="51" s="1"/>
  <c r="V40" i="51" a="1"/>
  <c r="V40" i="51" s="1"/>
  <c r="AG40" i="51" s="1" a="1"/>
  <c r="AG40" i="51" s="1"/>
  <c r="W40" i="51" a="1"/>
  <c r="W40" i="51" s="1"/>
  <c r="AH40" i="51" s="1" a="1"/>
  <c r="AH40" i="51" s="1"/>
  <c r="X40" i="51" a="1"/>
  <c r="X40" i="51" s="1"/>
  <c r="AI40" i="51" s="1" a="1"/>
  <c r="AI40" i="51" s="1"/>
  <c r="N41" i="51" a="1"/>
  <c r="N41" i="51" s="1"/>
  <c r="O41" i="51" a="1"/>
  <c r="O41" i="51" s="1"/>
  <c r="P41" i="51" a="1"/>
  <c r="P41" i="51" s="1"/>
  <c r="Q41" i="51" a="1"/>
  <c r="Q41" i="51" s="1"/>
  <c r="R41" i="51" a="1"/>
  <c r="R41" i="51" s="1"/>
  <c r="S41" i="51" a="1"/>
  <c r="S41" i="51" s="1"/>
  <c r="AD41" i="51" s="1" a="1"/>
  <c r="AD41" i="51" s="1"/>
  <c r="T41" i="51" a="1"/>
  <c r="T41" i="51" s="1"/>
  <c r="AE41" i="51" s="1" a="1"/>
  <c r="AE41" i="51" s="1"/>
  <c r="U41" i="51" a="1"/>
  <c r="U41" i="51" s="1"/>
  <c r="AF41" i="51" s="1" a="1"/>
  <c r="AF41" i="51" s="1"/>
  <c r="V41" i="51" a="1"/>
  <c r="V41" i="51" s="1"/>
  <c r="AG41" i="51" s="1" a="1"/>
  <c r="AG41" i="51" s="1"/>
  <c r="W41" i="51" a="1"/>
  <c r="W41" i="51" s="1"/>
  <c r="AH41" i="51" s="1" a="1"/>
  <c r="AH41" i="51" s="1"/>
  <c r="X41" i="51" a="1"/>
  <c r="X41" i="51" s="1"/>
  <c r="AI41" i="51" s="1" a="1"/>
  <c r="AI41" i="51" s="1"/>
  <c r="N42" i="51" a="1"/>
  <c r="N42" i="51" s="1"/>
  <c r="O42" i="51" a="1"/>
  <c r="O42" i="51" s="1"/>
  <c r="P42" i="51" a="1"/>
  <c r="P42" i="51" s="1"/>
  <c r="Q42" i="51" a="1"/>
  <c r="Q42" i="51" s="1"/>
  <c r="R42" i="51" a="1"/>
  <c r="R42" i="51" s="1"/>
  <c r="S42" i="51" a="1"/>
  <c r="S42" i="51" s="1"/>
  <c r="AD42" i="51" s="1" a="1"/>
  <c r="AD42" i="51" s="1"/>
  <c r="T42" i="51" a="1"/>
  <c r="T42" i="51" s="1"/>
  <c r="AE42" i="51" s="1" a="1"/>
  <c r="AE42" i="51" s="1"/>
  <c r="U42" i="51" a="1"/>
  <c r="U42" i="51" s="1"/>
  <c r="AF42" i="51" s="1" a="1"/>
  <c r="AF42" i="51" s="1"/>
  <c r="V42" i="51" a="1"/>
  <c r="V42" i="51" s="1"/>
  <c r="AG42" i="51" s="1" a="1"/>
  <c r="AG42" i="51" s="1"/>
  <c r="W42" i="51" a="1"/>
  <c r="W42" i="51" s="1"/>
  <c r="AH42" i="51" s="1" a="1"/>
  <c r="AH42" i="51" s="1"/>
  <c r="X42" i="51" a="1"/>
  <c r="X42" i="51" s="1"/>
  <c r="AI42" i="51" s="1" a="1"/>
  <c r="AI42" i="51" s="1"/>
  <c r="N43" i="51" a="1"/>
  <c r="N43" i="51" s="1"/>
  <c r="O43" i="51" a="1"/>
  <c r="O43" i="51" s="1"/>
  <c r="P43" i="51" a="1"/>
  <c r="P43" i="51" s="1"/>
  <c r="Q43" i="51" a="1"/>
  <c r="Q43" i="51" s="1"/>
  <c r="R43" i="51" a="1"/>
  <c r="R43" i="51" s="1"/>
  <c r="S43" i="51" a="1"/>
  <c r="S43" i="51" s="1"/>
  <c r="AD43" i="51" s="1" a="1"/>
  <c r="AD43" i="51" s="1"/>
  <c r="T43" i="51" a="1"/>
  <c r="T43" i="51" s="1"/>
  <c r="AE43" i="51" s="1" a="1"/>
  <c r="AE43" i="51" s="1"/>
  <c r="U43" i="51" a="1"/>
  <c r="U43" i="51" s="1"/>
  <c r="AF43" i="51" s="1" a="1"/>
  <c r="AF43" i="51" s="1"/>
  <c r="V43" i="51" a="1"/>
  <c r="V43" i="51" s="1"/>
  <c r="AG43" i="51" s="1" a="1"/>
  <c r="AG43" i="51" s="1"/>
  <c r="W43" i="51" a="1"/>
  <c r="W43" i="51" s="1"/>
  <c r="AH43" i="51" s="1" a="1"/>
  <c r="AH43" i="51" s="1"/>
  <c r="X43" i="51" a="1"/>
  <c r="X43" i="51" s="1"/>
  <c r="AI43" i="51" s="1" a="1"/>
  <c r="AI43" i="51" s="1"/>
  <c r="N44" i="51" a="1"/>
  <c r="N44" i="51" s="1"/>
  <c r="O44" i="51" a="1"/>
  <c r="O44" i="51" s="1"/>
  <c r="P44" i="51" a="1"/>
  <c r="P44" i="51" s="1"/>
  <c r="Q44" i="51" a="1"/>
  <c r="Q44" i="51" s="1"/>
  <c r="R44" i="51" a="1"/>
  <c r="R44" i="51" s="1"/>
  <c r="S44" i="51" a="1"/>
  <c r="S44" i="51" s="1"/>
  <c r="AD44" i="51" s="1" a="1"/>
  <c r="AD44" i="51" s="1"/>
  <c r="T44" i="51" a="1"/>
  <c r="T44" i="51" s="1"/>
  <c r="AE44" i="51" s="1" a="1"/>
  <c r="AE44" i="51" s="1"/>
  <c r="U44" i="51" a="1"/>
  <c r="U44" i="51" s="1"/>
  <c r="AF44" i="51" s="1" a="1"/>
  <c r="AF44" i="51" s="1"/>
  <c r="V44" i="51" a="1"/>
  <c r="V44" i="51" s="1"/>
  <c r="AG44" i="51" s="1" a="1"/>
  <c r="AG44" i="51" s="1"/>
  <c r="W44" i="51" a="1"/>
  <c r="W44" i="51" s="1"/>
  <c r="AH44" i="51" s="1" a="1"/>
  <c r="AH44" i="51" s="1"/>
  <c r="X44" i="51" a="1"/>
  <c r="X44" i="51" s="1"/>
  <c r="AI44" i="51" s="1" a="1"/>
  <c r="AI44" i="51" s="1"/>
  <c r="N45" i="51" a="1"/>
  <c r="N45" i="51" s="1"/>
  <c r="O45" i="51" a="1"/>
  <c r="O45" i="51" s="1"/>
  <c r="P45" i="51" a="1"/>
  <c r="P45" i="51" s="1"/>
  <c r="Q45" i="51" a="1"/>
  <c r="Q45" i="51" s="1"/>
  <c r="R45" i="51" a="1"/>
  <c r="R45" i="51" s="1"/>
  <c r="S45" i="51" a="1"/>
  <c r="S45" i="51" s="1"/>
  <c r="AD45" i="51" s="1" a="1"/>
  <c r="AD45" i="51" s="1"/>
  <c r="T45" i="51" a="1"/>
  <c r="T45" i="51" s="1"/>
  <c r="AE45" i="51" s="1" a="1"/>
  <c r="AE45" i="51" s="1"/>
  <c r="U45" i="51" a="1"/>
  <c r="U45" i="51" s="1"/>
  <c r="AF45" i="51" s="1" a="1"/>
  <c r="AF45" i="51" s="1"/>
  <c r="V45" i="51" a="1"/>
  <c r="V45" i="51" s="1"/>
  <c r="AG45" i="51" s="1" a="1"/>
  <c r="AG45" i="51" s="1"/>
  <c r="W45" i="51" a="1"/>
  <c r="W45" i="51" s="1"/>
  <c r="AH45" i="51" s="1" a="1"/>
  <c r="AH45" i="51" s="1"/>
  <c r="X45" i="51" a="1"/>
  <c r="X45" i="51" s="1"/>
  <c r="AI45" i="51" s="1" a="1"/>
  <c r="AI45" i="51" s="1"/>
  <c r="N46" i="51" a="1"/>
  <c r="N46" i="51" s="1"/>
  <c r="O46" i="51" a="1"/>
  <c r="O46" i="51" s="1"/>
  <c r="P46" i="51" a="1"/>
  <c r="P46" i="51" s="1"/>
  <c r="Q46" i="51" a="1"/>
  <c r="Q46" i="51" s="1"/>
  <c r="R46" i="51" a="1"/>
  <c r="R46" i="51" s="1"/>
  <c r="S46" i="51" a="1"/>
  <c r="S46" i="51" s="1"/>
  <c r="AD46" i="51" s="1" a="1"/>
  <c r="AD46" i="51" s="1"/>
  <c r="T46" i="51" a="1"/>
  <c r="T46" i="51" s="1"/>
  <c r="AE46" i="51" s="1" a="1"/>
  <c r="AE46" i="51" s="1"/>
  <c r="U46" i="51" a="1"/>
  <c r="U46" i="51" s="1"/>
  <c r="AF46" i="51" s="1" a="1"/>
  <c r="AF46" i="51" s="1"/>
  <c r="V46" i="51" a="1"/>
  <c r="V46" i="51" s="1"/>
  <c r="AG46" i="51" s="1" a="1"/>
  <c r="AG46" i="51" s="1"/>
  <c r="W46" i="51" a="1"/>
  <c r="W46" i="51" s="1"/>
  <c r="AH46" i="51" s="1" a="1"/>
  <c r="AH46" i="51" s="1"/>
  <c r="X46" i="51" a="1"/>
  <c r="X46" i="51" s="1"/>
  <c r="AI46" i="51" s="1" a="1"/>
  <c r="AI46" i="51" s="1"/>
  <c r="N47" i="51" a="1"/>
  <c r="N47" i="51" s="1"/>
  <c r="O47" i="51" a="1"/>
  <c r="O47" i="51" s="1"/>
  <c r="P47" i="51" a="1"/>
  <c r="P47" i="51" s="1"/>
  <c r="Q47" i="51" a="1"/>
  <c r="Q47" i="51" s="1"/>
  <c r="R47" i="51" a="1"/>
  <c r="R47" i="51" s="1"/>
  <c r="S47" i="51" a="1"/>
  <c r="S47" i="51" s="1"/>
  <c r="AD47" i="51" s="1" a="1"/>
  <c r="AD47" i="51" s="1"/>
  <c r="T47" i="51" a="1"/>
  <c r="T47" i="51" s="1"/>
  <c r="AE47" i="51" s="1" a="1"/>
  <c r="AE47" i="51" s="1"/>
  <c r="U47" i="51" a="1"/>
  <c r="U47" i="51" s="1"/>
  <c r="AF47" i="51" s="1" a="1"/>
  <c r="AF47" i="51" s="1"/>
  <c r="V47" i="51" a="1"/>
  <c r="V47" i="51" s="1"/>
  <c r="AG47" i="51" s="1" a="1"/>
  <c r="AG47" i="51" s="1"/>
  <c r="W47" i="51" a="1"/>
  <c r="W47" i="51" s="1"/>
  <c r="AH47" i="51" s="1" a="1"/>
  <c r="AH47" i="51" s="1"/>
  <c r="X47" i="51" a="1"/>
  <c r="X47" i="51" s="1"/>
  <c r="AI47" i="51" s="1" a="1"/>
  <c r="AI47" i="51" s="1"/>
  <c r="N48" i="51" a="1"/>
  <c r="N48" i="51" s="1"/>
  <c r="O48" i="51" a="1"/>
  <c r="O48" i="51" s="1"/>
  <c r="P48" i="51" a="1"/>
  <c r="P48" i="51" s="1"/>
  <c r="Q48" i="51" a="1"/>
  <c r="Q48" i="51" s="1"/>
  <c r="R48" i="51" a="1"/>
  <c r="R48" i="51" s="1"/>
  <c r="S48" i="51" a="1"/>
  <c r="S48" i="51" s="1"/>
  <c r="AD48" i="51" s="1" a="1"/>
  <c r="AD48" i="51" s="1"/>
  <c r="T48" i="51" a="1"/>
  <c r="T48" i="51" s="1"/>
  <c r="AE48" i="51" s="1" a="1"/>
  <c r="AE48" i="51" s="1"/>
  <c r="U48" i="51" a="1"/>
  <c r="U48" i="51" s="1"/>
  <c r="AF48" i="51" s="1" a="1"/>
  <c r="AF48" i="51" s="1"/>
  <c r="V48" i="51" a="1"/>
  <c r="V48" i="51" s="1"/>
  <c r="AG48" i="51" s="1" a="1"/>
  <c r="AG48" i="51" s="1"/>
  <c r="W48" i="51" a="1"/>
  <c r="W48" i="51" s="1"/>
  <c r="AH48" i="51" s="1" a="1"/>
  <c r="AH48" i="51" s="1"/>
  <c r="X48" i="51" a="1"/>
  <c r="X48" i="51" s="1"/>
  <c r="AI48" i="51" s="1" a="1"/>
  <c r="AI48" i="51" s="1"/>
  <c r="N49" i="51" a="1"/>
  <c r="N49" i="51" s="1"/>
  <c r="O49" i="51" a="1"/>
  <c r="O49" i="51" s="1"/>
  <c r="P49" i="51" a="1"/>
  <c r="P49" i="51" s="1"/>
  <c r="Q49" i="51" a="1"/>
  <c r="Q49" i="51" s="1"/>
  <c r="R49" i="51" a="1"/>
  <c r="R49" i="51" s="1"/>
  <c r="S49" i="51" a="1"/>
  <c r="S49" i="51" s="1"/>
  <c r="AD49" i="51" s="1" a="1"/>
  <c r="AD49" i="51" s="1"/>
  <c r="T49" i="51" a="1"/>
  <c r="T49" i="51" s="1"/>
  <c r="AE49" i="51" s="1" a="1"/>
  <c r="AE49" i="51" s="1"/>
  <c r="U49" i="51" a="1"/>
  <c r="U49" i="51" s="1"/>
  <c r="AF49" i="51" s="1" a="1"/>
  <c r="AF49" i="51" s="1"/>
  <c r="V49" i="51" a="1"/>
  <c r="V49" i="51" s="1"/>
  <c r="AG49" i="51" s="1" a="1"/>
  <c r="AG49" i="51" s="1"/>
  <c r="W49" i="51" a="1"/>
  <c r="W49" i="51" s="1"/>
  <c r="AH49" i="51" s="1" a="1"/>
  <c r="AH49" i="51" s="1"/>
  <c r="X49" i="51" a="1"/>
  <c r="X49" i="51" s="1"/>
  <c r="AI49" i="51" s="1" a="1"/>
  <c r="AI49" i="51" s="1"/>
  <c r="N50" i="51" a="1"/>
  <c r="N50" i="51" s="1"/>
  <c r="O50" i="51" a="1"/>
  <c r="O50" i="51" s="1"/>
  <c r="P50" i="51" a="1"/>
  <c r="P50" i="51" s="1"/>
  <c r="Q50" i="51" a="1"/>
  <c r="Q50" i="51" s="1"/>
  <c r="R50" i="51" a="1"/>
  <c r="R50" i="51" s="1"/>
  <c r="S50" i="51" a="1"/>
  <c r="S50" i="51" s="1"/>
  <c r="T50" i="51" a="1"/>
  <c r="T50" i="51" s="1"/>
  <c r="AE50" i="51" s="1" a="1"/>
  <c r="AE50" i="51" s="1"/>
  <c r="U50" i="51" a="1"/>
  <c r="U50" i="51" s="1"/>
  <c r="AF50" i="51" s="1" a="1"/>
  <c r="AF50" i="51" s="1"/>
  <c r="V50" i="51" a="1"/>
  <c r="V50" i="51" s="1"/>
  <c r="AG50" i="51" s="1" a="1"/>
  <c r="AG50" i="51" s="1"/>
  <c r="W50" i="51" a="1"/>
  <c r="W50" i="51" s="1"/>
  <c r="AH50" i="51" s="1" a="1"/>
  <c r="AH50" i="51" s="1"/>
  <c r="X50" i="51" a="1"/>
  <c r="X50" i="51" s="1"/>
  <c r="AI50" i="51" s="1" a="1"/>
  <c r="AI50" i="51" s="1"/>
  <c r="N51" i="51" a="1"/>
  <c r="N51" i="51" s="1"/>
  <c r="O51" i="51" a="1"/>
  <c r="O51" i="51" s="1"/>
  <c r="P51" i="51" a="1"/>
  <c r="P51" i="51" s="1"/>
  <c r="Q51" i="51" a="1"/>
  <c r="Q51" i="51" s="1"/>
  <c r="R51" i="51" a="1"/>
  <c r="R51" i="51" s="1"/>
  <c r="S51" i="51" a="1"/>
  <c r="S51" i="51" s="1"/>
  <c r="AD51" i="51" s="1" a="1"/>
  <c r="AD51" i="51" s="1"/>
  <c r="T51" i="51" a="1"/>
  <c r="T51" i="51" s="1"/>
  <c r="AE51" i="51" s="1" a="1"/>
  <c r="AE51" i="51" s="1"/>
  <c r="U51" i="51" a="1"/>
  <c r="U51" i="51" s="1"/>
  <c r="AF51" i="51" s="1" a="1"/>
  <c r="AF51" i="51" s="1"/>
  <c r="V51" i="51" a="1"/>
  <c r="V51" i="51" s="1"/>
  <c r="AG51" i="51" s="1" a="1"/>
  <c r="AG51" i="51" s="1"/>
  <c r="W51" i="51" a="1"/>
  <c r="W51" i="51" s="1"/>
  <c r="AH51" i="51" s="1" a="1"/>
  <c r="AH51" i="51" s="1"/>
  <c r="X51" i="51" a="1"/>
  <c r="X51" i="51" s="1"/>
  <c r="AI51" i="51" s="1" a="1"/>
  <c r="AI51" i="51" s="1"/>
  <c r="N52" i="51" a="1"/>
  <c r="N52" i="51" s="1"/>
  <c r="O52" i="51" a="1"/>
  <c r="O52" i="51" s="1"/>
  <c r="P52" i="51" a="1"/>
  <c r="P52" i="51" s="1"/>
  <c r="Q52" i="51" a="1"/>
  <c r="Q52" i="51" s="1"/>
  <c r="R52" i="51" a="1"/>
  <c r="R52" i="51" s="1"/>
  <c r="S52" i="51" a="1"/>
  <c r="S52" i="51" s="1"/>
  <c r="AD52" i="51" s="1" a="1"/>
  <c r="AD52" i="51" s="1"/>
  <c r="T52" i="51" a="1"/>
  <c r="T52" i="51" s="1"/>
  <c r="AE52" i="51" s="1" a="1"/>
  <c r="AE52" i="51" s="1"/>
  <c r="U52" i="51" a="1"/>
  <c r="U52" i="51" s="1"/>
  <c r="AF52" i="51" s="1" a="1"/>
  <c r="AF52" i="51" s="1"/>
  <c r="V52" i="51" a="1"/>
  <c r="V52" i="51" s="1"/>
  <c r="AG52" i="51" s="1" a="1"/>
  <c r="AG52" i="51" s="1"/>
  <c r="W52" i="51" a="1"/>
  <c r="W52" i="51" s="1"/>
  <c r="AH52" i="51" s="1" a="1"/>
  <c r="AH52" i="51" s="1"/>
  <c r="X52" i="51" a="1"/>
  <c r="X52" i="51" s="1"/>
  <c r="AI52" i="51" s="1" a="1"/>
  <c r="AI52" i="51" s="1"/>
  <c r="N53" i="51" a="1"/>
  <c r="N53" i="51" s="1"/>
  <c r="O53" i="51" a="1"/>
  <c r="O53" i="51" s="1"/>
  <c r="P53" i="51" a="1"/>
  <c r="P53" i="51" s="1"/>
  <c r="Q53" i="51" a="1"/>
  <c r="Q53" i="51" s="1"/>
  <c r="R53" i="51" a="1"/>
  <c r="R53" i="51" s="1"/>
  <c r="S53" i="51" a="1"/>
  <c r="S53" i="51" s="1"/>
  <c r="T53" i="51" a="1"/>
  <c r="T53" i="51" s="1"/>
  <c r="AE53" i="51" s="1" a="1"/>
  <c r="AE53" i="51" s="1"/>
  <c r="U53" i="51" a="1"/>
  <c r="U53" i="51" s="1"/>
  <c r="AF53" i="51" s="1" a="1"/>
  <c r="AF53" i="51" s="1"/>
  <c r="V53" i="51" a="1"/>
  <c r="V53" i="51" s="1"/>
  <c r="AG53" i="51" s="1" a="1"/>
  <c r="AG53" i="51" s="1"/>
  <c r="W53" i="51" a="1"/>
  <c r="W53" i="51" s="1"/>
  <c r="AH53" i="51" s="1" a="1"/>
  <c r="AH53" i="51" s="1"/>
  <c r="X53" i="51" a="1"/>
  <c r="X53" i="51" s="1"/>
  <c r="AI53" i="51" s="1" a="1"/>
  <c r="AI53" i="51" s="1"/>
  <c r="N54" i="51" a="1"/>
  <c r="N54" i="51" s="1"/>
  <c r="O54" i="51" a="1"/>
  <c r="O54" i="51" s="1"/>
  <c r="P54" i="51" a="1"/>
  <c r="P54" i="51" s="1"/>
  <c r="Q54" i="51" a="1"/>
  <c r="Q54" i="51" s="1"/>
  <c r="R54" i="51" a="1"/>
  <c r="R54" i="51" s="1"/>
  <c r="S54" i="51" a="1"/>
  <c r="S54" i="51" s="1"/>
  <c r="AD54" i="51" s="1" a="1"/>
  <c r="AD54" i="51" s="1"/>
  <c r="T54" i="51" a="1"/>
  <c r="T54" i="51" s="1"/>
  <c r="AE54" i="51" s="1" a="1"/>
  <c r="AE54" i="51" s="1"/>
  <c r="U54" i="51" a="1"/>
  <c r="U54" i="51" s="1"/>
  <c r="AF54" i="51" s="1" a="1"/>
  <c r="AF54" i="51" s="1"/>
  <c r="V54" i="51" a="1"/>
  <c r="V54" i="51" s="1"/>
  <c r="AG54" i="51" s="1" a="1"/>
  <c r="AG54" i="51" s="1"/>
  <c r="W54" i="51" a="1"/>
  <c r="W54" i="51" s="1"/>
  <c r="AH54" i="51" s="1" a="1"/>
  <c r="AH54" i="51" s="1"/>
  <c r="X54" i="51" a="1"/>
  <c r="X54" i="51" s="1"/>
  <c r="AI54" i="51" s="1" a="1"/>
  <c r="AI54" i="51" s="1"/>
  <c r="N55" i="51" a="1"/>
  <c r="N55" i="51" s="1"/>
  <c r="O55" i="51" a="1"/>
  <c r="O55" i="51" s="1"/>
  <c r="P55" i="51" a="1"/>
  <c r="P55" i="51" s="1"/>
  <c r="Q55" i="51" a="1"/>
  <c r="Q55" i="51" s="1"/>
  <c r="R55" i="51" a="1"/>
  <c r="R55" i="51" s="1"/>
  <c r="S55" i="51" a="1"/>
  <c r="S55" i="51" s="1"/>
  <c r="AD55" i="51" s="1" a="1"/>
  <c r="AD55" i="51" s="1"/>
  <c r="T55" i="51" a="1"/>
  <c r="T55" i="51" s="1"/>
  <c r="AE55" i="51" s="1" a="1"/>
  <c r="AE55" i="51" s="1"/>
  <c r="U55" i="51" a="1"/>
  <c r="U55" i="51" s="1"/>
  <c r="AF55" i="51" s="1" a="1"/>
  <c r="AF55" i="51" s="1"/>
  <c r="V55" i="51" a="1"/>
  <c r="V55" i="51" s="1"/>
  <c r="AG55" i="51" s="1" a="1"/>
  <c r="AG55" i="51" s="1"/>
  <c r="W55" i="51" a="1"/>
  <c r="W55" i="51" s="1"/>
  <c r="AH55" i="51" s="1" a="1"/>
  <c r="AH55" i="51" s="1"/>
  <c r="X55" i="51" a="1"/>
  <c r="X55" i="51" s="1"/>
  <c r="AI55" i="51" s="1" a="1"/>
  <c r="AI55" i="51" s="1"/>
  <c r="N56" i="51" a="1"/>
  <c r="N56" i="51" s="1"/>
  <c r="O56" i="51" a="1"/>
  <c r="O56" i="51" s="1"/>
  <c r="P56" i="51" a="1"/>
  <c r="P56" i="51" s="1"/>
  <c r="Q56" i="51" a="1"/>
  <c r="Q56" i="51" s="1"/>
  <c r="R56" i="51" a="1"/>
  <c r="R56" i="51" s="1"/>
  <c r="S56" i="51" a="1"/>
  <c r="S56" i="51" s="1"/>
  <c r="AD56" i="51" s="1" a="1"/>
  <c r="AD56" i="51" s="1"/>
  <c r="T56" i="51" a="1"/>
  <c r="T56" i="51" s="1"/>
  <c r="AE56" i="51" s="1" a="1"/>
  <c r="AE56" i="51" s="1"/>
  <c r="U56" i="51" a="1"/>
  <c r="U56" i="51" s="1"/>
  <c r="AF56" i="51" s="1" a="1"/>
  <c r="AF56" i="51" s="1"/>
  <c r="V56" i="51" a="1"/>
  <c r="V56" i="51" s="1"/>
  <c r="AG56" i="51" s="1" a="1"/>
  <c r="AG56" i="51" s="1"/>
  <c r="W56" i="51" a="1"/>
  <c r="W56" i="51" s="1"/>
  <c r="AH56" i="51" s="1" a="1"/>
  <c r="AH56" i="51" s="1"/>
  <c r="X56" i="51" a="1"/>
  <c r="X56" i="51" s="1"/>
  <c r="AI56" i="51" s="1" a="1"/>
  <c r="AI56" i="51" s="1"/>
  <c r="N57" i="51" a="1"/>
  <c r="N57" i="51" s="1"/>
  <c r="O57" i="51" a="1"/>
  <c r="O57" i="51" s="1"/>
  <c r="P57" i="51" a="1"/>
  <c r="P57" i="51" s="1"/>
  <c r="Q57" i="51" a="1"/>
  <c r="Q57" i="51" s="1"/>
  <c r="R57" i="51" a="1"/>
  <c r="R57" i="51" s="1"/>
  <c r="S57" i="51" a="1"/>
  <c r="S57" i="51" s="1"/>
  <c r="AD57" i="51" s="1" a="1"/>
  <c r="AD57" i="51" s="1"/>
  <c r="T57" i="51" a="1"/>
  <c r="T57" i="51" s="1"/>
  <c r="AE57" i="51" s="1" a="1"/>
  <c r="AE57" i="51" s="1"/>
  <c r="U57" i="51" a="1"/>
  <c r="U57" i="51" s="1"/>
  <c r="AF57" i="51" s="1" a="1"/>
  <c r="AF57" i="51" s="1"/>
  <c r="V57" i="51" a="1"/>
  <c r="V57" i="51" s="1"/>
  <c r="AG57" i="51" s="1" a="1"/>
  <c r="AG57" i="51" s="1"/>
  <c r="W57" i="51" a="1"/>
  <c r="W57" i="51" s="1"/>
  <c r="AH57" i="51" s="1" a="1"/>
  <c r="AH57" i="51" s="1"/>
  <c r="X57" i="51" a="1"/>
  <c r="X57" i="51" s="1"/>
  <c r="AI57" i="51" s="1" a="1"/>
  <c r="AI57" i="51" s="1"/>
  <c r="N58" i="51" a="1"/>
  <c r="N58" i="51" s="1"/>
  <c r="O58" i="51" a="1"/>
  <c r="O58" i="51" s="1"/>
  <c r="P58" i="51" a="1"/>
  <c r="P58" i="51" s="1"/>
  <c r="Q58" i="51" a="1"/>
  <c r="Q58" i="51" s="1"/>
  <c r="R58" i="51" a="1"/>
  <c r="R58" i="51" s="1"/>
  <c r="S58" i="51" a="1"/>
  <c r="S58" i="51" s="1"/>
  <c r="AD58" i="51" s="1" a="1"/>
  <c r="AD58" i="51" s="1"/>
  <c r="T58" i="51" a="1"/>
  <c r="T58" i="51" s="1"/>
  <c r="AE58" i="51" s="1" a="1"/>
  <c r="AE58" i="51" s="1"/>
  <c r="U58" i="51" a="1"/>
  <c r="U58" i="51" s="1"/>
  <c r="AF58" i="51" s="1" a="1"/>
  <c r="AF58" i="51" s="1"/>
  <c r="V58" i="51" a="1"/>
  <c r="V58" i="51" s="1"/>
  <c r="AG58" i="51" s="1" a="1"/>
  <c r="AG58" i="51" s="1"/>
  <c r="W58" i="51" a="1"/>
  <c r="W58" i="51" s="1"/>
  <c r="AH58" i="51" s="1" a="1"/>
  <c r="AH58" i="51" s="1"/>
  <c r="X58" i="51" a="1"/>
  <c r="X58" i="51" s="1"/>
  <c r="AI58" i="51" s="1" a="1"/>
  <c r="AI58" i="51" s="1"/>
  <c r="N59" i="51" a="1"/>
  <c r="N59" i="51" s="1"/>
  <c r="O59" i="51" a="1"/>
  <c r="O59" i="51" s="1"/>
  <c r="P59" i="51" a="1"/>
  <c r="P59" i="51" s="1"/>
  <c r="Q59" i="51" a="1"/>
  <c r="Q59" i="51" s="1"/>
  <c r="R59" i="51" a="1"/>
  <c r="R59" i="51" s="1"/>
  <c r="S59" i="51" a="1"/>
  <c r="S59" i="51" s="1"/>
  <c r="AD59" i="51" s="1" a="1"/>
  <c r="AD59" i="51" s="1"/>
  <c r="T59" i="51" a="1"/>
  <c r="T59" i="51" s="1"/>
  <c r="AE59" i="51" s="1" a="1"/>
  <c r="AE59" i="51" s="1"/>
  <c r="U59" i="51" a="1"/>
  <c r="U59" i="51" s="1"/>
  <c r="AF59" i="51" s="1" a="1"/>
  <c r="AF59" i="51" s="1"/>
  <c r="V59" i="51" a="1"/>
  <c r="V59" i="51" s="1"/>
  <c r="AG59" i="51" s="1" a="1"/>
  <c r="AG59" i="51" s="1"/>
  <c r="W59" i="51" a="1"/>
  <c r="W59" i="51" s="1"/>
  <c r="AH59" i="51" s="1" a="1"/>
  <c r="AH59" i="51" s="1"/>
  <c r="X59" i="51" a="1"/>
  <c r="X59" i="51" s="1"/>
  <c r="AI59" i="51" s="1" a="1"/>
  <c r="AI59" i="51" s="1"/>
  <c r="N60" i="51" a="1"/>
  <c r="N60" i="51" s="1"/>
  <c r="O60" i="51" a="1"/>
  <c r="O60" i="51" s="1"/>
  <c r="P60" i="51" a="1"/>
  <c r="P60" i="51" s="1"/>
  <c r="Q60" i="51" a="1"/>
  <c r="Q60" i="51" s="1"/>
  <c r="R60" i="51" a="1"/>
  <c r="R60" i="51" s="1"/>
  <c r="S60" i="51" a="1"/>
  <c r="S60" i="51" s="1"/>
  <c r="AD60" i="51" s="1" a="1"/>
  <c r="AD60" i="51" s="1"/>
  <c r="T60" i="51" a="1"/>
  <c r="T60" i="51" s="1"/>
  <c r="AE60" i="51" s="1" a="1"/>
  <c r="AE60" i="51" s="1"/>
  <c r="U60" i="51" a="1"/>
  <c r="U60" i="51" s="1"/>
  <c r="AF60" i="51" s="1" a="1"/>
  <c r="AF60" i="51" s="1"/>
  <c r="V60" i="51" a="1"/>
  <c r="V60" i="51" s="1"/>
  <c r="AG60" i="51" s="1" a="1"/>
  <c r="AG60" i="51" s="1"/>
  <c r="W60" i="51" a="1"/>
  <c r="W60" i="51" s="1"/>
  <c r="AH60" i="51" s="1" a="1"/>
  <c r="AH60" i="51" s="1"/>
  <c r="X60" i="51" a="1"/>
  <c r="X60" i="51" s="1"/>
  <c r="AI60" i="51" s="1" a="1"/>
  <c r="AI60" i="51" s="1"/>
  <c r="N14" i="50" a="1"/>
  <c r="N14" i="50" s="1"/>
  <c r="O14" i="50" a="1"/>
  <c r="O14" i="50" s="1"/>
  <c r="P14" i="50" a="1"/>
  <c r="P14" i="50" s="1"/>
  <c r="Q14" i="50" a="1"/>
  <c r="Q14" i="50" s="1"/>
  <c r="R14" i="50" a="1"/>
  <c r="R14" i="50" s="1"/>
  <c r="S14" i="50" a="1"/>
  <c r="S14" i="50" s="1"/>
  <c r="AD14" i="50" s="1" a="1"/>
  <c r="AD14" i="50" s="1"/>
  <c r="T14" i="50" a="1"/>
  <c r="T14" i="50" s="1"/>
  <c r="AE14" i="50" s="1" a="1"/>
  <c r="AE14" i="50" s="1"/>
  <c r="U14" i="50" a="1"/>
  <c r="U14" i="50" s="1"/>
  <c r="AF14" i="50" s="1" a="1"/>
  <c r="AF14" i="50" s="1"/>
  <c r="V14" i="50" a="1"/>
  <c r="V14" i="50" s="1"/>
  <c r="AG14" i="50" s="1" a="1"/>
  <c r="AG14" i="50" s="1"/>
  <c r="W14" i="50" a="1"/>
  <c r="W14" i="50" s="1"/>
  <c r="AH14" i="50" s="1" a="1"/>
  <c r="AH14" i="50" s="1"/>
  <c r="X14" i="50" a="1"/>
  <c r="X14" i="50" s="1"/>
  <c r="AI14" i="50" s="1" a="1"/>
  <c r="AI14" i="50" s="1"/>
  <c r="N15" i="50" a="1"/>
  <c r="N15" i="50" s="1"/>
  <c r="O15" i="50" a="1"/>
  <c r="O15" i="50" s="1"/>
  <c r="P15" i="50" a="1"/>
  <c r="P15" i="50" s="1"/>
  <c r="Q15" i="50" a="1"/>
  <c r="Q15" i="50" s="1"/>
  <c r="R15" i="50" a="1"/>
  <c r="R15" i="50" s="1"/>
  <c r="S15" i="50" a="1"/>
  <c r="S15" i="50"/>
  <c r="AD15" i="50" s="1" a="1"/>
  <c r="AD15" i="50" s="1"/>
  <c r="T15" i="50" a="1"/>
  <c r="T15" i="50" s="1"/>
  <c r="AE15" i="50" s="1" a="1"/>
  <c r="AE15" i="50" s="1"/>
  <c r="U15" i="50" a="1"/>
  <c r="U15" i="50" s="1"/>
  <c r="AF15" i="50" s="1" a="1"/>
  <c r="AF15" i="50" s="1"/>
  <c r="V15" i="50" a="1"/>
  <c r="V15" i="50" s="1"/>
  <c r="AG15" i="50" s="1" a="1"/>
  <c r="AG15" i="50" s="1"/>
  <c r="W15" i="50" a="1"/>
  <c r="W15" i="50" s="1"/>
  <c r="AH15" i="50" s="1" a="1"/>
  <c r="AH15" i="50" s="1"/>
  <c r="X15" i="50" a="1"/>
  <c r="X15" i="50" s="1"/>
  <c r="AI15" i="50" s="1" a="1"/>
  <c r="AI15" i="50" s="1"/>
  <c r="N16" i="50" a="1"/>
  <c r="N16" i="50" s="1"/>
  <c r="O16" i="50" a="1"/>
  <c r="O16" i="50" s="1"/>
  <c r="P16" i="50" a="1"/>
  <c r="P16" i="50" s="1"/>
  <c r="Q16" i="50" a="1"/>
  <c r="Q16" i="50"/>
  <c r="R16" i="50" a="1"/>
  <c r="R16" i="50" s="1"/>
  <c r="S16" i="50" a="1"/>
  <c r="S16" i="50" s="1"/>
  <c r="AD16" i="50" s="1" a="1"/>
  <c r="AD16" i="50" s="1"/>
  <c r="T16" i="50" a="1"/>
  <c r="T16" i="50" s="1"/>
  <c r="AE16" i="50" s="1" a="1"/>
  <c r="AE16" i="50" s="1"/>
  <c r="U16" i="50" a="1"/>
  <c r="U16" i="50"/>
  <c r="AF16" i="50" s="1" a="1"/>
  <c r="AF16" i="50" s="1"/>
  <c r="V16" i="50" a="1"/>
  <c r="V16" i="50" s="1"/>
  <c r="AG16" i="50" s="1" a="1"/>
  <c r="AG16" i="50" s="1"/>
  <c r="W16" i="50" a="1"/>
  <c r="W16" i="50" s="1"/>
  <c r="AH16" i="50" s="1" a="1"/>
  <c r="AH16" i="50" s="1"/>
  <c r="X16" i="50" a="1"/>
  <c r="X16" i="50" s="1"/>
  <c r="AI16" i="50" s="1" a="1"/>
  <c r="AI16" i="50" s="1"/>
  <c r="N17" i="50" a="1"/>
  <c r="N17" i="50" s="1"/>
  <c r="O17" i="50" a="1"/>
  <c r="O17" i="50" s="1"/>
  <c r="P17" i="50" a="1"/>
  <c r="P17" i="50" s="1"/>
  <c r="Q17" i="50" a="1"/>
  <c r="Q17" i="50" s="1"/>
  <c r="R17" i="50" a="1"/>
  <c r="R17" i="50" s="1"/>
  <c r="S17" i="50" a="1"/>
  <c r="S17" i="50" s="1"/>
  <c r="AD17" i="50" s="1" a="1"/>
  <c r="AD17" i="50" s="1"/>
  <c r="T17" i="50" a="1"/>
  <c r="T17" i="50" s="1"/>
  <c r="AE17" i="50" s="1" a="1"/>
  <c r="AE17" i="50" s="1"/>
  <c r="U17" i="50" a="1"/>
  <c r="U17" i="50" s="1"/>
  <c r="AF17" i="50" s="1" a="1"/>
  <c r="AF17" i="50" s="1"/>
  <c r="V17" i="50" a="1"/>
  <c r="V17" i="50" s="1"/>
  <c r="AG17" i="50" s="1" a="1"/>
  <c r="AG17" i="50" s="1"/>
  <c r="W17" i="50" a="1"/>
  <c r="W17" i="50" s="1"/>
  <c r="AH17" i="50" s="1" a="1"/>
  <c r="AH17" i="50" s="1"/>
  <c r="X17" i="50" a="1"/>
  <c r="X17" i="50" s="1"/>
  <c r="AI17" i="50" s="1" a="1"/>
  <c r="AI17" i="50" s="1"/>
  <c r="N18" i="50" a="1"/>
  <c r="N18" i="50" s="1"/>
  <c r="O18" i="50" a="1"/>
  <c r="O18" i="50"/>
  <c r="P18" i="50" a="1"/>
  <c r="P18" i="50" s="1"/>
  <c r="Q18" i="50" a="1"/>
  <c r="Q18" i="50" s="1"/>
  <c r="R18" i="50" a="1"/>
  <c r="R18" i="50" s="1"/>
  <c r="S18" i="50" a="1"/>
  <c r="S18" i="50" s="1"/>
  <c r="AD18" i="50" s="1" a="1"/>
  <c r="AD18" i="50" s="1"/>
  <c r="T18" i="50" a="1"/>
  <c r="T18" i="50" s="1"/>
  <c r="AE18" i="50" s="1" a="1"/>
  <c r="AE18" i="50" s="1"/>
  <c r="U18" i="50" a="1"/>
  <c r="U18" i="50" s="1"/>
  <c r="AF18" i="50" s="1" a="1"/>
  <c r="AF18" i="50" s="1"/>
  <c r="V18" i="50" a="1"/>
  <c r="V18" i="50" s="1"/>
  <c r="AG18" i="50" s="1" a="1"/>
  <c r="AG18" i="50" s="1"/>
  <c r="W18" i="50" a="1"/>
  <c r="W18" i="50" s="1"/>
  <c r="AH18" i="50" s="1" a="1"/>
  <c r="AH18" i="50" s="1"/>
  <c r="X18" i="50" a="1"/>
  <c r="X18" i="50" s="1"/>
  <c r="AI18" i="50" s="1" a="1"/>
  <c r="AI18" i="50" s="1"/>
  <c r="N19" i="50" a="1"/>
  <c r="N19" i="50" s="1"/>
  <c r="O19" i="50" a="1"/>
  <c r="O19" i="50" s="1"/>
  <c r="P19" i="50" a="1"/>
  <c r="P19" i="50" s="1"/>
  <c r="Q19" i="50" a="1"/>
  <c r="Q19" i="50" s="1"/>
  <c r="R19" i="50" a="1"/>
  <c r="R19" i="50" s="1"/>
  <c r="S19" i="50" a="1"/>
  <c r="S19" i="50" s="1"/>
  <c r="AD19" i="50" s="1" a="1"/>
  <c r="AD19" i="50" s="1"/>
  <c r="T19" i="50" a="1"/>
  <c r="T19" i="50" s="1"/>
  <c r="AE19" i="50" s="1" a="1"/>
  <c r="AE19" i="50" s="1"/>
  <c r="U19" i="50" a="1"/>
  <c r="U19" i="50" s="1"/>
  <c r="AF19" i="50" s="1" a="1"/>
  <c r="AF19" i="50" s="1"/>
  <c r="V19" i="50" a="1"/>
  <c r="V19" i="50" s="1"/>
  <c r="AG19" i="50" s="1" a="1"/>
  <c r="AG19" i="50" s="1"/>
  <c r="W19" i="50" a="1"/>
  <c r="W19" i="50" s="1"/>
  <c r="AH19" i="50" s="1" a="1"/>
  <c r="AH19" i="50" s="1"/>
  <c r="X19" i="50" a="1"/>
  <c r="X19" i="50" s="1"/>
  <c r="AI19" i="50" s="1" a="1"/>
  <c r="AI19" i="50" s="1"/>
  <c r="N20" i="50" a="1"/>
  <c r="N20" i="50" s="1"/>
  <c r="O20" i="50" a="1"/>
  <c r="O20" i="50" s="1"/>
  <c r="P20" i="50" a="1"/>
  <c r="P20" i="50" s="1"/>
  <c r="Q20" i="50" a="1"/>
  <c r="Q20" i="50" s="1"/>
  <c r="R20" i="50" a="1"/>
  <c r="R20" i="50"/>
  <c r="S20" i="50" a="1"/>
  <c r="S20" i="50" s="1"/>
  <c r="AD20" i="50" s="1" a="1"/>
  <c r="AD20" i="50" s="1"/>
  <c r="T20" i="50" a="1"/>
  <c r="T20" i="50" s="1"/>
  <c r="AE20" i="50" s="1" a="1"/>
  <c r="AE20" i="50" s="1"/>
  <c r="U20" i="50" a="1"/>
  <c r="U20" i="50" s="1"/>
  <c r="AF20" i="50" s="1" a="1"/>
  <c r="AF20" i="50" s="1"/>
  <c r="V20" i="50" a="1"/>
  <c r="V20" i="50" s="1"/>
  <c r="AG20" i="50" s="1" a="1"/>
  <c r="AG20" i="50" s="1"/>
  <c r="W20" i="50" a="1"/>
  <c r="W20" i="50" s="1"/>
  <c r="AH20" i="50" s="1" a="1"/>
  <c r="AH20" i="50" s="1"/>
  <c r="X20" i="50" a="1"/>
  <c r="X20" i="50" s="1"/>
  <c r="AI20" i="50" s="1" a="1"/>
  <c r="AI20" i="50" s="1"/>
  <c r="N21" i="50" a="1"/>
  <c r="N21" i="50" s="1"/>
  <c r="O21" i="50" a="1"/>
  <c r="O21" i="50" s="1"/>
  <c r="P21" i="50" a="1"/>
  <c r="P21" i="50" s="1"/>
  <c r="Q21" i="50" a="1"/>
  <c r="Q21" i="50" s="1"/>
  <c r="R21" i="50" a="1"/>
  <c r="R21" i="50" s="1"/>
  <c r="S21" i="50" a="1"/>
  <c r="S21" i="50" s="1"/>
  <c r="AD21" i="50" s="1" a="1"/>
  <c r="AD21" i="50" s="1"/>
  <c r="T21" i="50" a="1"/>
  <c r="T21" i="50" s="1"/>
  <c r="AE21" i="50" s="1" a="1"/>
  <c r="AE21" i="50" s="1"/>
  <c r="U21" i="50" a="1"/>
  <c r="U21" i="50" s="1"/>
  <c r="AF21" i="50" s="1" a="1"/>
  <c r="AF21" i="50" s="1"/>
  <c r="V21" i="50" a="1"/>
  <c r="V21" i="50" s="1"/>
  <c r="AG21" i="50" s="1" a="1"/>
  <c r="AG21" i="50" s="1"/>
  <c r="W21" i="50" a="1"/>
  <c r="W21" i="50" s="1"/>
  <c r="AH21" i="50" s="1" a="1"/>
  <c r="AH21" i="50" s="1"/>
  <c r="X21" i="50" a="1"/>
  <c r="X21" i="50" s="1"/>
  <c r="AI21" i="50" s="1" a="1"/>
  <c r="AI21" i="50" s="1"/>
  <c r="N22" i="50" a="1"/>
  <c r="N22" i="50" s="1"/>
  <c r="O22" i="50" a="1"/>
  <c r="O22" i="50" s="1"/>
  <c r="P22" i="50" a="1"/>
  <c r="P22" i="50" s="1"/>
  <c r="Q22" i="50" a="1"/>
  <c r="Q22" i="50" s="1"/>
  <c r="R22" i="50" a="1"/>
  <c r="R22" i="50" s="1"/>
  <c r="S22" i="50" a="1"/>
  <c r="S22" i="50" s="1"/>
  <c r="AD22" i="50" s="1" a="1"/>
  <c r="AD22" i="50" s="1"/>
  <c r="T22" i="50" a="1"/>
  <c r="T22" i="50" s="1"/>
  <c r="AE22" i="50" s="1" a="1"/>
  <c r="AE22" i="50" s="1"/>
  <c r="U22" i="50" a="1"/>
  <c r="U22" i="50" s="1"/>
  <c r="AF22" i="50" s="1" a="1"/>
  <c r="AF22" i="50" s="1"/>
  <c r="V22" i="50" a="1"/>
  <c r="V22" i="50" s="1"/>
  <c r="AG22" i="50" s="1" a="1"/>
  <c r="AG22" i="50" s="1"/>
  <c r="W22" i="50" a="1"/>
  <c r="W22" i="50" s="1"/>
  <c r="AH22" i="50" s="1" a="1"/>
  <c r="AH22" i="50" s="1"/>
  <c r="X22" i="50" a="1"/>
  <c r="X22" i="50" s="1"/>
  <c r="AI22" i="50" s="1" a="1"/>
  <c r="AI22" i="50" s="1"/>
  <c r="N23" i="50" a="1"/>
  <c r="N23" i="50" s="1"/>
  <c r="O23" i="50" a="1"/>
  <c r="O23" i="50" s="1"/>
  <c r="P23" i="50" a="1"/>
  <c r="P23" i="50" s="1"/>
  <c r="Q23" i="50" a="1"/>
  <c r="Q23" i="50" s="1"/>
  <c r="R23" i="50" a="1"/>
  <c r="R23" i="50" s="1"/>
  <c r="S23" i="50" a="1"/>
  <c r="S23" i="50" s="1"/>
  <c r="AD23" i="50" s="1" a="1"/>
  <c r="AD23" i="50" s="1"/>
  <c r="T23" i="50" a="1"/>
  <c r="T23" i="50" s="1"/>
  <c r="AE23" i="50" s="1" a="1"/>
  <c r="AE23" i="50" s="1"/>
  <c r="U23" i="50" a="1"/>
  <c r="U23" i="50" s="1"/>
  <c r="AF23" i="50" s="1" a="1"/>
  <c r="AF23" i="50" s="1"/>
  <c r="V23" i="50" a="1"/>
  <c r="V23" i="50" s="1"/>
  <c r="AG23" i="50" s="1" a="1"/>
  <c r="AG23" i="50" s="1"/>
  <c r="W23" i="50" a="1"/>
  <c r="W23" i="50" s="1"/>
  <c r="AH23" i="50" s="1" a="1"/>
  <c r="AH23" i="50" s="1"/>
  <c r="X23" i="50" a="1"/>
  <c r="X23" i="50" s="1"/>
  <c r="AI23" i="50" s="1" a="1"/>
  <c r="AI23" i="50" s="1"/>
  <c r="N24" i="50" a="1"/>
  <c r="N24" i="50" s="1"/>
  <c r="O24" i="50" a="1"/>
  <c r="O24" i="50" s="1"/>
  <c r="P24" i="50" a="1"/>
  <c r="P24" i="50" s="1"/>
  <c r="Q24" i="50" a="1"/>
  <c r="Q24" i="50" s="1"/>
  <c r="R24" i="50" a="1"/>
  <c r="R24" i="50" s="1"/>
  <c r="S24" i="50" a="1"/>
  <c r="S24" i="50"/>
  <c r="AD24" i="50" s="1" a="1"/>
  <c r="AD24" i="50" s="1"/>
  <c r="T24" i="50" a="1"/>
  <c r="T24" i="50" s="1"/>
  <c r="AE24" i="50" s="1" a="1"/>
  <c r="AE24" i="50" s="1"/>
  <c r="U24" i="50" a="1"/>
  <c r="U24" i="50" s="1"/>
  <c r="AF24" i="50" s="1" a="1"/>
  <c r="AF24" i="50" s="1"/>
  <c r="V24" i="50" a="1"/>
  <c r="V24" i="50" s="1"/>
  <c r="AG24" i="50" s="1" a="1"/>
  <c r="AG24" i="50" s="1"/>
  <c r="W24" i="50" a="1"/>
  <c r="W24" i="50" s="1"/>
  <c r="AH24" i="50" s="1" a="1"/>
  <c r="AH24" i="50" s="1"/>
  <c r="X24" i="50" a="1"/>
  <c r="X24" i="50" s="1"/>
  <c r="AI24" i="50" s="1" a="1"/>
  <c r="AI24" i="50" s="1"/>
  <c r="N25" i="50" a="1"/>
  <c r="N25" i="50" s="1"/>
  <c r="O25" i="50" a="1"/>
  <c r="O25" i="50" s="1"/>
  <c r="P25" i="50" a="1"/>
  <c r="P25" i="50" s="1"/>
  <c r="Q25" i="50" a="1"/>
  <c r="Q25" i="50" s="1"/>
  <c r="R25" i="50" a="1"/>
  <c r="R25" i="50" s="1"/>
  <c r="S25" i="50" a="1"/>
  <c r="S25" i="50" s="1"/>
  <c r="AD25" i="50" s="1" a="1"/>
  <c r="AD25" i="50" s="1"/>
  <c r="T25" i="50" a="1"/>
  <c r="T25" i="50" s="1"/>
  <c r="AE25" i="50" s="1" a="1"/>
  <c r="AE25" i="50" s="1"/>
  <c r="U25" i="50" a="1"/>
  <c r="U25" i="50" s="1"/>
  <c r="AF25" i="50" s="1" a="1"/>
  <c r="AF25" i="50" s="1"/>
  <c r="V25" i="50" a="1"/>
  <c r="V25" i="50" s="1"/>
  <c r="AG25" i="50" s="1" a="1"/>
  <c r="AG25" i="50" s="1"/>
  <c r="W25" i="50" a="1"/>
  <c r="W25" i="50" s="1"/>
  <c r="AH25" i="50" s="1" a="1"/>
  <c r="AH25" i="50" s="1"/>
  <c r="X25" i="50" a="1"/>
  <c r="X25" i="50" s="1"/>
  <c r="AI25" i="50" s="1" a="1"/>
  <c r="AI25" i="50" s="1"/>
  <c r="N26" i="50" a="1"/>
  <c r="N26" i="50" s="1"/>
  <c r="O26" i="50" a="1"/>
  <c r="O26" i="50" s="1"/>
  <c r="P26" i="50" a="1"/>
  <c r="P26" i="50" s="1"/>
  <c r="Q26" i="50" a="1"/>
  <c r="Q26" i="50" s="1"/>
  <c r="R26" i="50" a="1"/>
  <c r="R26" i="50" s="1"/>
  <c r="S26" i="50" a="1"/>
  <c r="S26" i="50" s="1"/>
  <c r="AD26" i="50" s="1" a="1"/>
  <c r="AD26" i="50" s="1"/>
  <c r="T26" i="50" a="1"/>
  <c r="T26" i="50" s="1"/>
  <c r="AE26" i="50" s="1" a="1"/>
  <c r="AE26" i="50" s="1"/>
  <c r="U26" i="50" a="1"/>
  <c r="U26" i="50" s="1"/>
  <c r="AF26" i="50" s="1" a="1"/>
  <c r="AF26" i="50" s="1"/>
  <c r="V26" i="50" a="1"/>
  <c r="V26" i="50" s="1"/>
  <c r="AG26" i="50" s="1" a="1"/>
  <c r="AG26" i="50" s="1"/>
  <c r="W26" i="50" a="1"/>
  <c r="W26" i="50" s="1"/>
  <c r="AH26" i="50" s="1" a="1"/>
  <c r="AH26" i="50" s="1"/>
  <c r="X26" i="50" a="1"/>
  <c r="X26" i="50" s="1"/>
  <c r="AI26" i="50" s="1" a="1"/>
  <c r="AI26" i="50" s="1"/>
  <c r="N27" i="50" a="1"/>
  <c r="N27" i="50" s="1"/>
  <c r="O27" i="50" a="1"/>
  <c r="O27" i="50" s="1"/>
  <c r="P27" i="50" a="1"/>
  <c r="P27" i="50" s="1"/>
  <c r="Q27" i="50" a="1"/>
  <c r="Q27" i="50" s="1"/>
  <c r="R27" i="50" a="1"/>
  <c r="R27" i="50" s="1"/>
  <c r="S27" i="50" a="1"/>
  <c r="S27" i="50" s="1"/>
  <c r="AD27" i="50" s="1" a="1"/>
  <c r="AD27" i="50" s="1"/>
  <c r="T27" i="50" a="1"/>
  <c r="T27" i="50" s="1"/>
  <c r="AE27" i="50" s="1" a="1"/>
  <c r="AE27" i="50" s="1"/>
  <c r="U27" i="50" a="1"/>
  <c r="U27" i="50" s="1"/>
  <c r="AF27" i="50" s="1" a="1"/>
  <c r="AF27" i="50" s="1"/>
  <c r="V27" i="50" a="1"/>
  <c r="V27" i="50" s="1"/>
  <c r="AG27" i="50" s="1" a="1"/>
  <c r="AG27" i="50" s="1"/>
  <c r="W27" i="50" a="1"/>
  <c r="W27" i="50" s="1"/>
  <c r="AH27" i="50" s="1" a="1"/>
  <c r="AH27" i="50" s="1"/>
  <c r="X27" i="50" a="1"/>
  <c r="X27" i="50" s="1"/>
  <c r="AI27" i="50" s="1" a="1"/>
  <c r="AI27" i="50" s="1"/>
  <c r="N28" i="50" a="1"/>
  <c r="N28" i="50" s="1"/>
  <c r="O28" i="50" a="1"/>
  <c r="O28" i="50" s="1"/>
  <c r="P28" i="50" a="1"/>
  <c r="P28" i="50"/>
  <c r="Q28" i="50" a="1"/>
  <c r="Q28" i="50" s="1"/>
  <c r="R28" i="50" a="1"/>
  <c r="R28" i="50" s="1"/>
  <c r="S28" i="50" a="1"/>
  <c r="S28" i="50" s="1"/>
  <c r="AD28" i="50" s="1" a="1"/>
  <c r="AD28" i="50" s="1"/>
  <c r="T28" i="50" a="1"/>
  <c r="T28" i="50" s="1"/>
  <c r="AE28" i="50" s="1" a="1"/>
  <c r="AE28" i="50" s="1"/>
  <c r="U28" i="50" a="1"/>
  <c r="U28" i="50" s="1"/>
  <c r="AF28" i="50" s="1" a="1"/>
  <c r="AF28" i="50" s="1"/>
  <c r="V28" i="50" a="1"/>
  <c r="V28" i="50" s="1"/>
  <c r="AG28" i="50" s="1" a="1"/>
  <c r="AG28" i="50" s="1"/>
  <c r="W28" i="50" a="1"/>
  <c r="W28" i="50" s="1"/>
  <c r="AH28" i="50" s="1" a="1"/>
  <c r="AH28" i="50" s="1"/>
  <c r="X28" i="50" a="1"/>
  <c r="X28" i="50" s="1"/>
  <c r="AI28" i="50" s="1" a="1"/>
  <c r="AI28" i="50" s="1"/>
  <c r="N29" i="50" a="1"/>
  <c r="N29" i="50" s="1"/>
  <c r="O29" i="50" a="1"/>
  <c r="O29" i="50" s="1"/>
  <c r="P29" i="50" a="1"/>
  <c r="P29" i="50" s="1"/>
  <c r="Q29" i="50" a="1"/>
  <c r="Q29" i="50" s="1"/>
  <c r="R29" i="50" a="1"/>
  <c r="R29" i="50" s="1"/>
  <c r="S29" i="50" a="1"/>
  <c r="S29" i="50" s="1"/>
  <c r="AD29" i="50" s="1" a="1"/>
  <c r="AD29" i="50" s="1"/>
  <c r="T29" i="50" a="1"/>
  <c r="T29" i="50" s="1"/>
  <c r="AE29" i="50" s="1" a="1"/>
  <c r="AE29" i="50" s="1"/>
  <c r="U29" i="50" a="1"/>
  <c r="U29" i="50" s="1"/>
  <c r="AF29" i="50" s="1" a="1"/>
  <c r="AF29" i="50" s="1"/>
  <c r="V29" i="50" a="1"/>
  <c r="V29" i="50" s="1"/>
  <c r="AG29" i="50" s="1" a="1"/>
  <c r="AG29" i="50" s="1"/>
  <c r="W29" i="50" a="1"/>
  <c r="W29" i="50" s="1"/>
  <c r="AH29" i="50" s="1" a="1"/>
  <c r="AH29" i="50" s="1"/>
  <c r="X29" i="50" a="1"/>
  <c r="X29" i="50" s="1"/>
  <c r="AI29" i="50" s="1" a="1"/>
  <c r="AI29" i="50" s="1"/>
  <c r="N30" i="50" a="1"/>
  <c r="N30" i="50" s="1"/>
  <c r="O30" i="50" a="1"/>
  <c r="O30" i="50" s="1"/>
  <c r="P30" i="50" a="1"/>
  <c r="P30" i="50" s="1"/>
  <c r="Q30" i="50" a="1"/>
  <c r="Q30" i="50" s="1"/>
  <c r="R30" i="50" a="1"/>
  <c r="R30" i="50" s="1"/>
  <c r="S30" i="50" a="1"/>
  <c r="S30" i="50" s="1"/>
  <c r="AD30" i="50" s="1" a="1"/>
  <c r="AD30" i="50" s="1"/>
  <c r="T30" i="50" a="1"/>
  <c r="T30" i="50" s="1"/>
  <c r="AE30" i="50" s="1" a="1"/>
  <c r="AE30" i="50" s="1"/>
  <c r="U30" i="50" a="1"/>
  <c r="U30" i="50" s="1"/>
  <c r="AF30" i="50" s="1" a="1"/>
  <c r="AF30" i="50" s="1"/>
  <c r="V30" i="50" a="1"/>
  <c r="V30" i="50" s="1"/>
  <c r="AG30" i="50" s="1" a="1"/>
  <c r="AG30" i="50" s="1"/>
  <c r="W30" i="50" a="1"/>
  <c r="W30" i="50" s="1"/>
  <c r="AH30" i="50" s="1" a="1"/>
  <c r="AH30" i="50" s="1"/>
  <c r="X30" i="50" a="1"/>
  <c r="X30" i="50" s="1"/>
  <c r="AI30" i="50" s="1" a="1"/>
  <c r="AI30" i="50" s="1"/>
  <c r="N31" i="50" a="1"/>
  <c r="N31" i="50" s="1"/>
  <c r="O31" i="50" a="1"/>
  <c r="O31" i="50" s="1"/>
  <c r="P31" i="50" a="1"/>
  <c r="P31" i="50" s="1"/>
  <c r="Q31" i="50" a="1"/>
  <c r="Q31" i="50" s="1"/>
  <c r="R31" i="50" a="1"/>
  <c r="R31" i="50" s="1"/>
  <c r="S31" i="50" a="1"/>
  <c r="S31" i="50" s="1"/>
  <c r="AD31" i="50" s="1" a="1"/>
  <c r="AD31" i="50" s="1"/>
  <c r="T31" i="50" a="1"/>
  <c r="T31" i="50" s="1"/>
  <c r="AE31" i="50" s="1" a="1"/>
  <c r="AE31" i="50" s="1"/>
  <c r="U31" i="50" a="1"/>
  <c r="U31" i="50" s="1"/>
  <c r="AF31" i="50" s="1" a="1"/>
  <c r="AF31" i="50" s="1"/>
  <c r="V31" i="50" a="1"/>
  <c r="V31" i="50" s="1"/>
  <c r="AG31" i="50" s="1" a="1"/>
  <c r="AG31" i="50" s="1"/>
  <c r="W31" i="50" a="1"/>
  <c r="W31" i="50" s="1"/>
  <c r="AH31" i="50" s="1" a="1"/>
  <c r="AH31" i="50" s="1"/>
  <c r="X31" i="50" a="1"/>
  <c r="X31" i="50" s="1"/>
  <c r="AI31" i="50" s="1" a="1"/>
  <c r="AI31" i="50" s="1"/>
  <c r="N32" i="50" a="1"/>
  <c r="N32" i="50" s="1"/>
  <c r="O32" i="50" a="1"/>
  <c r="O32" i="50" s="1"/>
  <c r="P32" i="50" a="1"/>
  <c r="P32" i="50" s="1"/>
  <c r="Q32" i="50" a="1"/>
  <c r="Q32" i="50" s="1"/>
  <c r="R32" i="50" a="1"/>
  <c r="R32" i="50" s="1"/>
  <c r="S32" i="50" a="1"/>
  <c r="S32" i="50" s="1"/>
  <c r="AD32" i="50" s="1" a="1"/>
  <c r="AD32" i="50" s="1"/>
  <c r="T32" i="50" a="1"/>
  <c r="T32" i="50" s="1"/>
  <c r="AE32" i="50" s="1" a="1"/>
  <c r="AE32" i="50" s="1"/>
  <c r="U32" i="50" a="1"/>
  <c r="U32" i="50" s="1"/>
  <c r="AF32" i="50" s="1" a="1"/>
  <c r="AF32" i="50" s="1"/>
  <c r="V32" i="50" a="1"/>
  <c r="V32" i="50" s="1"/>
  <c r="AG32" i="50" s="1" a="1"/>
  <c r="AG32" i="50" s="1"/>
  <c r="W32" i="50" a="1"/>
  <c r="W32" i="50" s="1"/>
  <c r="AH32" i="50" s="1" a="1"/>
  <c r="AH32" i="50" s="1"/>
  <c r="X32" i="50" a="1"/>
  <c r="X32" i="50" s="1"/>
  <c r="AI32" i="50" s="1" a="1"/>
  <c r="AI32" i="50" s="1"/>
  <c r="N33" i="50" a="1"/>
  <c r="N33" i="50" s="1"/>
  <c r="O33" i="50" a="1"/>
  <c r="O33" i="50" s="1"/>
  <c r="P33" i="50" a="1"/>
  <c r="P33" i="50" s="1"/>
  <c r="Q33" i="50" a="1"/>
  <c r="Q33" i="50" s="1"/>
  <c r="R33" i="50" a="1"/>
  <c r="R33" i="50" s="1"/>
  <c r="S33" i="50" a="1"/>
  <c r="S33" i="50" s="1"/>
  <c r="AD33" i="50" s="1" a="1"/>
  <c r="AD33" i="50" s="1"/>
  <c r="T33" i="50" a="1"/>
  <c r="T33" i="50" s="1"/>
  <c r="AE33" i="50" s="1" a="1"/>
  <c r="AE33" i="50" s="1"/>
  <c r="U33" i="50" a="1"/>
  <c r="U33" i="50" s="1"/>
  <c r="AF33" i="50" s="1" a="1"/>
  <c r="AF33" i="50" s="1"/>
  <c r="V33" i="50" a="1"/>
  <c r="V33" i="50" s="1"/>
  <c r="W33" i="50" a="1"/>
  <c r="W33" i="50" s="1"/>
  <c r="AH33" i="50" s="1" a="1"/>
  <c r="AH33" i="50" s="1"/>
  <c r="X33" i="50" a="1"/>
  <c r="X33" i="50"/>
  <c r="AI33" i="50" s="1" a="1"/>
  <c r="AI33" i="50" s="1"/>
  <c r="AG33" i="50" a="1"/>
  <c r="AG33" i="50" s="1"/>
  <c r="N14" i="49" a="1"/>
  <c r="N14" i="49" s="1"/>
  <c r="O14" i="49" a="1"/>
  <c r="O14" i="49" s="1"/>
  <c r="P14" i="49" a="1"/>
  <c r="P14" i="49" s="1"/>
  <c r="Q14" i="49" a="1"/>
  <c r="Q14" i="49" s="1"/>
  <c r="R14" i="49" a="1"/>
  <c r="R14" i="49"/>
  <c r="S14" i="49" a="1"/>
  <c r="S14" i="49" s="1"/>
  <c r="AD14" i="49" s="1" a="1"/>
  <c r="AD14" i="49" s="1"/>
  <c r="T14" i="49" a="1"/>
  <c r="T14" i="49" s="1"/>
  <c r="AE14" i="49" s="1" a="1"/>
  <c r="AE14" i="49" s="1"/>
  <c r="U14" i="49" a="1"/>
  <c r="U14" i="49" s="1"/>
  <c r="AF14" i="49" s="1" a="1"/>
  <c r="AF14" i="49" s="1"/>
  <c r="V14" i="49" a="1"/>
  <c r="V14" i="49" s="1"/>
  <c r="AG14" i="49" s="1" a="1"/>
  <c r="AG14" i="49" s="1"/>
  <c r="W14" i="49" a="1"/>
  <c r="W14" i="49" s="1"/>
  <c r="AH14" i="49" s="1" a="1"/>
  <c r="AH14" i="49" s="1"/>
  <c r="X14" i="49" a="1"/>
  <c r="X14" i="49" s="1"/>
  <c r="AI14" i="49" s="1" a="1"/>
  <c r="AI14" i="49" s="1"/>
  <c r="N15" i="49" a="1"/>
  <c r="N15" i="49" s="1"/>
  <c r="O15" i="49" a="1"/>
  <c r="O15" i="49" s="1"/>
  <c r="P15" i="49" a="1"/>
  <c r="P15" i="49" s="1"/>
  <c r="Q15" i="49" a="1"/>
  <c r="Q15" i="49" s="1"/>
  <c r="R15" i="49" a="1"/>
  <c r="R15" i="49" s="1"/>
  <c r="S15" i="49" a="1"/>
  <c r="S15" i="49" s="1"/>
  <c r="AD15" i="49" s="1" a="1"/>
  <c r="AD15" i="49" s="1"/>
  <c r="T15" i="49" a="1"/>
  <c r="T15" i="49" s="1"/>
  <c r="AE15" i="49" s="1" a="1"/>
  <c r="AE15" i="49" s="1"/>
  <c r="U15" i="49" a="1"/>
  <c r="U15" i="49" s="1"/>
  <c r="AF15" i="49" s="1" a="1"/>
  <c r="AF15" i="49" s="1"/>
  <c r="V15" i="49" a="1"/>
  <c r="V15" i="49" s="1"/>
  <c r="AG15" i="49" s="1" a="1"/>
  <c r="AG15" i="49" s="1"/>
  <c r="W15" i="49" a="1"/>
  <c r="W15" i="49" s="1"/>
  <c r="AH15" i="49" s="1" a="1"/>
  <c r="AH15" i="49" s="1"/>
  <c r="X15" i="49" a="1"/>
  <c r="X15" i="49" s="1"/>
  <c r="AI15" i="49" s="1" a="1"/>
  <c r="AI15" i="49" s="1"/>
  <c r="N16" i="49" a="1"/>
  <c r="N16" i="49" s="1"/>
  <c r="O16" i="49" a="1"/>
  <c r="O16" i="49" s="1"/>
  <c r="P16" i="49" a="1"/>
  <c r="P16" i="49" s="1"/>
  <c r="Q16" i="49" a="1"/>
  <c r="Q16" i="49" s="1"/>
  <c r="R16" i="49" a="1"/>
  <c r="R16" i="49" s="1"/>
  <c r="S16" i="49" a="1"/>
  <c r="S16" i="49" s="1"/>
  <c r="AD16" i="49" s="1" a="1"/>
  <c r="AD16" i="49" s="1"/>
  <c r="T16" i="49" a="1"/>
  <c r="T16" i="49" s="1"/>
  <c r="AE16" i="49" s="1" a="1"/>
  <c r="AE16" i="49" s="1"/>
  <c r="U16" i="49" a="1"/>
  <c r="U16" i="49" s="1"/>
  <c r="AF16" i="49" s="1" a="1"/>
  <c r="AF16" i="49" s="1"/>
  <c r="V16" i="49" a="1"/>
  <c r="V16" i="49" s="1"/>
  <c r="AG16" i="49" s="1" a="1"/>
  <c r="AG16" i="49" s="1"/>
  <c r="W16" i="49" a="1"/>
  <c r="W16" i="49" s="1"/>
  <c r="AH16" i="49" s="1" a="1"/>
  <c r="AH16" i="49" s="1"/>
  <c r="X16" i="49" a="1"/>
  <c r="X16" i="49" s="1"/>
  <c r="AI16" i="49" s="1" a="1"/>
  <c r="AI16" i="49" s="1"/>
  <c r="N17" i="49" a="1"/>
  <c r="N17" i="49" s="1"/>
  <c r="O17" i="49" a="1"/>
  <c r="O17" i="49" s="1"/>
  <c r="P17" i="49" a="1"/>
  <c r="P17" i="49" s="1"/>
  <c r="Q17" i="49" a="1"/>
  <c r="Q17" i="49" s="1"/>
  <c r="R17" i="49" a="1"/>
  <c r="R17" i="49" s="1"/>
  <c r="S17" i="49" a="1"/>
  <c r="S17" i="49" s="1"/>
  <c r="AD17" i="49" s="1" a="1"/>
  <c r="AD17" i="49" s="1"/>
  <c r="T17" i="49" a="1"/>
  <c r="T17" i="49" s="1"/>
  <c r="AE17" i="49" s="1" a="1"/>
  <c r="AE17" i="49" s="1"/>
  <c r="U17" i="49" a="1"/>
  <c r="U17" i="49" s="1"/>
  <c r="AF17" i="49" s="1" a="1"/>
  <c r="AF17" i="49" s="1"/>
  <c r="V17" i="49" a="1"/>
  <c r="V17" i="49" s="1"/>
  <c r="AG17" i="49" s="1" a="1"/>
  <c r="AG17" i="49" s="1"/>
  <c r="W17" i="49" a="1"/>
  <c r="W17" i="49" s="1"/>
  <c r="AH17" i="49" s="1" a="1"/>
  <c r="AH17" i="49" s="1"/>
  <c r="X17" i="49" a="1"/>
  <c r="X17" i="49" s="1"/>
  <c r="AI17" i="49" s="1" a="1"/>
  <c r="AI17" i="49" s="1"/>
  <c r="N18" i="49" a="1"/>
  <c r="N18" i="49" s="1"/>
  <c r="O18" i="49" a="1"/>
  <c r="O18" i="49" s="1"/>
  <c r="P18" i="49" a="1"/>
  <c r="P18" i="49" s="1"/>
  <c r="Q18" i="49" a="1"/>
  <c r="Q18" i="49" s="1"/>
  <c r="R18" i="49" a="1"/>
  <c r="R18" i="49" s="1"/>
  <c r="S18" i="49" a="1"/>
  <c r="S18" i="49" s="1"/>
  <c r="AD18" i="49" s="1" a="1"/>
  <c r="AD18" i="49" s="1"/>
  <c r="T18" i="49" a="1"/>
  <c r="T18" i="49" s="1"/>
  <c r="AE18" i="49" s="1" a="1"/>
  <c r="AE18" i="49" s="1"/>
  <c r="U18" i="49" a="1"/>
  <c r="U18" i="49" s="1"/>
  <c r="AF18" i="49" s="1" a="1"/>
  <c r="AF18" i="49" s="1"/>
  <c r="V18" i="49" a="1"/>
  <c r="V18" i="49" s="1"/>
  <c r="AG18" i="49" s="1" a="1"/>
  <c r="AG18" i="49" s="1"/>
  <c r="W18" i="49" a="1"/>
  <c r="W18" i="49" s="1"/>
  <c r="AH18" i="49" s="1" a="1"/>
  <c r="AH18" i="49" s="1"/>
  <c r="X18" i="49" a="1"/>
  <c r="X18" i="49" s="1"/>
  <c r="AI18" i="49" s="1" a="1"/>
  <c r="AI18" i="49" s="1"/>
  <c r="N19" i="49" a="1"/>
  <c r="N19" i="49" s="1"/>
  <c r="O19" i="49" a="1"/>
  <c r="O19" i="49" s="1"/>
  <c r="P19" i="49" a="1"/>
  <c r="P19" i="49" s="1"/>
  <c r="Q19" i="49" a="1"/>
  <c r="Q19" i="49" s="1"/>
  <c r="R19" i="49" a="1"/>
  <c r="R19" i="49" s="1"/>
  <c r="S19" i="49" a="1"/>
  <c r="S19" i="49" s="1"/>
  <c r="AD19" i="49" s="1" a="1"/>
  <c r="AD19" i="49" s="1"/>
  <c r="T19" i="49" a="1"/>
  <c r="T19" i="49" s="1"/>
  <c r="AE19" i="49" s="1" a="1"/>
  <c r="AE19" i="49" s="1"/>
  <c r="U19" i="49" a="1"/>
  <c r="U19" i="49" s="1"/>
  <c r="AF19" i="49" s="1" a="1"/>
  <c r="AF19" i="49" s="1"/>
  <c r="V19" i="49" a="1"/>
  <c r="V19" i="49" s="1"/>
  <c r="AG19" i="49" s="1" a="1"/>
  <c r="AG19" i="49" s="1"/>
  <c r="W19" i="49" a="1"/>
  <c r="W19" i="49" s="1"/>
  <c r="AH19" i="49" s="1" a="1"/>
  <c r="AH19" i="49" s="1"/>
  <c r="X19" i="49" a="1"/>
  <c r="X19" i="49" s="1"/>
  <c r="AI19" i="49" s="1" a="1"/>
  <c r="AI19" i="49" s="1"/>
  <c r="N20" i="49" a="1"/>
  <c r="N20" i="49" s="1"/>
  <c r="O20" i="49" a="1"/>
  <c r="O20" i="49" s="1"/>
  <c r="P20" i="49" a="1"/>
  <c r="P20" i="49" s="1"/>
  <c r="Q20" i="49" a="1"/>
  <c r="Q20" i="49" s="1"/>
  <c r="R20" i="49" a="1"/>
  <c r="R20" i="49" s="1"/>
  <c r="S20" i="49" a="1"/>
  <c r="S20" i="49" s="1"/>
  <c r="AD20" i="49" s="1" a="1"/>
  <c r="AD20" i="49" s="1"/>
  <c r="T20" i="49" a="1"/>
  <c r="T20" i="49" s="1"/>
  <c r="AE20" i="49" s="1" a="1"/>
  <c r="AE20" i="49" s="1"/>
  <c r="U20" i="49" a="1"/>
  <c r="U20" i="49" s="1"/>
  <c r="AF20" i="49" s="1" a="1"/>
  <c r="AF20" i="49" s="1"/>
  <c r="V20" i="49" a="1"/>
  <c r="V20" i="49" s="1"/>
  <c r="AG20" i="49" s="1" a="1"/>
  <c r="AG20" i="49" s="1"/>
  <c r="W20" i="49" a="1"/>
  <c r="W20" i="49" s="1"/>
  <c r="AH20" i="49" s="1" a="1"/>
  <c r="AH20" i="49" s="1"/>
  <c r="X20" i="49" a="1"/>
  <c r="X20" i="49" s="1"/>
  <c r="AI20" i="49" s="1" a="1"/>
  <c r="AI20" i="49" s="1"/>
  <c r="N21" i="49" a="1"/>
  <c r="N21" i="49" s="1"/>
  <c r="O21" i="49" a="1"/>
  <c r="O21" i="49" s="1"/>
  <c r="P21" i="49" a="1"/>
  <c r="P21" i="49" s="1"/>
  <c r="Q21" i="49" a="1"/>
  <c r="Q21" i="49" s="1"/>
  <c r="R21" i="49" a="1"/>
  <c r="R21" i="49" s="1"/>
  <c r="S21" i="49" a="1"/>
  <c r="S21" i="49" s="1"/>
  <c r="AD21" i="49" s="1" a="1"/>
  <c r="AD21" i="49" s="1"/>
  <c r="T21" i="49" a="1"/>
  <c r="T21" i="49" s="1"/>
  <c r="AE21" i="49" s="1" a="1"/>
  <c r="AE21" i="49" s="1"/>
  <c r="U21" i="49" a="1"/>
  <c r="U21" i="49" s="1"/>
  <c r="AF21" i="49" s="1" a="1"/>
  <c r="AF21" i="49" s="1"/>
  <c r="V21" i="49" a="1"/>
  <c r="V21" i="49" s="1"/>
  <c r="AG21" i="49" s="1" a="1"/>
  <c r="AG21" i="49" s="1"/>
  <c r="W21" i="49" a="1"/>
  <c r="W21" i="49" s="1"/>
  <c r="AH21" i="49" s="1" a="1"/>
  <c r="AH21" i="49" s="1"/>
  <c r="X21" i="49" a="1"/>
  <c r="X21" i="49" s="1"/>
  <c r="AI21" i="49" s="1" a="1"/>
  <c r="AI21" i="49" s="1"/>
  <c r="N22" i="49" a="1"/>
  <c r="N22" i="49" s="1"/>
  <c r="O22" i="49" a="1"/>
  <c r="O22" i="49" s="1"/>
  <c r="P22" i="49" a="1"/>
  <c r="P22" i="49" s="1"/>
  <c r="Q22" i="49" a="1"/>
  <c r="Q22" i="49" s="1"/>
  <c r="R22" i="49" a="1"/>
  <c r="R22" i="49" s="1"/>
  <c r="S22" i="49" a="1"/>
  <c r="S22" i="49" s="1"/>
  <c r="AD22" i="49" s="1" a="1"/>
  <c r="AD22" i="49" s="1"/>
  <c r="T22" i="49" a="1"/>
  <c r="T22" i="49" s="1"/>
  <c r="AE22" i="49" s="1" a="1"/>
  <c r="AE22" i="49" s="1"/>
  <c r="U22" i="49" a="1"/>
  <c r="U22" i="49" s="1"/>
  <c r="AF22" i="49" s="1" a="1"/>
  <c r="AF22" i="49" s="1"/>
  <c r="V22" i="49" a="1"/>
  <c r="V22" i="49" s="1"/>
  <c r="AG22" i="49" s="1" a="1"/>
  <c r="AG22" i="49" s="1"/>
  <c r="W22" i="49" a="1"/>
  <c r="W22" i="49" s="1"/>
  <c r="AH22" i="49" s="1" a="1"/>
  <c r="AH22" i="49" s="1"/>
  <c r="X22" i="49" a="1"/>
  <c r="X22" i="49" s="1"/>
  <c r="AI22" i="49" s="1" a="1"/>
  <c r="AI22" i="49" s="1"/>
  <c r="N23" i="49" a="1"/>
  <c r="N23" i="49" s="1"/>
  <c r="O23" i="49" a="1"/>
  <c r="O23" i="49" s="1"/>
  <c r="P23" i="49" a="1"/>
  <c r="P23" i="49" s="1"/>
  <c r="Q23" i="49" a="1"/>
  <c r="Q23" i="49" s="1"/>
  <c r="R23" i="49" a="1"/>
  <c r="R23" i="49" s="1"/>
  <c r="S23" i="49" a="1"/>
  <c r="S23" i="49" s="1"/>
  <c r="AD23" i="49" s="1" a="1"/>
  <c r="AD23" i="49" s="1"/>
  <c r="T23" i="49" a="1"/>
  <c r="T23" i="49" s="1"/>
  <c r="AE23" i="49" s="1" a="1"/>
  <c r="AE23" i="49" s="1"/>
  <c r="U23" i="49" a="1"/>
  <c r="U23" i="49" s="1"/>
  <c r="AF23" i="49" s="1" a="1"/>
  <c r="AF23" i="49" s="1"/>
  <c r="V23" i="49" a="1"/>
  <c r="V23" i="49" s="1"/>
  <c r="AG23" i="49" s="1" a="1"/>
  <c r="AG23" i="49" s="1"/>
  <c r="W23" i="49" a="1"/>
  <c r="W23" i="49" s="1"/>
  <c r="AH23" i="49" s="1" a="1"/>
  <c r="AH23" i="49" s="1"/>
  <c r="X23" i="49" a="1"/>
  <c r="X23" i="49" s="1"/>
  <c r="AI23" i="49" s="1" a="1"/>
  <c r="AI23" i="49" s="1"/>
  <c r="N24" i="49" a="1"/>
  <c r="N24" i="49" s="1"/>
  <c r="O24" i="49" a="1"/>
  <c r="O24" i="49" s="1"/>
  <c r="P24" i="49" a="1"/>
  <c r="P24" i="49" s="1"/>
  <c r="Q24" i="49" a="1"/>
  <c r="Q24" i="49" s="1"/>
  <c r="R24" i="49" a="1"/>
  <c r="R24" i="49" s="1"/>
  <c r="S24" i="49" a="1"/>
  <c r="S24" i="49" s="1"/>
  <c r="AD24" i="49" s="1" a="1"/>
  <c r="AD24" i="49" s="1"/>
  <c r="T24" i="49" a="1"/>
  <c r="T24" i="49" s="1"/>
  <c r="AE24" i="49" s="1" a="1"/>
  <c r="AE24" i="49" s="1"/>
  <c r="U24" i="49" a="1"/>
  <c r="U24" i="49" s="1"/>
  <c r="AF24" i="49" s="1" a="1"/>
  <c r="AF24" i="49" s="1"/>
  <c r="V24" i="49" a="1"/>
  <c r="V24" i="49" s="1"/>
  <c r="AG24" i="49" s="1" a="1"/>
  <c r="AG24" i="49" s="1"/>
  <c r="W24" i="49" a="1"/>
  <c r="W24" i="49" s="1"/>
  <c r="AH24" i="49" s="1" a="1"/>
  <c r="AH24" i="49" s="1"/>
  <c r="X24" i="49" a="1"/>
  <c r="X24" i="49" s="1"/>
  <c r="AI24" i="49" s="1" a="1"/>
  <c r="AI24" i="49" s="1"/>
  <c r="N25" i="49" a="1"/>
  <c r="N25" i="49" s="1"/>
  <c r="O25" i="49" a="1"/>
  <c r="O25" i="49" s="1"/>
  <c r="P25" i="49" a="1"/>
  <c r="P25" i="49" s="1"/>
  <c r="Q25" i="49" a="1"/>
  <c r="Q25" i="49" s="1"/>
  <c r="R25" i="49" a="1"/>
  <c r="R25" i="49" s="1"/>
  <c r="S25" i="49" a="1"/>
  <c r="S25" i="49" s="1"/>
  <c r="AD25" i="49" s="1" a="1"/>
  <c r="AD25" i="49" s="1"/>
  <c r="T25" i="49" a="1"/>
  <c r="T25" i="49" s="1"/>
  <c r="AE25" i="49" s="1" a="1"/>
  <c r="AE25" i="49" s="1"/>
  <c r="U25" i="49" a="1"/>
  <c r="U25" i="49" s="1"/>
  <c r="AF25" i="49" s="1" a="1"/>
  <c r="AF25" i="49" s="1"/>
  <c r="V25" i="49" a="1"/>
  <c r="V25" i="49" s="1"/>
  <c r="AG25" i="49" s="1" a="1"/>
  <c r="AG25" i="49" s="1"/>
  <c r="W25" i="49" a="1"/>
  <c r="W25" i="49" s="1"/>
  <c r="AH25" i="49" s="1" a="1"/>
  <c r="AH25" i="49" s="1"/>
  <c r="X25" i="49" a="1"/>
  <c r="X25" i="49" s="1"/>
  <c r="AI25" i="49" s="1" a="1"/>
  <c r="AI25" i="49" s="1"/>
  <c r="N26" i="49" a="1"/>
  <c r="N26" i="49" s="1"/>
  <c r="O26" i="49" a="1"/>
  <c r="O26" i="49" s="1"/>
  <c r="P26" i="49" a="1"/>
  <c r="P26" i="49" s="1"/>
  <c r="Q26" i="49" a="1"/>
  <c r="Q26" i="49" s="1"/>
  <c r="R26" i="49" a="1"/>
  <c r="R26" i="49" s="1"/>
  <c r="S26" i="49" a="1"/>
  <c r="S26" i="49" s="1"/>
  <c r="AD26" i="49" s="1" a="1"/>
  <c r="AD26" i="49" s="1"/>
  <c r="T26" i="49" a="1"/>
  <c r="T26" i="49" s="1"/>
  <c r="AE26" i="49" s="1" a="1"/>
  <c r="AE26" i="49" s="1"/>
  <c r="U26" i="49" a="1"/>
  <c r="U26" i="49" s="1"/>
  <c r="AF26" i="49" s="1" a="1"/>
  <c r="AF26" i="49" s="1"/>
  <c r="V26" i="49" a="1"/>
  <c r="V26" i="49" s="1"/>
  <c r="AG26" i="49" s="1" a="1"/>
  <c r="AG26" i="49" s="1"/>
  <c r="W26" i="49" a="1"/>
  <c r="W26" i="49" s="1"/>
  <c r="AH26" i="49" s="1" a="1"/>
  <c r="AH26" i="49" s="1"/>
  <c r="X26" i="49" a="1"/>
  <c r="X26" i="49" s="1"/>
  <c r="AI26" i="49" s="1" a="1"/>
  <c r="AI26" i="49" s="1"/>
  <c r="N27" i="49" a="1"/>
  <c r="N27" i="49" s="1"/>
  <c r="O27" i="49" a="1"/>
  <c r="O27" i="49" s="1"/>
  <c r="P27" i="49" a="1"/>
  <c r="P27" i="49" s="1"/>
  <c r="Q27" i="49" a="1"/>
  <c r="Q27" i="49" s="1"/>
  <c r="R27" i="49" a="1"/>
  <c r="R27" i="49" s="1"/>
  <c r="S27" i="49" a="1"/>
  <c r="S27" i="49" s="1"/>
  <c r="AD27" i="49" s="1" a="1"/>
  <c r="AD27" i="49" s="1"/>
  <c r="T27" i="49" a="1"/>
  <c r="T27" i="49" s="1"/>
  <c r="AE27" i="49" s="1" a="1"/>
  <c r="AE27" i="49" s="1"/>
  <c r="U27" i="49" a="1"/>
  <c r="U27" i="49" s="1"/>
  <c r="AF27" i="49" s="1" a="1"/>
  <c r="AF27" i="49" s="1"/>
  <c r="V27" i="49" a="1"/>
  <c r="V27" i="49" s="1"/>
  <c r="AG27" i="49" s="1" a="1"/>
  <c r="AG27" i="49" s="1"/>
  <c r="W27" i="49" a="1"/>
  <c r="W27" i="49" s="1"/>
  <c r="AH27" i="49" s="1" a="1"/>
  <c r="AH27" i="49" s="1"/>
  <c r="X27" i="49" a="1"/>
  <c r="X27" i="49" s="1"/>
  <c r="AI27" i="49" s="1" a="1"/>
  <c r="AI27" i="49" s="1"/>
  <c r="N28" i="49" a="1"/>
  <c r="N28" i="49" s="1"/>
  <c r="O28" i="49" a="1"/>
  <c r="O28" i="49" s="1"/>
  <c r="P28" i="49" a="1"/>
  <c r="P28" i="49" s="1"/>
  <c r="Q28" i="49" a="1"/>
  <c r="Q28" i="49" s="1"/>
  <c r="R28" i="49" a="1"/>
  <c r="R28" i="49" s="1"/>
  <c r="S28" i="49" a="1"/>
  <c r="S28" i="49" s="1"/>
  <c r="AD28" i="49" s="1" a="1"/>
  <c r="AD28" i="49" s="1"/>
  <c r="T28" i="49" a="1"/>
  <c r="T28" i="49" s="1"/>
  <c r="AE28" i="49" s="1" a="1"/>
  <c r="AE28" i="49" s="1"/>
  <c r="U28" i="49" a="1"/>
  <c r="U28" i="49" s="1"/>
  <c r="AF28" i="49" s="1" a="1"/>
  <c r="AF28" i="49" s="1"/>
  <c r="V28" i="49" a="1"/>
  <c r="V28" i="49" s="1"/>
  <c r="AG28" i="49" s="1" a="1"/>
  <c r="AG28" i="49" s="1"/>
  <c r="W28" i="49" a="1"/>
  <c r="W28" i="49" s="1"/>
  <c r="AH28" i="49" s="1" a="1"/>
  <c r="AH28" i="49" s="1"/>
  <c r="X28" i="49" a="1"/>
  <c r="X28" i="49" s="1"/>
  <c r="AI28" i="49" s="1" a="1"/>
  <c r="AI28" i="49" s="1"/>
  <c r="N29" i="49" a="1"/>
  <c r="N29" i="49" s="1"/>
  <c r="O29" i="49" a="1"/>
  <c r="O29" i="49" s="1"/>
  <c r="P29" i="49" a="1"/>
  <c r="P29" i="49" s="1"/>
  <c r="Q29" i="49" a="1"/>
  <c r="Q29" i="49" s="1"/>
  <c r="R29" i="49" a="1"/>
  <c r="R29" i="49" s="1"/>
  <c r="S29" i="49" a="1"/>
  <c r="S29" i="49" s="1"/>
  <c r="AD29" i="49" s="1" a="1"/>
  <c r="AD29" i="49" s="1"/>
  <c r="T29" i="49" a="1"/>
  <c r="T29" i="49" s="1"/>
  <c r="AE29" i="49" s="1" a="1"/>
  <c r="AE29" i="49" s="1"/>
  <c r="U29" i="49" a="1"/>
  <c r="U29" i="49" s="1"/>
  <c r="AF29" i="49" s="1" a="1"/>
  <c r="AF29" i="49" s="1"/>
  <c r="V29" i="49" a="1"/>
  <c r="V29" i="49" s="1"/>
  <c r="AG29" i="49" s="1" a="1"/>
  <c r="AG29" i="49" s="1"/>
  <c r="W29" i="49" a="1"/>
  <c r="W29" i="49" s="1"/>
  <c r="AH29" i="49" s="1" a="1"/>
  <c r="AH29" i="49" s="1"/>
  <c r="X29" i="49" a="1"/>
  <c r="X29" i="49" s="1"/>
  <c r="AI29" i="49" s="1" a="1"/>
  <c r="AI29" i="49" s="1"/>
  <c r="N30" i="49" a="1"/>
  <c r="N30" i="49" s="1"/>
  <c r="O30" i="49" a="1"/>
  <c r="O30" i="49" s="1"/>
  <c r="P30" i="49" a="1"/>
  <c r="P30" i="49" s="1"/>
  <c r="Q30" i="49" a="1"/>
  <c r="Q30" i="49" s="1"/>
  <c r="R30" i="49" a="1"/>
  <c r="R30" i="49" s="1"/>
  <c r="S30" i="49" a="1"/>
  <c r="S30" i="49" s="1"/>
  <c r="AD30" i="49" s="1" a="1"/>
  <c r="AD30" i="49" s="1"/>
  <c r="T30" i="49" a="1"/>
  <c r="T30" i="49" s="1"/>
  <c r="AE30" i="49" s="1" a="1"/>
  <c r="AE30" i="49" s="1"/>
  <c r="U30" i="49" a="1"/>
  <c r="U30" i="49" s="1"/>
  <c r="AF30" i="49" s="1" a="1"/>
  <c r="AF30" i="49" s="1"/>
  <c r="V30" i="49" a="1"/>
  <c r="V30" i="49" s="1"/>
  <c r="AG30" i="49" s="1" a="1"/>
  <c r="AG30" i="49" s="1"/>
  <c r="W30" i="49" a="1"/>
  <c r="W30" i="49" s="1"/>
  <c r="AH30" i="49" s="1" a="1"/>
  <c r="AH30" i="49" s="1"/>
  <c r="X30" i="49" a="1"/>
  <c r="X30" i="49" s="1"/>
  <c r="AI30" i="49" s="1" a="1"/>
  <c r="AI30" i="49" s="1"/>
  <c r="N31" i="49" a="1"/>
  <c r="N31" i="49" s="1"/>
  <c r="O31" i="49" a="1"/>
  <c r="O31" i="49" s="1"/>
  <c r="P31" i="49" a="1"/>
  <c r="P31" i="49" s="1"/>
  <c r="Q31" i="49" a="1"/>
  <c r="Q31" i="49" s="1"/>
  <c r="R31" i="49" a="1"/>
  <c r="R31" i="49" s="1"/>
  <c r="S31" i="49" a="1"/>
  <c r="S31" i="49" s="1"/>
  <c r="AD31" i="49" s="1" a="1"/>
  <c r="AD31" i="49" s="1"/>
  <c r="T31" i="49" a="1"/>
  <c r="T31" i="49" s="1"/>
  <c r="AE31" i="49" s="1" a="1"/>
  <c r="AE31" i="49" s="1"/>
  <c r="U31" i="49" a="1"/>
  <c r="U31" i="49" s="1"/>
  <c r="AF31" i="49" s="1" a="1"/>
  <c r="AF31" i="49" s="1"/>
  <c r="V31" i="49" a="1"/>
  <c r="V31" i="49" s="1"/>
  <c r="AG31" i="49" s="1" a="1"/>
  <c r="AG31" i="49" s="1"/>
  <c r="W31" i="49" a="1"/>
  <c r="W31" i="49" s="1"/>
  <c r="AH31" i="49" s="1" a="1"/>
  <c r="AH31" i="49" s="1"/>
  <c r="X31" i="49" a="1"/>
  <c r="X31" i="49" s="1"/>
  <c r="AI31" i="49" s="1" a="1"/>
  <c r="AI31" i="49" s="1"/>
  <c r="N32" i="49" a="1"/>
  <c r="N32" i="49" s="1"/>
  <c r="O32" i="49" a="1"/>
  <c r="O32" i="49" s="1"/>
  <c r="P32" i="49" a="1"/>
  <c r="P32" i="49" s="1"/>
  <c r="Q32" i="49" a="1"/>
  <c r="Q32" i="49" s="1"/>
  <c r="R32" i="49" a="1"/>
  <c r="R32" i="49" s="1"/>
  <c r="S32" i="49" a="1"/>
  <c r="S32" i="49" s="1"/>
  <c r="AD32" i="49" s="1" a="1"/>
  <c r="AD32" i="49" s="1"/>
  <c r="T32" i="49" a="1"/>
  <c r="T32" i="49" s="1"/>
  <c r="AE32" i="49" s="1" a="1"/>
  <c r="AE32" i="49" s="1"/>
  <c r="U32" i="49" a="1"/>
  <c r="U32" i="49" s="1"/>
  <c r="AF32" i="49" s="1" a="1"/>
  <c r="AF32" i="49" s="1"/>
  <c r="V32" i="49" a="1"/>
  <c r="V32" i="49" s="1"/>
  <c r="AG32" i="49" s="1" a="1"/>
  <c r="AG32" i="49" s="1"/>
  <c r="W32" i="49" a="1"/>
  <c r="W32" i="49" s="1"/>
  <c r="AH32" i="49" s="1" a="1"/>
  <c r="AH32" i="49" s="1"/>
  <c r="X32" i="49" a="1"/>
  <c r="X32" i="49" s="1"/>
  <c r="AI32" i="49" s="1" a="1"/>
  <c r="AI32" i="49" s="1"/>
  <c r="N33" i="49" a="1"/>
  <c r="N33" i="49" s="1"/>
  <c r="O33" i="49" a="1"/>
  <c r="O33" i="49" s="1"/>
  <c r="P33" i="49" a="1"/>
  <c r="P33" i="49" s="1"/>
  <c r="Q33" i="49" a="1"/>
  <c r="Q33" i="49" s="1"/>
  <c r="R33" i="49" a="1"/>
  <c r="R33" i="49" s="1"/>
  <c r="S33" i="49" a="1"/>
  <c r="S33" i="49" s="1"/>
  <c r="AD33" i="49" s="1" a="1"/>
  <c r="AD33" i="49" s="1"/>
  <c r="T33" i="49" a="1"/>
  <c r="T33" i="49" s="1"/>
  <c r="AE33" i="49" s="1" a="1"/>
  <c r="AE33" i="49" s="1"/>
  <c r="U33" i="49" a="1"/>
  <c r="U33" i="49" s="1"/>
  <c r="AF33" i="49" s="1" a="1"/>
  <c r="AF33" i="49" s="1"/>
  <c r="V33" i="49" a="1"/>
  <c r="V33" i="49" s="1"/>
  <c r="AG33" i="49" s="1" a="1"/>
  <c r="AG33" i="49" s="1"/>
  <c r="W33" i="49" a="1"/>
  <c r="W33" i="49" s="1"/>
  <c r="AH33" i="49" s="1" a="1"/>
  <c r="AH33" i="49" s="1"/>
  <c r="X33" i="49" a="1"/>
  <c r="X33" i="49" s="1"/>
  <c r="AI33" i="49" s="1" a="1"/>
  <c r="AI33" i="49" s="1"/>
  <c r="N34" i="49" a="1"/>
  <c r="N34" i="49" s="1"/>
  <c r="O34" i="49" a="1"/>
  <c r="O34" i="49" s="1"/>
  <c r="P34" i="49" a="1"/>
  <c r="P34" i="49" s="1"/>
  <c r="Q34" i="49" a="1"/>
  <c r="Q34" i="49" s="1"/>
  <c r="R34" i="49" a="1"/>
  <c r="R34" i="49" s="1"/>
  <c r="S34" i="49" a="1"/>
  <c r="S34" i="49" s="1"/>
  <c r="AD34" i="49" s="1" a="1"/>
  <c r="AD34" i="49" s="1"/>
  <c r="T34" i="49" a="1"/>
  <c r="T34" i="49" s="1"/>
  <c r="AE34" i="49" s="1" a="1"/>
  <c r="AE34" i="49" s="1"/>
  <c r="U34" i="49" a="1"/>
  <c r="U34" i="49" s="1"/>
  <c r="AF34" i="49" s="1" a="1"/>
  <c r="AF34" i="49" s="1"/>
  <c r="V34" i="49" a="1"/>
  <c r="V34" i="49" s="1"/>
  <c r="AG34" i="49" s="1" a="1"/>
  <c r="AG34" i="49" s="1"/>
  <c r="W34" i="49" a="1"/>
  <c r="W34" i="49" s="1"/>
  <c r="AH34" i="49" s="1" a="1"/>
  <c r="AH34" i="49" s="1"/>
  <c r="X34" i="49" a="1"/>
  <c r="X34" i="49" s="1"/>
  <c r="AI34" i="49" s="1" a="1"/>
  <c r="AI34" i="49" s="1"/>
  <c r="N35" i="49" a="1"/>
  <c r="N35" i="49" s="1"/>
  <c r="O35" i="49" a="1"/>
  <c r="O35" i="49" s="1"/>
  <c r="P35" i="49" a="1"/>
  <c r="P35" i="49" s="1"/>
  <c r="Q35" i="49" a="1"/>
  <c r="Q35" i="49" s="1"/>
  <c r="R35" i="49" a="1"/>
  <c r="R35" i="49" s="1"/>
  <c r="S35" i="49" a="1"/>
  <c r="S35" i="49" s="1"/>
  <c r="AD35" i="49" s="1" a="1"/>
  <c r="AD35" i="49" s="1"/>
  <c r="T35" i="49" a="1"/>
  <c r="T35" i="49" s="1"/>
  <c r="AE35" i="49" s="1" a="1"/>
  <c r="AE35" i="49" s="1"/>
  <c r="U35" i="49" a="1"/>
  <c r="U35" i="49" s="1"/>
  <c r="AF35" i="49" s="1" a="1"/>
  <c r="AF35" i="49" s="1"/>
  <c r="V35" i="49" a="1"/>
  <c r="V35" i="49" s="1"/>
  <c r="AG35" i="49" s="1" a="1"/>
  <c r="AG35" i="49" s="1"/>
  <c r="W35" i="49" a="1"/>
  <c r="W35" i="49" s="1"/>
  <c r="AH35" i="49" s="1" a="1"/>
  <c r="AH35" i="49" s="1"/>
  <c r="X35" i="49" a="1"/>
  <c r="X35" i="49" s="1"/>
  <c r="AI35" i="49" s="1" a="1"/>
  <c r="AI35" i="49" s="1"/>
  <c r="N36" i="49" a="1"/>
  <c r="N36" i="49" s="1"/>
  <c r="O36" i="49" a="1"/>
  <c r="O36" i="49" s="1"/>
  <c r="P36" i="49" a="1"/>
  <c r="P36" i="49" s="1"/>
  <c r="Q36" i="49" a="1"/>
  <c r="Q36" i="49" s="1"/>
  <c r="R36" i="49" a="1"/>
  <c r="R36" i="49" s="1"/>
  <c r="S36" i="49" a="1"/>
  <c r="S36" i="49" s="1"/>
  <c r="AD36" i="49" s="1" a="1"/>
  <c r="AD36" i="49" s="1"/>
  <c r="T36" i="49" a="1"/>
  <c r="T36" i="49" s="1"/>
  <c r="AE36" i="49" s="1" a="1"/>
  <c r="AE36" i="49" s="1"/>
  <c r="U36" i="49" a="1"/>
  <c r="U36" i="49" s="1"/>
  <c r="AF36" i="49" s="1" a="1"/>
  <c r="AF36" i="49" s="1"/>
  <c r="V36" i="49" a="1"/>
  <c r="V36" i="49" s="1"/>
  <c r="AG36" i="49" s="1" a="1"/>
  <c r="AG36" i="49" s="1"/>
  <c r="W36" i="49" a="1"/>
  <c r="W36" i="49" s="1"/>
  <c r="AH36" i="49" s="1" a="1"/>
  <c r="AH36" i="49" s="1"/>
  <c r="X36" i="49" a="1"/>
  <c r="X36" i="49" s="1"/>
  <c r="AI36" i="49" s="1" a="1"/>
  <c r="AI36" i="49" s="1"/>
  <c r="N37" i="49" a="1"/>
  <c r="N37" i="49" s="1"/>
  <c r="O37" i="49" a="1"/>
  <c r="O37" i="49" s="1"/>
  <c r="P37" i="49" a="1"/>
  <c r="P37" i="49" s="1"/>
  <c r="Q37" i="49" a="1"/>
  <c r="Q37" i="49" s="1"/>
  <c r="R37" i="49" a="1"/>
  <c r="R37" i="49" s="1"/>
  <c r="S37" i="49" a="1"/>
  <c r="S37" i="49" s="1"/>
  <c r="AD37" i="49" s="1" a="1"/>
  <c r="AD37" i="49" s="1"/>
  <c r="T37" i="49" a="1"/>
  <c r="T37" i="49" s="1"/>
  <c r="AE37" i="49" s="1" a="1"/>
  <c r="AE37" i="49" s="1"/>
  <c r="U37" i="49" a="1"/>
  <c r="U37" i="49" s="1"/>
  <c r="AF37" i="49" s="1" a="1"/>
  <c r="AF37" i="49" s="1"/>
  <c r="V37" i="49" a="1"/>
  <c r="V37" i="49" s="1"/>
  <c r="AG37" i="49" s="1" a="1"/>
  <c r="AG37" i="49" s="1"/>
  <c r="W37" i="49" a="1"/>
  <c r="W37" i="49" s="1"/>
  <c r="AH37" i="49" s="1" a="1"/>
  <c r="AH37" i="49" s="1"/>
  <c r="X37" i="49" a="1"/>
  <c r="X37" i="49" s="1"/>
  <c r="AI37" i="49" s="1" a="1"/>
  <c r="AI37" i="49" s="1"/>
  <c r="N38" i="49" a="1"/>
  <c r="N38" i="49" s="1"/>
  <c r="O38" i="49" a="1"/>
  <c r="O38" i="49" s="1"/>
  <c r="P38" i="49" a="1"/>
  <c r="P38" i="49" s="1"/>
  <c r="Q38" i="49" a="1"/>
  <c r="Q38" i="49" s="1"/>
  <c r="R38" i="49" a="1"/>
  <c r="R38" i="49" s="1"/>
  <c r="S38" i="49" a="1"/>
  <c r="S38" i="49" s="1"/>
  <c r="AD38" i="49" s="1" a="1"/>
  <c r="AD38" i="49" s="1"/>
  <c r="T38" i="49" a="1"/>
  <c r="T38" i="49" s="1"/>
  <c r="AE38" i="49" s="1" a="1"/>
  <c r="AE38" i="49" s="1"/>
  <c r="U38" i="49" a="1"/>
  <c r="U38" i="49" s="1"/>
  <c r="AF38" i="49" s="1" a="1"/>
  <c r="AF38" i="49" s="1"/>
  <c r="V38" i="49" a="1"/>
  <c r="V38" i="49" s="1"/>
  <c r="AG38" i="49" s="1" a="1"/>
  <c r="AG38" i="49" s="1"/>
  <c r="W38" i="49" a="1"/>
  <c r="W38" i="49" s="1"/>
  <c r="AH38" i="49" s="1" a="1"/>
  <c r="AH38" i="49" s="1"/>
  <c r="X38" i="49" a="1"/>
  <c r="X38" i="49" s="1"/>
  <c r="AI38" i="49" s="1" a="1"/>
  <c r="AI38" i="49" s="1"/>
  <c r="N39" i="49" a="1"/>
  <c r="N39" i="49" s="1"/>
  <c r="O39" i="49" a="1"/>
  <c r="O39" i="49" s="1"/>
  <c r="P39" i="49" a="1"/>
  <c r="P39" i="49" s="1"/>
  <c r="Q39" i="49" a="1"/>
  <c r="Q39" i="49" s="1"/>
  <c r="R39" i="49" a="1"/>
  <c r="R39" i="49" s="1"/>
  <c r="S39" i="49" a="1"/>
  <c r="S39" i="49" s="1"/>
  <c r="AD39" i="49" s="1" a="1"/>
  <c r="AD39" i="49" s="1"/>
  <c r="T39" i="49" a="1"/>
  <c r="T39" i="49" s="1"/>
  <c r="AE39" i="49" s="1" a="1"/>
  <c r="AE39" i="49" s="1"/>
  <c r="U39" i="49" a="1"/>
  <c r="U39" i="49" s="1"/>
  <c r="AF39" i="49" s="1" a="1"/>
  <c r="AF39" i="49" s="1"/>
  <c r="V39" i="49" a="1"/>
  <c r="V39" i="49" s="1"/>
  <c r="AG39" i="49" s="1" a="1"/>
  <c r="AG39" i="49" s="1"/>
  <c r="W39" i="49" a="1"/>
  <c r="W39" i="49" s="1"/>
  <c r="AH39" i="49" s="1" a="1"/>
  <c r="AH39" i="49" s="1"/>
  <c r="X39" i="49" a="1"/>
  <c r="X39" i="49" s="1"/>
  <c r="AI39" i="49" s="1" a="1"/>
  <c r="AI39" i="49" s="1"/>
  <c r="N40" i="49" a="1"/>
  <c r="N40" i="49" s="1"/>
  <c r="O40" i="49" a="1"/>
  <c r="O40" i="49" s="1"/>
  <c r="P40" i="49" a="1"/>
  <c r="P40" i="49" s="1"/>
  <c r="Q40" i="49" a="1"/>
  <c r="Q40" i="49" s="1"/>
  <c r="R40" i="49" a="1"/>
  <c r="R40" i="49" s="1"/>
  <c r="S40" i="49" a="1"/>
  <c r="S40" i="49" s="1"/>
  <c r="AD40" i="49" s="1" a="1"/>
  <c r="AD40" i="49" s="1"/>
  <c r="T40" i="49" a="1"/>
  <c r="T40" i="49" s="1"/>
  <c r="AE40" i="49" s="1" a="1"/>
  <c r="AE40" i="49" s="1"/>
  <c r="U40" i="49" a="1"/>
  <c r="U40" i="49" s="1"/>
  <c r="AF40" i="49" s="1" a="1"/>
  <c r="AF40" i="49" s="1"/>
  <c r="V40" i="49" a="1"/>
  <c r="V40" i="49" s="1"/>
  <c r="AG40" i="49" s="1" a="1"/>
  <c r="AG40" i="49" s="1"/>
  <c r="W40" i="49" a="1"/>
  <c r="W40" i="49" s="1"/>
  <c r="AH40" i="49" s="1" a="1"/>
  <c r="AH40" i="49" s="1"/>
  <c r="X40" i="49" a="1"/>
  <c r="X40" i="49" s="1"/>
  <c r="AI40" i="49" s="1" a="1"/>
  <c r="AI40" i="49" s="1"/>
  <c r="N41" i="49" a="1"/>
  <c r="N41" i="49" s="1"/>
  <c r="O41" i="49" a="1"/>
  <c r="O41" i="49" s="1"/>
  <c r="P41" i="49" a="1"/>
  <c r="P41" i="49" s="1"/>
  <c r="Q41" i="49" a="1"/>
  <c r="Q41" i="49" s="1"/>
  <c r="R41" i="49" a="1"/>
  <c r="R41" i="49" s="1"/>
  <c r="S41" i="49" a="1"/>
  <c r="S41" i="49" s="1"/>
  <c r="AD41" i="49" s="1" a="1"/>
  <c r="AD41" i="49" s="1"/>
  <c r="T41" i="49" a="1"/>
  <c r="T41" i="49" s="1"/>
  <c r="AE41" i="49" s="1" a="1"/>
  <c r="AE41" i="49" s="1"/>
  <c r="U41" i="49" a="1"/>
  <c r="U41" i="49" s="1"/>
  <c r="AF41" i="49" s="1" a="1"/>
  <c r="AF41" i="49" s="1"/>
  <c r="V41" i="49" a="1"/>
  <c r="V41" i="49" s="1"/>
  <c r="AG41" i="49" s="1" a="1"/>
  <c r="AG41" i="49" s="1"/>
  <c r="W41" i="49" a="1"/>
  <c r="W41" i="49" s="1"/>
  <c r="AH41" i="49" s="1" a="1"/>
  <c r="AH41" i="49" s="1"/>
  <c r="X41" i="49" a="1"/>
  <c r="X41" i="49" s="1"/>
  <c r="AI41" i="49" s="1" a="1"/>
  <c r="AI41" i="49" s="1"/>
  <c r="N42" i="49" a="1"/>
  <c r="N42" i="49" s="1"/>
  <c r="O42" i="49" a="1"/>
  <c r="O42" i="49" s="1"/>
  <c r="P42" i="49" a="1"/>
  <c r="P42" i="49" s="1"/>
  <c r="Q42" i="49" a="1"/>
  <c r="Q42" i="49" s="1"/>
  <c r="R42" i="49" a="1"/>
  <c r="R42" i="49" s="1"/>
  <c r="S42" i="49" a="1"/>
  <c r="S42" i="49" s="1"/>
  <c r="T42" i="49" a="1"/>
  <c r="T42" i="49" s="1"/>
  <c r="AE42" i="49" s="1" a="1"/>
  <c r="AE42" i="49" s="1"/>
  <c r="U42" i="49" a="1"/>
  <c r="U42" i="49" s="1"/>
  <c r="AF42" i="49" s="1" a="1"/>
  <c r="AF42" i="49" s="1"/>
  <c r="V42" i="49" a="1"/>
  <c r="V42" i="49" s="1"/>
  <c r="AG42" i="49" s="1" a="1"/>
  <c r="AG42" i="49" s="1"/>
  <c r="W42" i="49" a="1"/>
  <c r="W42" i="49" s="1"/>
  <c r="AH42" i="49" s="1" a="1"/>
  <c r="AH42" i="49" s="1"/>
  <c r="X42" i="49" a="1"/>
  <c r="X42" i="49" s="1"/>
  <c r="AI42" i="49" s="1" a="1"/>
  <c r="AI42" i="49" s="1"/>
  <c r="N43" i="49" a="1"/>
  <c r="N43" i="49" s="1"/>
  <c r="O43" i="49" a="1"/>
  <c r="O43" i="49" s="1"/>
  <c r="P43" i="49" a="1"/>
  <c r="P43" i="49" s="1"/>
  <c r="Q43" i="49" a="1"/>
  <c r="Q43" i="49" s="1"/>
  <c r="R43" i="49" a="1"/>
  <c r="R43" i="49" s="1"/>
  <c r="S43" i="49" a="1"/>
  <c r="S43" i="49" s="1"/>
  <c r="AD43" i="49" s="1" a="1"/>
  <c r="AD43" i="49" s="1"/>
  <c r="T43" i="49" a="1"/>
  <c r="T43" i="49" s="1"/>
  <c r="AE43" i="49" s="1" a="1"/>
  <c r="AE43" i="49" s="1"/>
  <c r="U43" i="49" a="1"/>
  <c r="U43" i="49" s="1"/>
  <c r="AF43" i="49" s="1" a="1"/>
  <c r="AF43" i="49" s="1"/>
  <c r="V43" i="49" a="1"/>
  <c r="V43" i="49" s="1"/>
  <c r="AG43" i="49" s="1" a="1"/>
  <c r="AG43" i="49" s="1"/>
  <c r="W43" i="49" a="1"/>
  <c r="W43" i="49" s="1"/>
  <c r="AH43" i="49" s="1" a="1"/>
  <c r="AH43" i="49" s="1"/>
  <c r="X43" i="49" a="1"/>
  <c r="X43" i="49" s="1"/>
  <c r="AI43" i="49" s="1" a="1"/>
  <c r="AI43" i="49" s="1"/>
  <c r="N44" i="49" a="1"/>
  <c r="N44" i="49" s="1"/>
  <c r="O44" i="49" a="1"/>
  <c r="O44" i="49" s="1"/>
  <c r="P44" i="49" a="1"/>
  <c r="P44" i="49" s="1"/>
  <c r="Q44" i="49" a="1"/>
  <c r="Q44" i="49" s="1"/>
  <c r="R44" i="49" a="1"/>
  <c r="R44" i="49" s="1"/>
  <c r="S44" i="49" a="1"/>
  <c r="S44" i="49" s="1"/>
  <c r="AD44" i="49" s="1" a="1"/>
  <c r="AD44" i="49" s="1"/>
  <c r="T44" i="49" a="1"/>
  <c r="T44" i="49" s="1"/>
  <c r="AE44" i="49" s="1" a="1"/>
  <c r="AE44" i="49" s="1"/>
  <c r="U44" i="49" a="1"/>
  <c r="U44" i="49" s="1"/>
  <c r="AF44" i="49" s="1" a="1"/>
  <c r="AF44" i="49" s="1"/>
  <c r="V44" i="49" a="1"/>
  <c r="V44" i="49" s="1"/>
  <c r="AG44" i="49" s="1" a="1"/>
  <c r="AG44" i="49" s="1"/>
  <c r="W44" i="49" a="1"/>
  <c r="W44" i="49" s="1"/>
  <c r="AH44" i="49" s="1" a="1"/>
  <c r="AH44" i="49" s="1"/>
  <c r="X44" i="49" a="1"/>
  <c r="X44" i="49" s="1"/>
  <c r="AI44" i="49" s="1" a="1"/>
  <c r="AI44" i="49" s="1"/>
  <c r="N45" i="49" a="1"/>
  <c r="N45" i="49" s="1"/>
  <c r="O45" i="49" a="1"/>
  <c r="O45" i="49" s="1"/>
  <c r="P45" i="49" a="1"/>
  <c r="P45" i="49" s="1"/>
  <c r="Q45" i="49" a="1"/>
  <c r="Q45" i="49" s="1"/>
  <c r="R45" i="49" a="1"/>
  <c r="R45" i="49" s="1"/>
  <c r="S45" i="49" a="1"/>
  <c r="S45" i="49" s="1"/>
  <c r="AD45" i="49" s="1" a="1"/>
  <c r="AD45" i="49" s="1"/>
  <c r="T45" i="49" a="1"/>
  <c r="T45" i="49" s="1"/>
  <c r="AE45" i="49" s="1" a="1"/>
  <c r="AE45" i="49" s="1"/>
  <c r="U45" i="49" a="1"/>
  <c r="U45" i="49" s="1"/>
  <c r="AF45" i="49" s="1" a="1"/>
  <c r="AF45" i="49" s="1"/>
  <c r="V45" i="49" a="1"/>
  <c r="V45" i="49" s="1"/>
  <c r="AG45" i="49" s="1" a="1"/>
  <c r="AG45" i="49" s="1"/>
  <c r="W45" i="49" a="1"/>
  <c r="W45" i="49" s="1"/>
  <c r="AH45" i="49" s="1" a="1"/>
  <c r="AH45" i="49" s="1"/>
  <c r="X45" i="49" a="1"/>
  <c r="X45" i="49" s="1"/>
  <c r="AI45" i="49" s="1" a="1"/>
  <c r="AI45" i="49" s="1"/>
  <c r="N46" i="49" a="1"/>
  <c r="N46" i="49" s="1"/>
  <c r="O46" i="49" a="1"/>
  <c r="O46" i="49" s="1"/>
  <c r="P46" i="49" a="1"/>
  <c r="P46" i="49" s="1"/>
  <c r="Q46" i="49" a="1"/>
  <c r="Q46" i="49" s="1"/>
  <c r="R46" i="49" a="1"/>
  <c r="R46" i="49" s="1"/>
  <c r="S46" i="49" a="1"/>
  <c r="S46" i="49" s="1"/>
  <c r="AD46" i="49" s="1" a="1"/>
  <c r="AD46" i="49" s="1"/>
  <c r="T46" i="49" a="1"/>
  <c r="T46" i="49" s="1"/>
  <c r="AE46" i="49" s="1" a="1"/>
  <c r="AE46" i="49" s="1"/>
  <c r="U46" i="49" a="1"/>
  <c r="U46" i="49" s="1"/>
  <c r="AF46" i="49" s="1" a="1"/>
  <c r="AF46" i="49" s="1"/>
  <c r="V46" i="49" a="1"/>
  <c r="V46" i="49" s="1"/>
  <c r="AG46" i="49" s="1" a="1"/>
  <c r="AG46" i="49" s="1"/>
  <c r="W46" i="49" a="1"/>
  <c r="W46" i="49" s="1"/>
  <c r="AH46" i="49" s="1" a="1"/>
  <c r="AH46" i="49" s="1"/>
  <c r="X46" i="49" a="1"/>
  <c r="X46" i="49" s="1"/>
  <c r="AI46" i="49" s="1" a="1"/>
  <c r="AI46" i="49" s="1"/>
  <c r="N14" i="48" a="1"/>
  <c r="N14" i="48" s="1"/>
  <c r="O14" i="48" a="1"/>
  <c r="O14" i="48" s="1"/>
  <c r="P14" i="48" a="1"/>
  <c r="P14" i="48" s="1"/>
  <c r="Q14" i="48" a="1"/>
  <c r="Q14" i="48" s="1"/>
  <c r="R14" i="48" a="1"/>
  <c r="R14" i="48" s="1"/>
  <c r="S14" i="48" a="1"/>
  <c r="S14" i="48" s="1"/>
  <c r="AD14" i="48" s="1" a="1"/>
  <c r="AD14" i="48" s="1"/>
  <c r="T14" i="48" a="1"/>
  <c r="T14" i="48" s="1"/>
  <c r="AE14" i="48" s="1" a="1"/>
  <c r="AE14" i="48" s="1"/>
  <c r="U14" i="48" a="1"/>
  <c r="U14" i="48" s="1"/>
  <c r="AF14" i="48" s="1" a="1"/>
  <c r="AF14" i="48" s="1"/>
  <c r="V14" i="48" a="1"/>
  <c r="V14" i="48" s="1"/>
  <c r="AG14" i="48" s="1" a="1"/>
  <c r="AG14" i="48" s="1"/>
  <c r="W14" i="48" a="1"/>
  <c r="W14" i="48" s="1"/>
  <c r="AH14" i="48" s="1" a="1"/>
  <c r="AH14" i="48" s="1"/>
  <c r="X14" i="48" a="1"/>
  <c r="X14" i="48" s="1"/>
  <c r="AI14" i="48" s="1" a="1"/>
  <c r="AI14" i="48" s="1"/>
  <c r="N15" i="48" a="1"/>
  <c r="N15" i="48" s="1"/>
  <c r="O15" i="48" a="1"/>
  <c r="O15" i="48" s="1"/>
  <c r="P15" i="48" a="1"/>
  <c r="P15" i="48" s="1"/>
  <c r="Q15" i="48" a="1"/>
  <c r="Q15" i="48" s="1"/>
  <c r="R15" i="48" a="1"/>
  <c r="R15" i="48" s="1"/>
  <c r="S15" i="48" a="1"/>
  <c r="S15" i="48" s="1"/>
  <c r="AD15" i="48" s="1" a="1"/>
  <c r="AD15" i="48" s="1"/>
  <c r="T15" i="48" a="1"/>
  <c r="T15" i="48" s="1"/>
  <c r="AE15" i="48" s="1" a="1"/>
  <c r="AE15" i="48" s="1"/>
  <c r="U15" i="48" a="1"/>
  <c r="U15" i="48" s="1"/>
  <c r="AF15" i="48" s="1" a="1"/>
  <c r="AF15" i="48" s="1"/>
  <c r="V15" i="48" a="1"/>
  <c r="V15" i="48" s="1"/>
  <c r="AG15" i="48" s="1" a="1"/>
  <c r="AG15" i="48" s="1"/>
  <c r="W15" i="48" a="1"/>
  <c r="W15" i="48" s="1"/>
  <c r="AH15" i="48" s="1" a="1"/>
  <c r="AH15" i="48" s="1"/>
  <c r="X15" i="48" a="1"/>
  <c r="X15" i="48" s="1"/>
  <c r="AI15" i="48" s="1" a="1"/>
  <c r="AI15" i="48" s="1"/>
  <c r="N16" i="48" a="1"/>
  <c r="N16" i="48" s="1"/>
  <c r="O16" i="48" a="1"/>
  <c r="O16" i="48" s="1"/>
  <c r="P16" i="48" a="1"/>
  <c r="P16" i="48" s="1"/>
  <c r="Q16" i="48" a="1"/>
  <c r="Q16" i="48" s="1"/>
  <c r="R16" i="48" a="1"/>
  <c r="R16" i="48" s="1"/>
  <c r="S16" i="48" a="1"/>
  <c r="S16" i="48" s="1"/>
  <c r="AD16" i="48" s="1" a="1"/>
  <c r="AD16" i="48" s="1"/>
  <c r="T16" i="48" a="1"/>
  <c r="T16" i="48" s="1"/>
  <c r="AE16" i="48" s="1" a="1"/>
  <c r="AE16" i="48" s="1"/>
  <c r="U16" i="48" a="1"/>
  <c r="U16" i="48" s="1"/>
  <c r="AF16" i="48" s="1" a="1"/>
  <c r="AF16" i="48" s="1"/>
  <c r="V16" i="48" a="1"/>
  <c r="V16" i="48" s="1"/>
  <c r="AG16" i="48" s="1" a="1"/>
  <c r="AG16" i="48" s="1"/>
  <c r="W16" i="48" a="1"/>
  <c r="W16" i="48" s="1"/>
  <c r="AH16" i="48" s="1" a="1"/>
  <c r="AH16" i="48" s="1"/>
  <c r="X16" i="48" a="1"/>
  <c r="X16" i="48" s="1"/>
  <c r="AI16" i="48" s="1" a="1"/>
  <c r="AI16" i="48" s="1"/>
  <c r="N17" i="48" a="1"/>
  <c r="N17" i="48" s="1"/>
  <c r="O17" i="48" a="1"/>
  <c r="O17" i="48" s="1"/>
  <c r="P17" i="48" a="1"/>
  <c r="P17" i="48" s="1"/>
  <c r="Q17" i="48" a="1"/>
  <c r="Q17" i="48" s="1"/>
  <c r="R17" i="48" a="1"/>
  <c r="R17" i="48" s="1"/>
  <c r="S17" i="48" a="1"/>
  <c r="S17" i="48" s="1"/>
  <c r="AD17" i="48" s="1" a="1"/>
  <c r="AD17" i="48" s="1"/>
  <c r="T17" i="48" a="1"/>
  <c r="T17" i="48" s="1"/>
  <c r="AE17" i="48" s="1" a="1"/>
  <c r="AE17" i="48" s="1"/>
  <c r="U17" i="48" a="1"/>
  <c r="U17" i="48" s="1"/>
  <c r="AF17" i="48" s="1" a="1"/>
  <c r="AF17" i="48" s="1"/>
  <c r="V17" i="48" a="1"/>
  <c r="V17" i="48" s="1"/>
  <c r="AG17" i="48" s="1" a="1"/>
  <c r="AG17" i="48" s="1"/>
  <c r="W17" i="48" a="1"/>
  <c r="W17" i="48" s="1"/>
  <c r="AH17" i="48" s="1" a="1"/>
  <c r="AH17" i="48" s="1"/>
  <c r="X17" i="48" a="1"/>
  <c r="X17" i="48" s="1"/>
  <c r="AI17" i="48" s="1" a="1"/>
  <c r="AI17" i="48" s="1"/>
  <c r="N18" i="48" a="1"/>
  <c r="N18" i="48" s="1"/>
  <c r="O18" i="48" a="1"/>
  <c r="O18" i="48" s="1"/>
  <c r="P18" i="48" a="1"/>
  <c r="P18" i="48" s="1"/>
  <c r="Q18" i="48" a="1"/>
  <c r="Q18" i="48" s="1"/>
  <c r="R18" i="48" a="1"/>
  <c r="R18" i="48" s="1"/>
  <c r="S18" i="48" a="1"/>
  <c r="S18" i="48" s="1"/>
  <c r="AD18" i="48" s="1" a="1"/>
  <c r="AD18" i="48" s="1"/>
  <c r="T18" i="48" a="1"/>
  <c r="T18" i="48" s="1"/>
  <c r="AE18" i="48" s="1" a="1"/>
  <c r="AE18" i="48" s="1"/>
  <c r="U18" i="48" a="1"/>
  <c r="U18" i="48" s="1"/>
  <c r="AF18" i="48" s="1" a="1"/>
  <c r="AF18" i="48" s="1"/>
  <c r="V18" i="48" a="1"/>
  <c r="V18" i="48" s="1"/>
  <c r="AG18" i="48" s="1" a="1"/>
  <c r="AG18" i="48" s="1"/>
  <c r="W18" i="48" a="1"/>
  <c r="W18" i="48" s="1"/>
  <c r="AH18" i="48" s="1" a="1"/>
  <c r="AH18" i="48" s="1"/>
  <c r="X18" i="48" a="1"/>
  <c r="X18" i="48" s="1"/>
  <c r="AI18" i="48" s="1" a="1"/>
  <c r="AI18" i="48" s="1"/>
  <c r="N19" i="48" a="1"/>
  <c r="N19" i="48" s="1"/>
  <c r="O19" i="48" a="1"/>
  <c r="O19" i="48" s="1"/>
  <c r="P19" i="48" a="1"/>
  <c r="P19" i="48" s="1"/>
  <c r="Q19" i="48" a="1"/>
  <c r="Q19" i="48" s="1"/>
  <c r="R19" i="48" a="1"/>
  <c r="R19" i="48" s="1"/>
  <c r="S19" i="48" a="1"/>
  <c r="S19" i="48" s="1"/>
  <c r="AD19" i="48" s="1" a="1"/>
  <c r="AD19" i="48" s="1"/>
  <c r="T19" i="48" a="1"/>
  <c r="T19" i="48" s="1"/>
  <c r="AE19" i="48" s="1" a="1"/>
  <c r="AE19" i="48" s="1"/>
  <c r="U19" i="48" a="1"/>
  <c r="U19" i="48" s="1"/>
  <c r="AF19" i="48" s="1" a="1"/>
  <c r="AF19" i="48" s="1"/>
  <c r="V19" i="48" a="1"/>
  <c r="V19" i="48" s="1"/>
  <c r="AG19" i="48" s="1" a="1"/>
  <c r="AG19" i="48" s="1"/>
  <c r="W19" i="48" a="1"/>
  <c r="W19" i="48" s="1"/>
  <c r="AH19" i="48" s="1" a="1"/>
  <c r="AH19" i="48" s="1"/>
  <c r="X19" i="48" a="1"/>
  <c r="X19" i="48" s="1"/>
  <c r="AI19" i="48" s="1" a="1"/>
  <c r="AI19" i="48" s="1"/>
  <c r="N20" i="48" a="1"/>
  <c r="N20" i="48" s="1"/>
  <c r="O20" i="48" a="1"/>
  <c r="O20" i="48" s="1"/>
  <c r="P20" i="48" a="1"/>
  <c r="P20" i="48" s="1"/>
  <c r="Q20" i="48" a="1"/>
  <c r="Q20" i="48" s="1"/>
  <c r="R20" i="48" a="1"/>
  <c r="R20" i="48" s="1"/>
  <c r="S20" i="48" a="1"/>
  <c r="S20" i="48" s="1"/>
  <c r="AD20" i="48" s="1" a="1"/>
  <c r="AD20" i="48" s="1"/>
  <c r="T20" i="48" a="1"/>
  <c r="T20" i="48" s="1"/>
  <c r="AE20" i="48" s="1" a="1"/>
  <c r="AE20" i="48" s="1"/>
  <c r="U20" i="48" a="1"/>
  <c r="U20" i="48" s="1"/>
  <c r="AF20" i="48" s="1" a="1"/>
  <c r="AF20" i="48" s="1"/>
  <c r="V20" i="48" a="1"/>
  <c r="V20" i="48" s="1"/>
  <c r="AG20" i="48" s="1" a="1"/>
  <c r="AG20" i="48" s="1"/>
  <c r="W20" i="48" a="1"/>
  <c r="W20" i="48" s="1"/>
  <c r="AH20" i="48" s="1" a="1"/>
  <c r="AH20" i="48" s="1"/>
  <c r="X20" i="48" a="1"/>
  <c r="X20" i="48" s="1"/>
  <c r="AI20" i="48" s="1" a="1"/>
  <c r="AI20" i="48" s="1"/>
  <c r="N21" i="48" a="1"/>
  <c r="N21" i="48" s="1"/>
  <c r="O21" i="48" a="1"/>
  <c r="O21" i="48" s="1"/>
  <c r="P21" i="48" a="1"/>
  <c r="P21" i="48" s="1"/>
  <c r="Q21" i="48" a="1"/>
  <c r="Q21" i="48" s="1"/>
  <c r="R21" i="48" a="1"/>
  <c r="R21" i="48" s="1"/>
  <c r="S21" i="48" a="1"/>
  <c r="S21" i="48" s="1"/>
  <c r="AD21" i="48" s="1" a="1"/>
  <c r="AD21" i="48" s="1"/>
  <c r="T21" i="48" a="1"/>
  <c r="T21" i="48" s="1"/>
  <c r="AE21" i="48" s="1" a="1"/>
  <c r="AE21" i="48" s="1"/>
  <c r="U21" i="48" a="1"/>
  <c r="U21" i="48" s="1"/>
  <c r="AF21" i="48" s="1" a="1"/>
  <c r="AF21" i="48" s="1"/>
  <c r="V21" i="48" a="1"/>
  <c r="V21" i="48" s="1"/>
  <c r="AG21" i="48" s="1" a="1"/>
  <c r="AG21" i="48" s="1"/>
  <c r="W21" i="48" a="1"/>
  <c r="W21" i="48" s="1"/>
  <c r="AH21" i="48" s="1" a="1"/>
  <c r="AH21" i="48" s="1"/>
  <c r="X21" i="48" a="1"/>
  <c r="X21" i="48" s="1"/>
  <c r="AI21" i="48" s="1" a="1"/>
  <c r="AI21" i="48" s="1"/>
  <c r="N22" i="48" a="1"/>
  <c r="N22" i="48" s="1"/>
  <c r="O22" i="48" a="1"/>
  <c r="O22" i="48" s="1"/>
  <c r="P22" i="48" a="1"/>
  <c r="P22" i="48" s="1"/>
  <c r="Q22" i="48" a="1"/>
  <c r="Q22" i="48" s="1"/>
  <c r="R22" i="48" a="1"/>
  <c r="R22" i="48" s="1"/>
  <c r="S22" i="48" a="1"/>
  <c r="S22" i="48" s="1"/>
  <c r="AD22" i="48" s="1" a="1"/>
  <c r="AD22" i="48" s="1"/>
  <c r="T22" i="48" a="1"/>
  <c r="T22" i="48" s="1"/>
  <c r="AE22" i="48" s="1" a="1"/>
  <c r="AE22" i="48" s="1"/>
  <c r="U22" i="48" a="1"/>
  <c r="U22" i="48" s="1"/>
  <c r="AF22" i="48" s="1" a="1"/>
  <c r="AF22" i="48" s="1"/>
  <c r="V22" i="48" a="1"/>
  <c r="V22" i="48" s="1"/>
  <c r="AG22" i="48" s="1" a="1"/>
  <c r="AG22" i="48" s="1"/>
  <c r="W22" i="48" a="1"/>
  <c r="W22" i="48" s="1"/>
  <c r="AH22" i="48" s="1" a="1"/>
  <c r="AH22" i="48" s="1"/>
  <c r="X22" i="48" a="1"/>
  <c r="X22" i="48" s="1"/>
  <c r="AI22" i="48" s="1" a="1"/>
  <c r="AI22" i="48" s="1"/>
  <c r="N23" i="48" a="1"/>
  <c r="N23" i="48" s="1"/>
  <c r="O23" i="48" a="1"/>
  <c r="O23" i="48" s="1"/>
  <c r="P23" i="48" a="1"/>
  <c r="P23" i="48" s="1"/>
  <c r="Q23" i="48" a="1"/>
  <c r="Q23" i="48" s="1"/>
  <c r="R23" i="48" a="1"/>
  <c r="R23" i="48" s="1"/>
  <c r="S23" i="48" a="1"/>
  <c r="S23" i="48" s="1"/>
  <c r="AD23" i="48" s="1" a="1"/>
  <c r="AD23" i="48" s="1"/>
  <c r="T23" i="48" a="1"/>
  <c r="T23" i="48" s="1"/>
  <c r="AE23" i="48" s="1" a="1"/>
  <c r="AE23" i="48" s="1"/>
  <c r="U23" i="48" a="1"/>
  <c r="U23" i="48" s="1"/>
  <c r="AF23" i="48" s="1" a="1"/>
  <c r="AF23" i="48" s="1"/>
  <c r="V23" i="48" a="1"/>
  <c r="V23" i="48" s="1"/>
  <c r="AG23" i="48" s="1" a="1"/>
  <c r="AG23" i="48" s="1"/>
  <c r="W23" i="48" a="1"/>
  <c r="W23" i="48" s="1"/>
  <c r="AH23" i="48" s="1" a="1"/>
  <c r="AH23" i="48" s="1"/>
  <c r="X23" i="48" a="1"/>
  <c r="X23" i="48" s="1"/>
  <c r="AI23" i="48" s="1" a="1"/>
  <c r="AI23" i="48" s="1"/>
  <c r="N24" i="48" a="1"/>
  <c r="N24" i="48" s="1"/>
  <c r="O24" i="48" a="1"/>
  <c r="O24" i="48" s="1"/>
  <c r="P24" i="48" a="1"/>
  <c r="P24" i="48" s="1"/>
  <c r="Q24" i="48" a="1"/>
  <c r="Q24" i="48" s="1"/>
  <c r="R24" i="48" a="1"/>
  <c r="R24" i="48" s="1"/>
  <c r="S24" i="48" a="1"/>
  <c r="S24" i="48" s="1"/>
  <c r="AD24" i="48" s="1" a="1"/>
  <c r="AD24" i="48" s="1"/>
  <c r="T24" i="48" a="1"/>
  <c r="T24" i="48" s="1"/>
  <c r="AE24" i="48" s="1" a="1"/>
  <c r="AE24" i="48" s="1"/>
  <c r="U24" i="48" a="1"/>
  <c r="U24" i="48" s="1"/>
  <c r="AF24" i="48" s="1" a="1"/>
  <c r="AF24" i="48" s="1"/>
  <c r="V24" i="48" a="1"/>
  <c r="V24" i="48" s="1"/>
  <c r="AG24" i="48" s="1" a="1"/>
  <c r="AG24" i="48" s="1"/>
  <c r="W24" i="48" a="1"/>
  <c r="W24" i="48" s="1"/>
  <c r="AH24" i="48" s="1" a="1"/>
  <c r="AH24" i="48" s="1"/>
  <c r="X24" i="48" a="1"/>
  <c r="X24" i="48" s="1"/>
  <c r="AI24" i="48" s="1" a="1"/>
  <c r="AI24" i="48" s="1"/>
  <c r="N25" i="48" a="1"/>
  <c r="N25" i="48" s="1"/>
  <c r="O25" i="48" a="1"/>
  <c r="O25" i="48" s="1"/>
  <c r="P25" i="48" a="1"/>
  <c r="P25" i="48" s="1"/>
  <c r="Q25" i="48" a="1"/>
  <c r="Q25" i="48" s="1"/>
  <c r="R25" i="48" a="1"/>
  <c r="R25" i="48" s="1"/>
  <c r="S25" i="48" a="1"/>
  <c r="S25" i="48" s="1"/>
  <c r="AD25" i="48" s="1" a="1"/>
  <c r="AD25" i="48" s="1"/>
  <c r="T25" i="48" a="1"/>
  <c r="T25" i="48" s="1"/>
  <c r="AE25" i="48" s="1" a="1"/>
  <c r="AE25" i="48" s="1"/>
  <c r="U25" i="48" a="1"/>
  <c r="U25" i="48" s="1"/>
  <c r="AF25" i="48" s="1" a="1"/>
  <c r="AF25" i="48" s="1"/>
  <c r="V25" i="48" a="1"/>
  <c r="V25" i="48" s="1"/>
  <c r="AG25" i="48" s="1" a="1"/>
  <c r="AG25" i="48" s="1"/>
  <c r="W25" i="48" a="1"/>
  <c r="W25" i="48" s="1"/>
  <c r="AH25" i="48" s="1" a="1"/>
  <c r="AH25" i="48" s="1"/>
  <c r="X25" i="48" a="1"/>
  <c r="X25" i="48" s="1"/>
  <c r="AI25" i="48" s="1" a="1"/>
  <c r="AI25" i="48" s="1"/>
  <c r="N26" i="48" a="1"/>
  <c r="N26" i="48" s="1"/>
  <c r="O26" i="48" a="1"/>
  <c r="O26" i="48" s="1"/>
  <c r="P26" i="48" a="1"/>
  <c r="P26" i="48" s="1"/>
  <c r="Q26" i="48" a="1"/>
  <c r="Q26" i="48" s="1"/>
  <c r="R26" i="48" a="1"/>
  <c r="R26" i="48" s="1"/>
  <c r="S26" i="48" a="1"/>
  <c r="S26" i="48" s="1"/>
  <c r="AD26" i="48" s="1" a="1"/>
  <c r="AD26" i="48" s="1"/>
  <c r="T26" i="48" a="1"/>
  <c r="T26" i="48" s="1"/>
  <c r="AE26" i="48" s="1" a="1"/>
  <c r="AE26" i="48" s="1"/>
  <c r="U26" i="48" a="1"/>
  <c r="U26" i="48" s="1"/>
  <c r="AF26" i="48" s="1" a="1"/>
  <c r="AF26" i="48" s="1"/>
  <c r="V26" i="48" a="1"/>
  <c r="V26" i="48" s="1"/>
  <c r="AG26" i="48" s="1" a="1"/>
  <c r="AG26" i="48" s="1"/>
  <c r="W26" i="48" a="1"/>
  <c r="W26" i="48" s="1"/>
  <c r="AH26" i="48" s="1" a="1"/>
  <c r="AH26" i="48" s="1"/>
  <c r="X26" i="48" a="1"/>
  <c r="X26" i="48" s="1"/>
  <c r="AI26" i="48" s="1" a="1"/>
  <c r="AI26" i="48" s="1"/>
  <c r="N27" i="48" a="1"/>
  <c r="N27" i="48" s="1"/>
  <c r="O27" i="48" a="1"/>
  <c r="O27" i="48" s="1"/>
  <c r="P27" i="48" a="1"/>
  <c r="P27" i="48" s="1"/>
  <c r="Q27" i="48" a="1"/>
  <c r="Q27" i="48" s="1"/>
  <c r="R27" i="48" a="1"/>
  <c r="R27" i="48" s="1"/>
  <c r="S27" i="48" a="1"/>
  <c r="S27" i="48" s="1"/>
  <c r="AD27" i="48" s="1" a="1"/>
  <c r="AD27" i="48" s="1"/>
  <c r="T27" i="48" a="1"/>
  <c r="T27" i="48" s="1"/>
  <c r="AE27" i="48" s="1" a="1"/>
  <c r="AE27" i="48" s="1"/>
  <c r="U27" i="48" a="1"/>
  <c r="U27" i="48" s="1"/>
  <c r="AF27" i="48" s="1" a="1"/>
  <c r="AF27" i="48" s="1"/>
  <c r="V27" i="48" a="1"/>
  <c r="V27" i="48" s="1"/>
  <c r="AG27" i="48" s="1" a="1"/>
  <c r="AG27" i="48" s="1"/>
  <c r="W27" i="48" a="1"/>
  <c r="W27" i="48" s="1"/>
  <c r="AH27" i="48" s="1" a="1"/>
  <c r="AH27" i="48" s="1"/>
  <c r="X27" i="48" a="1"/>
  <c r="X27" i="48" s="1"/>
  <c r="AI27" i="48" s="1" a="1"/>
  <c r="AI27" i="48" s="1"/>
  <c r="N28" i="48" a="1"/>
  <c r="N28" i="48" s="1"/>
  <c r="O28" i="48" a="1"/>
  <c r="O28" i="48" s="1"/>
  <c r="P28" i="48" a="1"/>
  <c r="P28" i="48" s="1"/>
  <c r="Q28" i="48" a="1"/>
  <c r="Q28" i="48" s="1"/>
  <c r="R28" i="48" a="1"/>
  <c r="R28" i="48" s="1"/>
  <c r="S28" i="48" a="1"/>
  <c r="S28" i="48" s="1"/>
  <c r="AD28" i="48" s="1" a="1"/>
  <c r="AD28" i="48" s="1"/>
  <c r="T28" i="48" a="1"/>
  <c r="T28" i="48" s="1"/>
  <c r="AE28" i="48" s="1" a="1"/>
  <c r="AE28" i="48" s="1"/>
  <c r="U28" i="48" a="1"/>
  <c r="U28" i="48" s="1"/>
  <c r="AF28" i="48" s="1" a="1"/>
  <c r="AF28" i="48" s="1"/>
  <c r="V28" i="48" a="1"/>
  <c r="V28" i="48" s="1"/>
  <c r="AG28" i="48" s="1" a="1"/>
  <c r="AG28" i="48" s="1"/>
  <c r="W28" i="48" a="1"/>
  <c r="W28" i="48" s="1"/>
  <c r="AH28" i="48" s="1" a="1"/>
  <c r="AH28" i="48" s="1"/>
  <c r="X28" i="48" a="1"/>
  <c r="X28" i="48" s="1"/>
  <c r="AI28" i="48" s="1" a="1"/>
  <c r="AI28" i="48" s="1"/>
  <c r="N29" i="48" a="1"/>
  <c r="N29" i="48" s="1"/>
  <c r="O29" i="48" a="1"/>
  <c r="O29" i="48" s="1"/>
  <c r="P29" i="48" a="1"/>
  <c r="P29" i="48" s="1"/>
  <c r="Q29" i="48" a="1"/>
  <c r="Q29" i="48" s="1"/>
  <c r="R29" i="48" a="1"/>
  <c r="R29" i="48" s="1"/>
  <c r="S29" i="48" a="1"/>
  <c r="S29" i="48" s="1"/>
  <c r="AD29" i="48" s="1" a="1"/>
  <c r="AD29" i="48" s="1"/>
  <c r="T29" i="48" a="1"/>
  <c r="T29" i="48" s="1"/>
  <c r="AE29" i="48" s="1" a="1"/>
  <c r="AE29" i="48" s="1"/>
  <c r="U29" i="48" a="1"/>
  <c r="U29" i="48" s="1"/>
  <c r="AF29" i="48" s="1" a="1"/>
  <c r="AF29" i="48" s="1"/>
  <c r="V29" i="48" a="1"/>
  <c r="V29" i="48" s="1"/>
  <c r="AG29" i="48" s="1" a="1"/>
  <c r="AG29" i="48" s="1"/>
  <c r="W29" i="48" a="1"/>
  <c r="W29" i="48" s="1"/>
  <c r="AH29" i="48" s="1" a="1"/>
  <c r="AH29" i="48" s="1"/>
  <c r="X29" i="48" a="1"/>
  <c r="X29" i="48" s="1"/>
  <c r="AI29" i="48" s="1" a="1"/>
  <c r="AI29" i="48" s="1"/>
  <c r="N30" i="48" a="1"/>
  <c r="N30" i="48" s="1"/>
  <c r="O30" i="48" a="1"/>
  <c r="O30" i="48" s="1"/>
  <c r="P30" i="48" a="1"/>
  <c r="P30" i="48" s="1"/>
  <c r="Q30" i="48" a="1"/>
  <c r="Q30" i="48" s="1"/>
  <c r="R30" i="48" a="1"/>
  <c r="R30" i="48" s="1"/>
  <c r="S30" i="48" a="1"/>
  <c r="S30" i="48" s="1"/>
  <c r="AD30" i="48" s="1" a="1"/>
  <c r="AD30" i="48" s="1"/>
  <c r="T30" i="48" a="1"/>
  <c r="T30" i="48" s="1"/>
  <c r="AE30" i="48" s="1" a="1"/>
  <c r="AE30" i="48" s="1"/>
  <c r="U30" i="48" a="1"/>
  <c r="U30" i="48" s="1"/>
  <c r="AF30" i="48" s="1" a="1"/>
  <c r="AF30" i="48" s="1"/>
  <c r="V30" i="48" a="1"/>
  <c r="V30" i="48" s="1"/>
  <c r="AG30" i="48" s="1" a="1"/>
  <c r="AG30" i="48" s="1"/>
  <c r="W30" i="48" a="1"/>
  <c r="W30" i="48" s="1"/>
  <c r="AH30" i="48" s="1" a="1"/>
  <c r="AH30" i="48" s="1"/>
  <c r="X30" i="48" a="1"/>
  <c r="X30" i="48" s="1"/>
  <c r="AI30" i="48" s="1" a="1"/>
  <c r="AI30" i="48" s="1"/>
  <c r="N31" i="48" a="1"/>
  <c r="N31" i="48" s="1"/>
  <c r="O31" i="48" a="1"/>
  <c r="O31" i="48" s="1"/>
  <c r="P31" i="48" a="1"/>
  <c r="P31" i="48" s="1"/>
  <c r="Q31" i="48" a="1"/>
  <c r="Q31" i="48" s="1"/>
  <c r="R31" i="48" a="1"/>
  <c r="R31" i="48" s="1"/>
  <c r="S31" i="48" a="1"/>
  <c r="S31" i="48" s="1"/>
  <c r="AD31" i="48" s="1" a="1"/>
  <c r="AD31" i="48" s="1"/>
  <c r="T31" i="48" a="1"/>
  <c r="T31" i="48" s="1"/>
  <c r="AE31" i="48" s="1" a="1"/>
  <c r="AE31" i="48" s="1"/>
  <c r="U31" i="48" a="1"/>
  <c r="U31" i="48" s="1"/>
  <c r="AF31" i="48" s="1" a="1"/>
  <c r="AF31" i="48" s="1"/>
  <c r="V31" i="48" a="1"/>
  <c r="V31" i="48" s="1"/>
  <c r="AG31" i="48" s="1" a="1"/>
  <c r="AG31" i="48" s="1"/>
  <c r="W31" i="48" a="1"/>
  <c r="W31" i="48" s="1"/>
  <c r="AH31" i="48" s="1" a="1"/>
  <c r="AH31" i="48" s="1"/>
  <c r="X31" i="48" a="1"/>
  <c r="X31" i="48" s="1"/>
  <c r="AI31" i="48" s="1" a="1"/>
  <c r="AI31" i="48" s="1"/>
  <c r="N32" i="48" a="1"/>
  <c r="N32" i="48" s="1"/>
  <c r="O32" i="48" a="1"/>
  <c r="O32" i="48" s="1"/>
  <c r="P32" i="48" a="1"/>
  <c r="P32" i="48" s="1"/>
  <c r="Q32" i="48" a="1"/>
  <c r="Q32" i="48" s="1"/>
  <c r="R32" i="48" a="1"/>
  <c r="R32" i="48" s="1"/>
  <c r="S32" i="48" a="1"/>
  <c r="S32" i="48" s="1"/>
  <c r="AD32" i="48" s="1" a="1"/>
  <c r="AD32" i="48" s="1"/>
  <c r="T32" i="48" a="1"/>
  <c r="T32" i="48" s="1"/>
  <c r="AE32" i="48" s="1" a="1"/>
  <c r="AE32" i="48" s="1"/>
  <c r="U32" i="48" a="1"/>
  <c r="U32" i="48" s="1"/>
  <c r="AF32" i="48" s="1" a="1"/>
  <c r="AF32" i="48" s="1"/>
  <c r="V32" i="48" a="1"/>
  <c r="V32" i="48" s="1"/>
  <c r="AG32" i="48" s="1" a="1"/>
  <c r="AG32" i="48" s="1"/>
  <c r="W32" i="48" a="1"/>
  <c r="W32" i="48" s="1"/>
  <c r="AH32" i="48" s="1" a="1"/>
  <c r="AH32" i="48" s="1"/>
  <c r="X32" i="48" a="1"/>
  <c r="X32" i="48" s="1"/>
  <c r="AI32" i="48" s="1" a="1"/>
  <c r="AI32" i="48" s="1"/>
  <c r="N33" i="48" a="1"/>
  <c r="N33" i="48" s="1"/>
  <c r="O33" i="48" a="1"/>
  <c r="O33" i="48" s="1"/>
  <c r="P33" i="48" a="1"/>
  <c r="P33" i="48" s="1"/>
  <c r="Q33" i="48" a="1"/>
  <c r="Q33" i="48" s="1"/>
  <c r="R33" i="48" a="1"/>
  <c r="R33" i="48" s="1"/>
  <c r="S33" i="48" a="1"/>
  <c r="S33" i="48" s="1"/>
  <c r="AD33" i="48" s="1" a="1"/>
  <c r="AD33" i="48" s="1"/>
  <c r="T33" i="48" a="1"/>
  <c r="T33" i="48" s="1"/>
  <c r="AE33" i="48" s="1" a="1"/>
  <c r="AE33" i="48" s="1"/>
  <c r="U33" i="48" a="1"/>
  <c r="U33" i="48" s="1"/>
  <c r="AF33" i="48" s="1" a="1"/>
  <c r="AF33" i="48" s="1"/>
  <c r="V33" i="48" a="1"/>
  <c r="V33" i="48" s="1"/>
  <c r="AG33" i="48" s="1" a="1"/>
  <c r="AG33" i="48" s="1"/>
  <c r="W33" i="48" a="1"/>
  <c r="W33" i="48" s="1"/>
  <c r="AH33" i="48" s="1" a="1"/>
  <c r="AH33" i="48" s="1"/>
  <c r="X33" i="48" a="1"/>
  <c r="X33" i="48" s="1"/>
  <c r="AI33" i="48" s="1" a="1"/>
  <c r="AI33" i="48" s="1"/>
  <c r="N34" i="48" a="1"/>
  <c r="N34" i="48" s="1"/>
  <c r="O34" i="48" a="1"/>
  <c r="O34" i="48" s="1"/>
  <c r="P34" i="48" a="1"/>
  <c r="P34" i="48" s="1"/>
  <c r="Q34" i="48" a="1"/>
  <c r="Q34" i="48" s="1"/>
  <c r="R34" i="48" a="1"/>
  <c r="R34" i="48" s="1"/>
  <c r="S34" i="48" a="1"/>
  <c r="S34" i="48" s="1"/>
  <c r="AD34" i="48" s="1" a="1"/>
  <c r="AD34" i="48" s="1"/>
  <c r="T34" i="48" a="1"/>
  <c r="T34" i="48" s="1"/>
  <c r="AE34" i="48" s="1" a="1"/>
  <c r="AE34" i="48" s="1"/>
  <c r="U34" i="48" a="1"/>
  <c r="U34" i="48" s="1"/>
  <c r="AF34" i="48" s="1" a="1"/>
  <c r="AF34" i="48" s="1"/>
  <c r="V34" i="48" a="1"/>
  <c r="V34" i="48" s="1"/>
  <c r="AG34" i="48" s="1" a="1"/>
  <c r="AG34" i="48" s="1"/>
  <c r="W34" i="48" a="1"/>
  <c r="W34" i="48" s="1"/>
  <c r="AH34" i="48" s="1" a="1"/>
  <c r="AH34" i="48" s="1"/>
  <c r="X34" i="48" a="1"/>
  <c r="X34" i="48" s="1"/>
  <c r="AI34" i="48" s="1" a="1"/>
  <c r="AI34" i="48" s="1"/>
  <c r="N35" i="48" a="1"/>
  <c r="N35" i="48" s="1"/>
  <c r="O35" i="48" a="1"/>
  <c r="O35" i="48" s="1"/>
  <c r="P35" i="48" a="1"/>
  <c r="P35" i="48" s="1"/>
  <c r="Q35" i="48" a="1"/>
  <c r="Q35" i="48" s="1"/>
  <c r="R35" i="48" a="1"/>
  <c r="R35" i="48" s="1"/>
  <c r="S35" i="48" a="1"/>
  <c r="S35" i="48" s="1"/>
  <c r="AD35" i="48" s="1" a="1"/>
  <c r="AD35" i="48" s="1"/>
  <c r="T35" i="48" a="1"/>
  <c r="T35" i="48" s="1"/>
  <c r="AE35" i="48" s="1" a="1"/>
  <c r="AE35" i="48" s="1"/>
  <c r="U35" i="48" a="1"/>
  <c r="U35" i="48" s="1"/>
  <c r="AF35" i="48" s="1" a="1"/>
  <c r="AF35" i="48" s="1"/>
  <c r="V35" i="48" a="1"/>
  <c r="V35" i="48" s="1"/>
  <c r="AG35" i="48" s="1" a="1"/>
  <c r="AG35" i="48" s="1"/>
  <c r="W35" i="48" a="1"/>
  <c r="W35" i="48" s="1"/>
  <c r="AH35" i="48" s="1" a="1"/>
  <c r="AH35" i="48" s="1"/>
  <c r="X35" i="48" a="1"/>
  <c r="X35" i="48" s="1"/>
  <c r="AI35" i="48" s="1" a="1"/>
  <c r="AI35" i="48" s="1"/>
  <c r="N36" i="48" a="1"/>
  <c r="N36" i="48" s="1"/>
  <c r="O36" i="48" a="1"/>
  <c r="O36" i="48" s="1"/>
  <c r="P36" i="48" a="1"/>
  <c r="P36" i="48" s="1"/>
  <c r="Q36" i="48" a="1"/>
  <c r="Q36" i="48" s="1"/>
  <c r="R36" i="48" a="1"/>
  <c r="R36" i="48" s="1"/>
  <c r="S36" i="48" a="1"/>
  <c r="S36" i="48" s="1"/>
  <c r="AD36" i="48" s="1" a="1"/>
  <c r="AD36" i="48" s="1"/>
  <c r="T36" i="48" a="1"/>
  <c r="T36" i="48" s="1"/>
  <c r="AE36" i="48" s="1" a="1"/>
  <c r="AE36" i="48" s="1"/>
  <c r="U36" i="48" a="1"/>
  <c r="U36" i="48" s="1"/>
  <c r="AF36" i="48" s="1" a="1"/>
  <c r="AF36" i="48" s="1"/>
  <c r="V36" i="48" a="1"/>
  <c r="V36" i="48" s="1"/>
  <c r="AG36" i="48" s="1" a="1"/>
  <c r="AG36" i="48" s="1"/>
  <c r="W36" i="48" a="1"/>
  <c r="W36" i="48" s="1"/>
  <c r="AH36" i="48" s="1" a="1"/>
  <c r="AH36" i="48" s="1"/>
  <c r="X36" i="48" a="1"/>
  <c r="X36" i="48" s="1"/>
  <c r="AI36" i="48" s="1" a="1"/>
  <c r="AI36" i="48" s="1"/>
  <c r="N37" i="48" a="1"/>
  <c r="N37" i="48" s="1"/>
  <c r="O37" i="48" a="1"/>
  <c r="O37" i="48" s="1"/>
  <c r="P37" i="48" a="1"/>
  <c r="P37" i="48" s="1"/>
  <c r="Q37" i="48" a="1"/>
  <c r="Q37" i="48" s="1"/>
  <c r="R37" i="48" a="1"/>
  <c r="R37" i="48" s="1"/>
  <c r="S37" i="48" a="1"/>
  <c r="S37" i="48" s="1"/>
  <c r="AD37" i="48" s="1" a="1"/>
  <c r="AD37" i="48" s="1"/>
  <c r="T37" i="48" a="1"/>
  <c r="T37" i="48" s="1"/>
  <c r="AE37" i="48" s="1" a="1"/>
  <c r="AE37" i="48" s="1"/>
  <c r="U37" i="48" a="1"/>
  <c r="U37" i="48" s="1"/>
  <c r="AF37" i="48" s="1" a="1"/>
  <c r="AF37" i="48" s="1"/>
  <c r="V37" i="48" a="1"/>
  <c r="V37" i="48" s="1"/>
  <c r="AG37" i="48" s="1" a="1"/>
  <c r="AG37" i="48" s="1"/>
  <c r="W37" i="48" a="1"/>
  <c r="W37" i="48" s="1"/>
  <c r="AH37" i="48" s="1" a="1"/>
  <c r="AH37" i="48" s="1"/>
  <c r="X37" i="48" a="1"/>
  <c r="X37" i="48" s="1"/>
  <c r="AI37" i="48" s="1" a="1"/>
  <c r="AI37" i="48" s="1"/>
  <c r="N38" i="48" a="1"/>
  <c r="N38" i="48" s="1"/>
  <c r="O38" i="48" a="1"/>
  <c r="O38" i="48" s="1"/>
  <c r="P38" i="48" a="1"/>
  <c r="P38" i="48" s="1"/>
  <c r="Q38" i="48" a="1"/>
  <c r="Q38" i="48" s="1"/>
  <c r="R38" i="48" a="1"/>
  <c r="R38" i="48" s="1"/>
  <c r="S38" i="48" a="1"/>
  <c r="S38" i="48" s="1"/>
  <c r="AD38" i="48" s="1" a="1"/>
  <c r="AD38" i="48" s="1"/>
  <c r="T38" i="48" a="1"/>
  <c r="T38" i="48" s="1"/>
  <c r="AE38" i="48" s="1" a="1"/>
  <c r="AE38" i="48" s="1"/>
  <c r="U38" i="48" a="1"/>
  <c r="U38" i="48" s="1"/>
  <c r="AF38" i="48" s="1" a="1"/>
  <c r="AF38" i="48" s="1"/>
  <c r="V38" i="48" a="1"/>
  <c r="V38" i="48" s="1"/>
  <c r="AG38" i="48" s="1" a="1"/>
  <c r="AG38" i="48" s="1"/>
  <c r="W38" i="48" a="1"/>
  <c r="W38" i="48" s="1"/>
  <c r="AH38" i="48" s="1" a="1"/>
  <c r="AH38" i="48" s="1"/>
  <c r="X38" i="48" a="1"/>
  <c r="X38" i="48" s="1"/>
  <c r="AI38" i="48" s="1" a="1"/>
  <c r="AI38" i="48" s="1"/>
  <c r="N39" i="48" a="1"/>
  <c r="N39" i="48" s="1"/>
  <c r="O39" i="48" a="1"/>
  <c r="O39" i="48" s="1"/>
  <c r="P39" i="48" a="1"/>
  <c r="P39" i="48" s="1"/>
  <c r="Q39" i="48" a="1"/>
  <c r="Q39" i="48" s="1"/>
  <c r="R39" i="48" a="1"/>
  <c r="R39" i="48" s="1"/>
  <c r="S39" i="48" a="1"/>
  <c r="S39" i="48" s="1"/>
  <c r="AD39" i="48" s="1" a="1"/>
  <c r="AD39" i="48" s="1"/>
  <c r="T39" i="48" a="1"/>
  <c r="T39" i="48" s="1"/>
  <c r="AE39" i="48" s="1" a="1"/>
  <c r="AE39" i="48" s="1"/>
  <c r="U39" i="48" a="1"/>
  <c r="U39" i="48" s="1"/>
  <c r="AF39" i="48" s="1" a="1"/>
  <c r="AF39" i="48" s="1"/>
  <c r="V39" i="48" a="1"/>
  <c r="V39" i="48" s="1"/>
  <c r="AG39" i="48" s="1" a="1"/>
  <c r="AG39" i="48" s="1"/>
  <c r="W39" i="48" a="1"/>
  <c r="W39" i="48" s="1"/>
  <c r="AH39" i="48" s="1" a="1"/>
  <c r="AH39" i="48" s="1"/>
  <c r="X39" i="48" a="1"/>
  <c r="X39" i="48" s="1"/>
  <c r="AI39" i="48" s="1" a="1"/>
  <c r="AI39" i="48" s="1"/>
  <c r="N40" i="48" a="1"/>
  <c r="N40" i="48" s="1"/>
  <c r="O40" i="48" a="1"/>
  <c r="O40" i="48" s="1"/>
  <c r="P40" i="48" a="1"/>
  <c r="P40" i="48" s="1"/>
  <c r="Q40" i="48" a="1"/>
  <c r="Q40" i="48" s="1"/>
  <c r="R40" i="48" a="1"/>
  <c r="R40" i="48" s="1"/>
  <c r="S40" i="48" a="1"/>
  <c r="S40" i="48" s="1"/>
  <c r="AD40" i="48" s="1" a="1"/>
  <c r="AD40" i="48" s="1"/>
  <c r="T40" i="48" a="1"/>
  <c r="T40" i="48" s="1"/>
  <c r="AE40" i="48" s="1" a="1"/>
  <c r="AE40" i="48" s="1"/>
  <c r="U40" i="48" a="1"/>
  <c r="U40" i="48" s="1"/>
  <c r="AF40" i="48" s="1" a="1"/>
  <c r="AF40" i="48" s="1"/>
  <c r="V40" i="48" a="1"/>
  <c r="V40" i="48" s="1"/>
  <c r="AG40" i="48" s="1" a="1"/>
  <c r="AG40" i="48" s="1"/>
  <c r="W40" i="48" a="1"/>
  <c r="W40" i="48" s="1"/>
  <c r="AH40" i="48" s="1" a="1"/>
  <c r="AH40" i="48" s="1"/>
  <c r="X40" i="48" a="1"/>
  <c r="X40" i="48" s="1"/>
  <c r="AI40" i="48" s="1" a="1"/>
  <c r="AI40" i="48" s="1"/>
  <c r="N41" i="48" a="1"/>
  <c r="N41" i="48" s="1"/>
  <c r="O41" i="48" a="1"/>
  <c r="O41" i="48" s="1"/>
  <c r="P41" i="48" a="1"/>
  <c r="P41" i="48" s="1"/>
  <c r="Q41" i="48" a="1"/>
  <c r="Q41" i="48" s="1"/>
  <c r="R41" i="48" a="1"/>
  <c r="R41" i="48" s="1"/>
  <c r="S41" i="48" a="1"/>
  <c r="S41" i="48" s="1"/>
  <c r="AD41" i="48" s="1" a="1"/>
  <c r="AD41" i="48" s="1"/>
  <c r="T41" i="48" a="1"/>
  <c r="T41" i="48" s="1"/>
  <c r="AE41" i="48" s="1" a="1"/>
  <c r="AE41" i="48" s="1"/>
  <c r="U41" i="48" a="1"/>
  <c r="U41" i="48" s="1"/>
  <c r="AF41" i="48" s="1" a="1"/>
  <c r="AF41" i="48" s="1"/>
  <c r="V41" i="48" a="1"/>
  <c r="V41" i="48" s="1"/>
  <c r="AG41" i="48" s="1" a="1"/>
  <c r="AG41" i="48" s="1"/>
  <c r="W41" i="48" a="1"/>
  <c r="W41" i="48" s="1"/>
  <c r="AH41" i="48" s="1" a="1"/>
  <c r="AH41" i="48" s="1"/>
  <c r="X41" i="48" a="1"/>
  <c r="X41" i="48" s="1"/>
  <c r="AI41" i="48" s="1" a="1"/>
  <c r="AI41" i="48" s="1"/>
  <c r="N42" i="48" a="1"/>
  <c r="N42" i="48" s="1"/>
  <c r="O42" i="48" a="1"/>
  <c r="O42" i="48" s="1"/>
  <c r="P42" i="48" a="1"/>
  <c r="P42" i="48" s="1"/>
  <c r="Q42" i="48" a="1"/>
  <c r="Q42" i="48" s="1"/>
  <c r="R42" i="48" a="1"/>
  <c r="R42" i="48" s="1"/>
  <c r="S42" i="48" a="1"/>
  <c r="S42" i="48" s="1"/>
  <c r="AD42" i="48" s="1" a="1"/>
  <c r="AD42" i="48" s="1"/>
  <c r="T42" i="48" a="1"/>
  <c r="T42" i="48" s="1"/>
  <c r="AE42" i="48" s="1" a="1"/>
  <c r="AE42" i="48" s="1"/>
  <c r="U42" i="48" a="1"/>
  <c r="U42" i="48" s="1"/>
  <c r="AF42" i="48" s="1" a="1"/>
  <c r="AF42" i="48" s="1"/>
  <c r="V42" i="48" a="1"/>
  <c r="V42" i="48" s="1"/>
  <c r="AG42" i="48" s="1" a="1"/>
  <c r="AG42" i="48" s="1"/>
  <c r="W42" i="48" a="1"/>
  <c r="W42" i="48" s="1"/>
  <c r="AH42" i="48" s="1" a="1"/>
  <c r="AH42" i="48" s="1"/>
  <c r="X42" i="48" a="1"/>
  <c r="X42" i="48" s="1"/>
  <c r="AI42" i="48" s="1" a="1"/>
  <c r="AI42" i="48" s="1"/>
  <c r="N43" i="48" a="1"/>
  <c r="N43" i="48" s="1"/>
  <c r="O43" i="48" a="1"/>
  <c r="O43" i="48" s="1"/>
  <c r="P43" i="48" a="1"/>
  <c r="P43" i="48" s="1"/>
  <c r="Q43" i="48" a="1"/>
  <c r="Q43" i="48" s="1"/>
  <c r="R43" i="48" a="1"/>
  <c r="R43" i="48" s="1"/>
  <c r="S43" i="48" a="1"/>
  <c r="S43" i="48" s="1"/>
  <c r="AD43" i="48" s="1" a="1"/>
  <c r="AD43" i="48" s="1"/>
  <c r="T43" i="48" a="1"/>
  <c r="T43" i="48" s="1"/>
  <c r="AE43" i="48" s="1" a="1"/>
  <c r="AE43" i="48" s="1"/>
  <c r="U43" i="48" a="1"/>
  <c r="U43" i="48" s="1"/>
  <c r="AF43" i="48" s="1" a="1"/>
  <c r="AF43" i="48" s="1"/>
  <c r="V43" i="48" a="1"/>
  <c r="V43" i="48" s="1"/>
  <c r="AG43" i="48" s="1" a="1"/>
  <c r="AG43" i="48" s="1"/>
  <c r="W43" i="48" a="1"/>
  <c r="W43" i="48" s="1"/>
  <c r="AH43" i="48" s="1" a="1"/>
  <c r="AH43" i="48" s="1"/>
  <c r="X43" i="48" a="1"/>
  <c r="X43" i="48" s="1"/>
  <c r="AI43" i="48" s="1" a="1"/>
  <c r="AI43" i="48" s="1"/>
  <c r="N44" i="48" a="1"/>
  <c r="N44" i="48" s="1"/>
  <c r="O44" i="48" a="1"/>
  <c r="O44" i="48" s="1"/>
  <c r="P44" i="48" a="1"/>
  <c r="P44" i="48" s="1"/>
  <c r="Q44" i="48" a="1"/>
  <c r="Q44" i="48" s="1"/>
  <c r="R44" i="48" a="1"/>
  <c r="R44" i="48" s="1"/>
  <c r="S44" i="48" a="1"/>
  <c r="S44" i="48" s="1"/>
  <c r="T44" i="48" a="1"/>
  <c r="T44" i="48" s="1"/>
  <c r="AE44" i="48" s="1" a="1"/>
  <c r="AE44" i="48" s="1"/>
  <c r="U44" i="48" a="1"/>
  <c r="U44" i="48" s="1"/>
  <c r="AF44" i="48" s="1" a="1"/>
  <c r="AF44" i="48" s="1"/>
  <c r="V44" i="48" a="1"/>
  <c r="V44" i="48" s="1"/>
  <c r="AG44" i="48" s="1" a="1"/>
  <c r="AG44" i="48" s="1"/>
  <c r="W44" i="48" a="1"/>
  <c r="W44" i="48" s="1"/>
  <c r="AH44" i="48" s="1" a="1"/>
  <c r="AH44" i="48" s="1"/>
  <c r="X44" i="48" a="1"/>
  <c r="X44" i="48" s="1"/>
  <c r="AI44" i="48" s="1" a="1"/>
  <c r="AI44" i="48" s="1"/>
  <c r="N45" i="48" a="1"/>
  <c r="N45" i="48" s="1"/>
  <c r="O45" i="48" a="1"/>
  <c r="O45" i="48" s="1"/>
  <c r="P45" i="48" a="1"/>
  <c r="P45" i="48" s="1"/>
  <c r="Q45" i="48" a="1"/>
  <c r="Q45" i="48" s="1"/>
  <c r="R45" i="48" a="1"/>
  <c r="R45" i="48" s="1"/>
  <c r="S45" i="48" a="1"/>
  <c r="S45" i="48" s="1"/>
  <c r="AD45" i="48" s="1" a="1"/>
  <c r="AD45" i="48" s="1"/>
  <c r="T45" i="48" a="1"/>
  <c r="T45" i="48" s="1"/>
  <c r="AE45" i="48" s="1" a="1"/>
  <c r="AE45" i="48" s="1"/>
  <c r="U45" i="48" a="1"/>
  <c r="U45" i="48" s="1"/>
  <c r="AF45" i="48" s="1" a="1"/>
  <c r="AF45" i="48" s="1"/>
  <c r="V45" i="48" a="1"/>
  <c r="V45" i="48" s="1"/>
  <c r="AG45" i="48" s="1" a="1"/>
  <c r="AG45" i="48" s="1"/>
  <c r="W45" i="48" a="1"/>
  <c r="W45" i="48" s="1"/>
  <c r="AH45" i="48" s="1" a="1"/>
  <c r="AH45" i="48" s="1"/>
  <c r="X45" i="48" a="1"/>
  <c r="X45" i="48" s="1"/>
  <c r="AI45" i="48" s="1" a="1"/>
  <c r="AI45" i="48" s="1"/>
  <c r="N46" i="48" a="1"/>
  <c r="N46" i="48" s="1"/>
  <c r="O46" i="48" a="1"/>
  <c r="O46" i="48" s="1"/>
  <c r="P46" i="48" a="1"/>
  <c r="P46" i="48" s="1"/>
  <c r="Q46" i="48" a="1"/>
  <c r="Q46" i="48" s="1"/>
  <c r="R46" i="48" a="1"/>
  <c r="R46" i="48" s="1"/>
  <c r="S46" i="48" a="1"/>
  <c r="S46" i="48" s="1"/>
  <c r="AD46" i="48" s="1" a="1"/>
  <c r="AD46" i="48" s="1"/>
  <c r="T46" i="48" a="1"/>
  <c r="T46" i="48" s="1"/>
  <c r="AE46" i="48" s="1" a="1"/>
  <c r="AE46" i="48" s="1"/>
  <c r="U46" i="48" a="1"/>
  <c r="U46" i="48" s="1"/>
  <c r="AF46" i="48" s="1" a="1"/>
  <c r="AF46" i="48" s="1"/>
  <c r="V46" i="48" a="1"/>
  <c r="V46" i="48" s="1"/>
  <c r="AG46" i="48" s="1" a="1"/>
  <c r="AG46" i="48" s="1"/>
  <c r="W46" i="48" a="1"/>
  <c r="W46" i="48" s="1"/>
  <c r="AH46" i="48" s="1" a="1"/>
  <c r="AH46" i="48" s="1"/>
  <c r="X46" i="48" a="1"/>
  <c r="X46" i="48" s="1"/>
  <c r="AI46" i="48" s="1" a="1"/>
  <c r="AI46" i="48" s="1"/>
  <c r="N47" i="48" a="1"/>
  <c r="N47" i="48" s="1"/>
  <c r="O47" i="48" a="1"/>
  <c r="O47" i="48" s="1"/>
  <c r="P47" i="48" a="1"/>
  <c r="P47" i="48" s="1"/>
  <c r="Q47" i="48" a="1"/>
  <c r="Q47" i="48" s="1"/>
  <c r="R47" i="48" a="1"/>
  <c r="R47" i="48" s="1"/>
  <c r="S47" i="48" a="1"/>
  <c r="S47" i="48" s="1"/>
  <c r="AD47" i="48" s="1" a="1"/>
  <c r="AD47" i="48" s="1"/>
  <c r="T47" i="48" a="1"/>
  <c r="T47" i="48" s="1"/>
  <c r="AE47" i="48" s="1" a="1"/>
  <c r="AE47" i="48" s="1"/>
  <c r="U47" i="48" a="1"/>
  <c r="U47" i="48" s="1"/>
  <c r="AF47" i="48" s="1" a="1"/>
  <c r="AF47" i="48" s="1"/>
  <c r="V47" i="48" a="1"/>
  <c r="V47" i="48" s="1"/>
  <c r="AG47" i="48" s="1" a="1"/>
  <c r="AG47" i="48" s="1"/>
  <c r="W47" i="48" a="1"/>
  <c r="W47" i="48" s="1"/>
  <c r="AH47" i="48" s="1" a="1"/>
  <c r="AH47" i="48" s="1"/>
  <c r="X47" i="48" a="1"/>
  <c r="X47" i="48" s="1"/>
  <c r="AI47" i="48" s="1" a="1"/>
  <c r="AI47" i="48" s="1"/>
  <c r="N48" i="48" a="1"/>
  <c r="N48" i="48" s="1"/>
  <c r="O48" i="48" a="1"/>
  <c r="O48" i="48" s="1"/>
  <c r="P48" i="48" a="1"/>
  <c r="P48" i="48" s="1"/>
  <c r="Q48" i="48" a="1"/>
  <c r="Q48" i="48" s="1"/>
  <c r="R48" i="48" a="1"/>
  <c r="R48" i="48" s="1"/>
  <c r="S48" i="48" a="1"/>
  <c r="S48" i="48" s="1"/>
  <c r="AD48" i="48" s="1" a="1"/>
  <c r="AD48" i="48" s="1"/>
  <c r="T48" i="48" a="1"/>
  <c r="T48" i="48" s="1"/>
  <c r="AE48" i="48" s="1" a="1"/>
  <c r="AE48" i="48" s="1"/>
  <c r="U48" i="48" a="1"/>
  <c r="U48" i="48" s="1"/>
  <c r="AF48" i="48" s="1" a="1"/>
  <c r="AF48" i="48" s="1"/>
  <c r="V48" i="48" a="1"/>
  <c r="V48" i="48" s="1"/>
  <c r="AG48" i="48" s="1" a="1"/>
  <c r="AG48" i="48" s="1"/>
  <c r="W48" i="48" a="1"/>
  <c r="W48" i="48" s="1"/>
  <c r="AH48" i="48" s="1" a="1"/>
  <c r="AH48" i="48" s="1"/>
  <c r="X48" i="48" a="1"/>
  <c r="X48" i="48" s="1"/>
  <c r="AI48" i="48" s="1" a="1"/>
  <c r="AI48" i="48" s="1"/>
  <c r="N49" i="48" a="1"/>
  <c r="N49" i="48" s="1"/>
  <c r="O49" i="48" a="1"/>
  <c r="O49" i="48" s="1"/>
  <c r="P49" i="48" a="1"/>
  <c r="P49" i="48" s="1"/>
  <c r="Q49" i="48" a="1"/>
  <c r="Q49" i="48" s="1"/>
  <c r="R49" i="48" a="1"/>
  <c r="R49" i="48" s="1"/>
  <c r="S49" i="48" a="1"/>
  <c r="S49" i="48" s="1"/>
  <c r="AD49" i="48" s="1" a="1"/>
  <c r="AD49" i="48" s="1"/>
  <c r="T49" i="48" a="1"/>
  <c r="T49" i="48" s="1"/>
  <c r="AE49" i="48" s="1" a="1"/>
  <c r="AE49" i="48" s="1"/>
  <c r="U49" i="48" a="1"/>
  <c r="U49" i="48" s="1"/>
  <c r="AF49" i="48" s="1" a="1"/>
  <c r="AF49" i="48" s="1"/>
  <c r="V49" i="48" a="1"/>
  <c r="V49" i="48" s="1"/>
  <c r="AG49" i="48" s="1" a="1"/>
  <c r="AG49" i="48" s="1"/>
  <c r="W49" i="48" a="1"/>
  <c r="W49" i="48" s="1"/>
  <c r="AH49" i="48" s="1" a="1"/>
  <c r="AH49" i="48" s="1"/>
  <c r="X49" i="48" a="1"/>
  <c r="X49" i="48" s="1"/>
  <c r="AI49" i="48" s="1" a="1"/>
  <c r="AI49" i="48" s="1"/>
  <c r="N50" i="48" a="1"/>
  <c r="N50" i="48" s="1"/>
  <c r="O50" i="48" a="1"/>
  <c r="O50" i="48" s="1"/>
  <c r="P50" i="48" a="1"/>
  <c r="P50" i="48" s="1"/>
  <c r="Q50" i="48" a="1"/>
  <c r="Q50" i="48" s="1"/>
  <c r="R50" i="48" a="1"/>
  <c r="R50" i="48" s="1"/>
  <c r="S50" i="48" a="1"/>
  <c r="S50" i="48" s="1"/>
  <c r="AD50" i="48" s="1" a="1"/>
  <c r="AD50" i="48" s="1"/>
  <c r="T50" i="48" a="1"/>
  <c r="T50" i="48" s="1"/>
  <c r="AE50" i="48" s="1" a="1"/>
  <c r="AE50" i="48" s="1"/>
  <c r="U50" i="48" a="1"/>
  <c r="U50" i="48" s="1"/>
  <c r="AF50" i="48" s="1" a="1"/>
  <c r="AF50" i="48" s="1"/>
  <c r="V50" i="48" a="1"/>
  <c r="V50" i="48" s="1"/>
  <c r="AG50" i="48" s="1" a="1"/>
  <c r="AG50" i="48" s="1"/>
  <c r="W50" i="48" a="1"/>
  <c r="W50" i="48" s="1"/>
  <c r="AH50" i="48" s="1" a="1"/>
  <c r="AH50" i="48" s="1"/>
  <c r="X50" i="48" a="1"/>
  <c r="X50" i="48" s="1"/>
  <c r="AI50" i="48" s="1" a="1"/>
  <c r="AI50" i="48" s="1"/>
  <c r="N51" i="48" a="1"/>
  <c r="N51" i="48" s="1"/>
  <c r="O51" i="48" a="1"/>
  <c r="O51" i="48" s="1"/>
  <c r="P51" i="48" a="1"/>
  <c r="P51" i="48" s="1"/>
  <c r="Q51" i="48" a="1"/>
  <c r="Q51" i="48" s="1"/>
  <c r="R51" i="48" a="1"/>
  <c r="R51" i="48" s="1"/>
  <c r="S51" i="48" a="1"/>
  <c r="S51" i="48" s="1"/>
  <c r="AD51" i="48" s="1" a="1"/>
  <c r="AD51" i="48" s="1"/>
  <c r="T51" i="48" a="1"/>
  <c r="T51" i="48" s="1"/>
  <c r="AE51" i="48" s="1" a="1"/>
  <c r="AE51" i="48" s="1"/>
  <c r="U51" i="48" a="1"/>
  <c r="U51" i="48" s="1"/>
  <c r="AF51" i="48" s="1" a="1"/>
  <c r="AF51" i="48" s="1"/>
  <c r="V51" i="48" a="1"/>
  <c r="V51" i="48" s="1"/>
  <c r="AG51" i="48" s="1" a="1"/>
  <c r="AG51" i="48" s="1"/>
  <c r="W51" i="48" a="1"/>
  <c r="W51" i="48" s="1"/>
  <c r="AH51" i="48" s="1" a="1"/>
  <c r="AH51" i="48" s="1"/>
  <c r="X51" i="48" a="1"/>
  <c r="X51" i="48" s="1"/>
  <c r="AI51" i="48" s="1" a="1"/>
  <c r="AI51" i="48" s="1"/>
  <c r="N52" i="48" a="1"/>
  <c r="N52" i="48" s="1"/>
  <c r="O52" i="48" a="1"/>
  <c r="O52" i="48" s="1"/>
  <c r="P52" i="48" a="1"/>
  <c r="P52" i="48" s="1"/>
  <c r="Q52" i="48" a="1"/>
  <c r="Q52" i="48" s="1"/>
  <c r="R52" i="48" a="1"/>
  <c r="R52" i="48" s="1"/>
  <c r="S52" i="48" a="1"/>
  <c r="S52" i="48" s="1"/>
  <c r="AD52" i="48" s="1" a="1"/>
  <c r="AD52" i="48" s="1"/>
  <c r="T52" i="48" a="1"/>
  <c r="T52" i="48" s="1"/>
  <c r="AE52" i="48" s="1" a="1"/>
  <c r="AE52" i="48" s="1"/>
  <c r="U52" i="48" a="1"/>
  <c r="U52" i="48" s="1"/>
  <c r="AF52" i="48" s="1" a="1"/>
  <c r="AF52" i="48" s="1"/>
  <c r="V52" i="48" a="1"/>
  <c r="V52" i="48" s="1"/>
  <c r="AG52" i="48" s="1" a="1"/>
  <c r="AG52" i="48" s="1"/>
  <c r="W52" i="48" a="1"/>
  <c r="W52" i="48" s="1"/>
  <c r="AH52" i="48" s="1" a="1"/>
  <c r="AH52" i="48" s="1"/>
  <c r="X52" i="48" a="1"/>
  <c r="X52" i="48" s="1"/>
  <c r="AI52" i="48" s="1" a="1"/>
  <c r="AI52" i="48" s="1"/>
  <c r="N53" i="48" a="1"/>
  <c r="N53" i="48" s="1"/>
  <c r="O53" i="48" a="1"/>
  <c r="O53" i="48" s="1"/>
  <c r="P53" i="48" a="1"/>
  <c r="P53" i="48" s="1"/>
  <c r="Q53" i="48" a="1"/>
  <c r="Q53" i="48" s="1"/>
  <c r="R53" i="48" a="1"/>
  <c r="R53" i="48" s="1"/>
  <c r="S53" i="48" a="1"/>
  <c r="S53" i="48" s="1"/>
  <c r="AD53" i="48" s="1" a="1"/>
  <c r="AD53" i="48" s="1"/>
  <c r="T53" i="48" a="1"/>
  <c r="T53" i="48" s="1"/>
  <c r="AE53" i="48" s="1" a="1"/>
  <c r="AE53" i="48" s="1"/>
  <c r="U53" i="48" a="1"/>
  <c r="U53" i="48" s="1"/>
  <c r="AF53" i="48" s="1" a="1"/>
  <c r="AF53" i="48" s="1"/>
  <c r="V53" i="48" a="1"/>
  <c r="V53" i="48" s="1"/>
  <c r="AG53" i="48" s="1" a="1"/>
  <c r="AG53" i="48" s="1"/>
  <c r="W53" i="48" a="1"/>
  <c r="W53" i="48" s="1"/>
  <c r="AH53" i="48" s="1" a="1"/>
  <c r="AH53" i="48" s="1"/>
  <c r="X53" i="48" a="1"/>
  <c r="X53" i="48" s="1"/>
  <c r="AI53" i="48" s="1" a="1"/>
  <c r="AI53" i="48" s="1"/>
  <c r="N54" i="48" a="1"/>
  <c r="N54" i="48" s="1"/>
  <c r="O54" i="48" a="1"/>
  <c r="O54" i="48" s="1"/>
  <c r="P54" i="48" a="1"/>
  <c r="P54" i="48" s="1"/>
  <c r="Q54" i="48" a="1"/>
  <c r="Q54" i="48" s="1"/>
  <c r="R54" i="48" a="1"/>
  <c r="R54" i="48" s="1"/>
  <c r="S54" i="48" a="1"/>
  <c r="S54" i="48" s="1"/>
  <c r="AD54" i="48" s="1" a="1"/>
  <c r="AD54" i="48" s="1"/>
  <c r="T54" i="48" a="1"/>
  <c r="T54" i="48" s="1"/>
  <c r="AE54" i="48" s="1" a="1"/>
  <c r="AE54" i="48" s="1"/>
  <c r="U54" i="48" a="1"/>
  <c r="U54" i="48" s="1"/>
  <c r="AF54" i="48" s="1" a="1"/>
  <c r="AF54" i="48" s="1"/>
  <c r="V54" i="48" a="1"/>
  <c r="V54" i="48" s="1"/>
  <c r="AG54" i="48" s="1" a="1"/>
  <c r="AG54" i="48" s="1"/>
  <c r="W54" i="48" a="1"/>
  <c r="W54" i="48" s="1"/>
  <c r="AH54" i="48" s="1" a="1"/>
  <c r="AH54" i="48" s="1"/>
  <c r="X54" i="48" a="1"/>
  <c r="X54" i="48" s="1"/>
  <c r="AI54" i="48" s="1" a="1"/>
  <c r="AI54" i="48" s="1"/>
  <c r="N14" i="47" a="1"/>
  <c r="N14" i="47" s="1"/>
  <c r="O14" i="47" a="1"/>
  <c r="O14" i="47" s="1"/>
  <c r="P14" i="47" a="1"/>
  <c r="P14" i="47" s="1"/>
  <c r="Q14" i="47" a="1"/>
  <c r="Q14" i="47" s="1"/>
  <c r="R14" i="47" a="1"/>
  <c r="R14" i="47" s="1"/>
  <c r="S14" i="47" a="1"/>
  <c r="S14" i="47" s="1"/>
  <c r="AD14" i="47" s="1" a="1"/>
  <c r="AD14" i="47" s="1"/>
  <c r="T14" i="47" a="1"/>
  <c r="T14" i="47" s="1"/>
  <c r="AE14" i="47" s="1" a="1"/>
  <c r="AE14" i="47" s="1"/>
  <c r="U14" i="47" a="1"/>
  <c r="U14" i="47" s="1"/>
  <c r="AF14" i="47" s="1" a="1"/>
  <c r="AF14" i="47" s="1"/>
  <c r="V14" i="47" a="1"/>
  <c r="V14" i="47" s="1"/>
  <c r="AG14" i="47" s="1" a="1"/>
  <c r="AG14" i="47" s="1"/>
  <c r="W14" i="47" a="1"/>
  <c r="W14" i="47" s="1"/>
  <c r="AH14" i="47" s="1" a="1"/>
  <c r="AH14" i="47" s="1"/>
  <c r="X14" i="47" a="1"/>
  <c r="X14" i="47" s="1"/>
  <c r="AI14" i="47" s="1" a="1"/>
  <c r="AI14" i="47" s="1"/>
  <c r="N15" i="47" a="1"/>
  <c r="N15" i="47" s="1"/>
  <c r="O15" i="47" a="1"/>
  <c r="O15" i="47" s="1"/>
  <c r="P15" i="47" a="1"/>
  <c r="P15" i="47" s="1"/>
  <c r="Q15" i="47" a="1"/>
  <c r="Q15" i="47" s="1"/>
  <c r="R15" i="47" a="1"/>
  <c r="R15" i="47" s="1"/>
  <c r="S15" i="47" a="1"/>
  <c r="S15" i="47" s="1"/>
  <c r="AD15" i="47" s="1" a="1"/>
  <c r="AD15" i="47" s="1"/>
  <c r="T15" i="47" a="1"/>
  <c r="T15" i="47" s="1"/>
  <c r="AE15" i="47" s="1" a="1"/>
  <c r="AE15" i="47" s="1"/>
  <c r="U15" i="47" a="1"/>
  <c r="U15" i="47" s="1"/>
  <c r="AF15" i="47" s="1" a="1"/>
  <c r="AF15" i="47" s="1"/>
  <c r="V15" i="47" a="1"/>
  <c r="V15" i="47" s="1"/>
  <c r="AG15" i="47" s="1" a="1"/>
  <c r="AG15" i="47" s="1"/>
  <c r="W15" i="47" a="1"/>
  <c r="W15" i="47" s="1"/>
  <c r="AH15" i="47" s="1" a="1"/>
  <c r="AH15" i="47" s="1"/>
  <c r="X15" i="47" a="1"/>
  <c r="X15" i="47" s="1"/>
  <c r="AI15" i="47" s="1" a="1"/>
  <c r="AI15" i="47" s="1"/>
  <c r="N16" i="47" a="1"/>
  <c r="N16" i="47" s="1"/>
  <c r="O16" i="47" a="1"/>
  <c r="O16" i="47" s="1"/>
  <c r="P16" i="47" a="1"/>
  <c r="P16" i="47" s="1"/>
  <c r="Q16" i="47" a="1"/>
  <c r="Q16" i="47" s="1"/>
  <c r="R16" i="47" a="1"/>
  <c r="R16" i="47" s="1"/>
  <c r="S16" i="47" a="1"/>
  <c r="S16" i="47" s="1"/>
  <c r="AD16" i="47" s="1" a="1"/>
  <c r="AD16" i="47" s="1"/>
  <c r="T16" i="47" a="1"/>
  <c r="T16" i="47" s="1"/>
  <c r="AE16" i="47" s="1" a="1"/>
  <c r="AE16" i="47" s="1"/>
  <c r="U16" i="47" a="1"/>
  <c r="U16" i="47" s="1"/>
  <c r="AF16" i="47" s="1" a="1"/>
  <c r="AF16" i="47" s="1"/>
  <c r="V16" i="47" a="1"/>
  <c r="V16" i="47" s="1"/>
  <c r="AG16" i="47" s="1" a="1"/>
  <c r="AG16" i="47" s="1"/>
  <c r="W16" i="47" a="1"/>
  <c r="W16" i="47" s="1"/>
  <c r="AH16" i="47" s="1" a="1"/>
  <c r="AH16" i="47" s="1"/>
  <c r="X16" i="47" a="1"/>
  <c r="X16" i="47" s="1"/>
  <c r="AI16" i="47" s="1" a="1"/>
  <c r="AI16" i="47" s="1"/>
  <c r="N17" i="47" a="1"/>
  <c r="N17" i="47" s="1"/>
  <c r="O17" i="47" a="1"/>
  <c r="O17" i="47" s="1"/>
  <c r="P17" i="47" a="1"/>
  <c r="P17" i="47" s="1"/>
  <c r="Q17" i="47" a="1"/>
  <c r="Q17" i="47" s="1"/>
  <c r="R17" i="47" a="1"/>
  <c r="R17" i="47" s="1"/>
  <c r="S17" i="47" a="1"/>
  <c r="S17" i="47" s="1"/>
  <c r="AD17" i="47" s="1" a="1"/>
  <c r="AD17" i="47" s="1"/>
  <c r="T17" i="47" a="1"/>
  <c r="T17" i="47" s="1"/>
  <c r="AE17" i="47" s="1" a="1"/>
  <c r="AE17" i="47" s="1"/>
  <c r="U17" i="47" a="1"/>
  <c r="U17" i="47" s="1"/>
  <c r="AF17" i="47" s="1" a="1"/>
  <c r="AF17" i="47" s="1"/>
  <c r="V17" i="47" a="1"/>
  <c r="V17" i="47" s="1"/>
  <c r="AG17" i="47" s="1" a="1"/>
  <c r="AG17" i="47" s="1"/>
  <c r="W17" i="47" a="1"/>
  <c r="W17" i="47" s="1"/>
  <c r="AH17" i="47" s="1" a="1"/>
  <c r="AH17" i="47" s="1"/>
  <c r="X17" i="47" a="1"/>
  <c r="X17" i="47" s="1"/>
  <c r="AI17" i="47" s="1" a="1"/>
  <c r="AI17" i="47" s="1"/>
  <c r="N18" i="47" a="1"/>
  <c r="N18" i="47" s="1"/>
  <c r="O18" i="47" a="1"/>
  <c r="O18" i="47" s="1"/>
  <c r="P18" i="47" a="1"/>
  <c r="P18" i="47" s="1"/>
  <c r="Q18" i="47" a="1"/>
  <c r="Q18" i="47" s="1"/>
  <c r="R18" i="47" a="1"/>
  <c r="R18" i="47" s="1"/>
  <c r="S18" i="47" a="1"/>
  <c r="S18" i="47" s="1"/>
  <c r="AD18" i="47" s="1" a="1"/>
  <c r="AD18" i="47" s="1"/>
  <c r="T18" i="47" a="1"/>
  <c r="T18" i="47" s="1"/>
  <c r="AE18" i="47" s="1" a="1"/>
  <c r="AE18" i="47" s="1"/>
  <c r="U18" i="47" a="1"/>
  <c r="U18" i="47" s="1"/>
  <c r="AF18" i="47" s="1" a="1"/>
  <c r="AF18" i="47" s="1"/>
  <c r="V18" i="47" a="1"/>
  <c r="V18" i="47" s="1"/>
  <c r="AG18" i="47" s="1" a="1"/>
  <c r="AG18" i="47" s="1"/>
  <c r="W18" i="47" a="1"/>
  <c r="W18" i="47" s="1"/>
  <c r="AH18" i="47" s="1" a="1"/>
  <c r="AH18" i="47" s="1"/>
  <c r="X18" i="47" a="1"/>
  <c r="X18" i="47" s="1"/>
  <c r="AI18" i="47" s="1" a="1"/>
  <c r="AI18" i="47" s="1"/>
  <c r="N19" i="47" a="1"/>
  <c r="N19" i="47" s="1"/>
  <c r="O19" i="47" a="1"/>
  <c r="O19" i="47" s="1"/>
  <c r="P19" i="47" a="1"/>
  <c r="P19" i="47" s="1"/>
  <c r="Q19" i="47" a="1"/>
  <c r="Q19" i="47" s="1"/>
  <c r="R19" i="47" a="1"/>
  <c r="R19" i="47" s="1"/>
  <c r="S19" i="47" a="1"/>
  <c r="S19" i="47" s="1"/>
  <c r="AD19" i="47" s="1" a="1"/>
  <c r="AD19" i="47" s="1"/>
  <c r="T19" i="47" a="1"/>
  <c r="T19" i="47" s="1"/>
  <c r="AE19" i="47" s="1" a="1"/>
  <c r="AE19" i="47" s="1"/>
  <c r="U19" i="47" a="1"/>
  <c r="U19" i="47" s="1"/>
  <c r="AF19" i="47" s="1" a="1"/>
  <c r="AF19" i="47" s="1"/>
  <c r="V19" i="47" a="1"/>
  <c r="V19" i="47" s="1"/>
  <c r="AG19" i="47" s="1" a="1"/>
  <c r="AG19" i="47" s="1"/>
  <c r="W19" i="47" a="1"/>
  <c r="W19" i="47" s="1"/>
  <c r="AH19" i="47" s="1" a="1"/>
  <c r="AH19" i="47" s="1"/>
  <c r="X19" i="47" a="1"/>
  <c r="X19" i="47" s="1"/>
  <c r="AI19" i="47" s="1" a="1"/>
  <c r="AI19" i="47" s="1"/>
  <c r="N20" i="47" a="1"/>
  <c r="N20" i="47" s="1"/>
  <c r="O20" i="47" a="1"/>
  <c r="O20" i="47" s="1"/>
  <c r="P20" i="47" a="1"/>
  <c r="P20" i="47" s="1"/>
  <c r="Q20" i="47" a="1"/>
  <c r="Q20" i="47" s="1"/>
  <c r="R20" i="47" a="1"/>
  <c r="R20" i="47" s="1"/>
  <c r="S20" i="47" a="1"/>
  <c r="S20" i="47" s="1"/>
  <c r="AD20" i="47" s="1" a="1"/>
  <c r="AD20" i="47" s="1"/>
  <c r="T20" i="47" a="1"/>
  <c r="T20" i="47" s="1"/>
  <c r="AE20" i="47" s="1" a="1"/>
  <c r="AE20" i="47" s="1"/>
  <c r="U20" i="47" a="1"/>
  <c r="U20" i="47" s="1"/>
  <c r="AF20" i="47" s="1" a="1"/>
  <c r="AF20" i="47" s="1"/>
  <c r="V20" i="47" a="1"/>
  <c r="V20" i="47" s="1"/>
  <c r="AG20" i="47" s="1" a="1"/>
  <c r="AG20" i="47" s="1"/>
  <c r="W20" i="47" a="1"/>
  <c r="W20" i="47" s="1"/>
  <c r="AH20" i="47" s="1" a="1"/>
  <c r="AH20" i="47" s="1"/>
  <c r="X20" i="47" a="1"/>
  <c r="X20" i="47" s="1"/>
  <c r="AI20" i="47" s="1" a="1"/>
  <c r="AI20" i="47" s="1"/>
  <c r="N21" i="47" a="1"/>
  <c r="N21" i="47" s="1"/>
  <c r="O21" i="47" a="1"/>
  <c r="O21" i="47" s="1"/>
  <c r="P21" i="47" a="1"/>
  <c r="P21" i="47" s="1"/>
  <c r="Q21" i="47" a="1"/>
  <c r="Q21" i="47" s="1"/>
  <c r="R21" i="47" a="1"/>
  <c r="R21" i="47" s="1"/>
  <c r="S21" i="47" a="1"/>
  <c r="S21" i="47" s="1"/>
  <c r="AD21" i="47" s="1" a="1"/>
  <c r="AD21" i="47" s="1"/>
  <c r="T21" i="47" a="1"/>
  <c r="T21" i="47" s="1"/>
  <c r="AE21" i="47" s="1" a="1"/>
  <c r="AE21" i="47" s="1"/>
  <c r="U21" i="47" a="1"/>
  <c r="U21" i="47" s="1"/>
  <c r="AF21" i="47" s="1" a="1"/>
  <c r="AF21" i="47" s="1"/>
  <c r="V21" i="47" a="1"/>
  <c r="V21" i="47" s="1"/>
  <c r="AG21" i="47" s="1" a="1"/>
  <c r="AG21" i="47" s="1"/>
  <c r="W21" i="47" a="1"/>
  <c r="W21" i="47" s="1"/>
  <c r="AH21" i="47" s="1" a="1"/>
  <c r="AH21" i="47" s="1"/>
  <c r="X21" i="47" a="1"/>
  <c r="X21" i="47" s="1"/>
  <c r="AI21" i="47" s="1" a="1"/>
  <c r="AI21" i="47" s="1"/>
  <c r="N22" i="47" a="1"/>
  <c r="N22" i="47" s="1"/>
  <c r="O22" i="47" a="1"/>
  <c r="O22" i="47" s="1"/>
  <c r="P22" i="47" a="1"/>
  <c r="P22" i="47" s="1"/>
  <c r="Q22" i="47" a="1"/>
  <c r="Q22" i="47" s="1"/>
  <c r="R22" i="47" a="1"/>
  <c r="R22" i="47" s="1"/>
  <c r="S22" i="47" a="1"/>
  <c r="S22" i="47" s="1"/>
  <c r="AD22" i="47" s="1" a="1"/>
  <c r="AD22" i="47" s="1"/>
  <c r="T22" i="47" a="1"/>
  <c r="T22" i="47" s="1"/>
  <c r="AE22" i="47" s="1" a="1"/>
  <c r="AE22" i="47" s="1"/>
  <c r="U22" i="47" a="1"/>
  <c r="U22" i="47" s="1"/>
  <c r="AF22" i="47" s="1" a="1"/>
  <c r="AF22" i="47" s="1"/>
  <c r="V22" i="47" a="1"/>
  <c r="V22" i="47" s="1"/>
  <c r="AG22" i="47" s="1" a="1"/>
  <c r="AG22" i="47" s="1"/>
  <c r="W22" i="47" a="1"/>
  <c r="W22" i="47" s="1"/>
  <c r="AH22" i="47" s="1" a="1"/>
  <c r="AH22" i="47" s="1"/>
  <c r="X22" i="47" a="1"/>
  <c r="X22" i="47" s="1"/>
  <c r="AI22" i="47" s="1" a="1"/>
  <c r="AI22" i="47" s="1"/>
  <c r="N23" i="47" a="1"/>
  <c r="N23" i="47" s="1"/>
  <c r="O23" i="47" a="1"/>
  <c r="O23" i="47" s="1"/>
  <c r="P23" i="47" a="1"/>
  <c r="P23" i="47" s="1"/>
  <c r="Q23" i="47" a="1"/>
  <c r="Q23" i="47" s="1"/>
  <c r="R23" i="47" a="1"/>
  <c r="R23" i="47" s="1"/>
  <c r="S23" i="47" a="1"/>
  <c r="S23" i="47" s="1"/>
  <c r="AD23" i="47" s="1" a="1"/>
  <c r="AD23" i="47" s="1"/>
  <c r="T23" i="47" a="1"/>
  <c r="T23" i="47" s="1"/>
  <c r="AE23" i="47" s="1" a="1"/>
  <c r="AE23" i="47" s="1"/>
  <c r="U23" i="47" a="1"/>
  <c r="U23" i="47" s="1"/>
  <c r="AF23" i="47" s="1" a="1"/>
  <c r="AF23" i="47" s="1"/>
  <c r="V23" i="47" a="1"/>
  <c r="V23" i="47" s="1"/>
  <c r="AG23" i="47" s="1" a="1"/>
  <c r="AG23" i="47" s="1"/>
  <c r="W23" i="47" a="1"/>
  <c r="W23" i="47" s="1"/>
  <c r="AH23" i="47" s="1" a="1"/>
  <c r="AH23" i="47" s="1"/>
  <c r="X23" i="47" a="1"/>
  <c r="X23" i="47" s="1"/>
  <c r="AI23" i="47" s="1" a="1"/>
  <c r="AI23" i="47" s="1"/>
  <c r="N24" i="47" a="1"/>
  <c r="N24" i="47" s="1"/>
  <c r="O24" i="47" a="1"/>
  <c r="O24" i="47" s="1"/>
  <c r="P24" i="47" a="1"/>
  <c r="P24" i="47" s="1"/>
  <c r="Q24" i="47" a="1"/>
  <c r="Q24" i="47" s="1"/>
  <c r="R24" i="47" a="1"/>
  <c r="R24" i="47" s="1"/>
  <c r="S24" i="47" a="1"/>
  <c r="S24" i="47" s="1"/>
  <c r="AD24" i="47" s="1" a="1"/>
  <c r="AD24" i="47" s="1"/>
  <c r="T24" i="47" a="1"/>
  <c r="T24" i="47" s="1"/>
  <c r="AE24" i="47" s="1" a="1"/>
  <c r="AE24" i="47" s="1"/>
  <c r="U24" i="47" a="1"/>
  <c r="U24" i="47" s="1"/>
  <c r="AF24" i="47" s="1" a="1"/>
  <c r="AF24" i="47" s="1"/>
  <c r="V24" i="47" a="1"/>
  <c r="V24" i="47" s="1"/>
  <c r="AG24" i="47" s="1" a="1"/>
  <c r="AG24" i="47" s="1"/>
  <c r="W24" i="47" a="1"/>
  <c r="W24" i="47" s="1"/>
  <c r="AH24" i="47" s="1" a="1"/>
  <c r="AH24" i="47" s="1"/>
  <c r="X24" i="47" a="1"/>
  <c r="X24" i="47" s="1"/>
  <c r="AI24" i="47" s="1" a="1"/>
  <c r="AI24" i="47" s="1"/>
  <c r="N25" i="47" a="1"/>
  <c r="N25" i="47" s="1"/>
  <c r="O25" i="47" a="1"/>
  <c r="O25" i="47" s="1"/>
  <c r="P25" i="47" a="1"/>
  <c r="P25" i="47" s="1"/>
  <c r="Q25" i="47" a="1"/>
  <c r="Q25" i="47" s="1"/>
  <c r="R25" i="47" a="1"/>
  <c r="R25" i="47" s="1"/>
  <c r="S25" i="47" a="1"/>
  <c r="S25" i="47" s="1"/>
  <c r="AD25" i="47" s="1" a="1"/>
  <c r="AD25" i="47" s="1"/>
  <c r="T25" i="47" a="1"/>
  <c r="T25" i="47" s="1"/>
  <c r="AE25" i="47" s="1" a="1"/>
  <c r="AE25" i="47" s="1"/>
  <c r="U25" i="47" a="1"/>
  <c r="U25" i="47" s="1"/>
  <c r="AF25" i="47" s="1" a="1"/>
  <c r="AF25" i="47" s="1"/>
  <c r="V25" i="47" a="1"/>
  <c r="V25" i="47" s="1"/>
  <c r="AG25" i="47" s="1" a="1"/>
  <c r="AG25" i="47" s="1"/>
  <c r="W25" i="47" a="1"/>
  <c r="W25" i="47" s="1"/>
  <c r="AH25" i="47" s="1" a="1"/>
  <c r="AH25" i="47" s="1"/>
  <c r="X25" i="47" a="1"/>
  <c r="X25" i="47" s="1"/>
  <c r="AI25" i="47" s="1" a="1"/>
  <c r="AI25" i="47" s="1"/>
  <c r="N26" i="47" a="1"/>
  <c r="N26" i="47" s="1"/>
  <c r="O26" i="47" a="1"/>
  <c r="O26" i="47" s="1"/>
  <c r="P26" i="47" a="1"/>
  <c r="P26" i="47" s="1"/>
  <c r="Q26" i="47" a="1"/>
  <c r="Q26" i="47" s="1"/>
  <c r="R26" i="47" a="1"/>
  <c r="R26" i="47" s="1"/>
  <c r="S26" i="47" a="1"/>
  <c r="S26" i="47" s="1"/>
  <c r="AD26" i="47" s="1" a="1"/>
  <c r="AD26" i="47" s="1"/>
  <c r="T26" i="47" a="1"/>
  <c r="T26" i="47" s="1"/>
  <c r="AE26" i="47" s="1" a="1"/>
  <c r="AE26" i="47" s="1"/>
  <c r="U26" i="47" a="1"/>
  <c r="U26" i="47" s="1"/>
  <c r="AF26" i="47" s="1" a="1"/>
  <c r="AF26" i="47" s="1"/>
  <c r="V26" i="47" a="1"/>
  <c r="V26" i="47" s="1"/>
  <c r="AG26" i="47" s="1" a="1"/>
  <c r="AG26" i="47" s="1"/>
  <c r="W26" i="47" a="1"/>
  <c r="W26" i="47" s="1"/>
  <c r="AH26" i="47" s="1" a="1"/>
  <c r="AH26" i="47" s="1"/>
  <c r="X26" i="47" a="1"/>
  <c r="X26" i="47" s="1"/>
  <c r="AI26" i="47" s="1" a="1"/>
  <c r="AI26" i="47" s="1"/>
  <c r="N27" i="47" a="1"/>
  <c r="N27" i="47" s="1"/>
  <c r="O27" i="47" a="1"/>
  <c r="O27" i="47" s="1"/>
  <c r="P27" i="47" a="1"/>
  <c r="P27" i="47" s="1"/>
  <c r="Q27" i="47" a="1"/>
  <c r="Q27" i="47" s="1"/>
  <c r="R27" i="47" a="1"/>
  <c r="R27" i="47" s="1"/>
  <c r="S27" i="47" a="1"/>
  <c r="S27" i="47" s="1"/>
  <c r="AD27" i="47" s="1" a="1"/>
  <c r="AD27" i="47" s="1"/>
  <c r="T27" i="47" a="1"/>
  <c r="T27" i="47" s="1"/>
  <c r="AE27" i="47" s="1" a="1"/>
  <c r="AE27" i="47" s="1"/>
  <c r="U27" i="47" a="1"/>
  <c r="U27" i="47" s="1"/>
  <c r="AF27" i="47" s="1" a="1"/>
  <c r="AF27" i="47" s="1"/>
  <c r="V27" i="47" a="1"/>
  <c r="V27" i="47" s="1"/>
  <c r="AG27" i="47" s="1" a="1"/>
  <c r="AG27" i="47" s="1"/>
  <c r="W27" i="47" a="1"/>
  <c r="W27" i="47" s="1"/>
  <c r="AH27" i="47" s="1" a="1"/>
  <c r="AH27" i="47" s="1"/>
  <c r="X27" i="47" a="1"/>
  <c r="X27" i="47" s="1"/>
  <c r="AI27" i="47" s="1" a="1"/>
  <c r="AI27" i="47" s="1"/>
  <c r="N28" i="47" a="1"/>
  <c r="N28" i="47" s="1"/>
  <c r="O28" i="47" a="1"/>
  <c r="O28" i="47" s="1"/>
  <c r="P28" i="47" a="1"/>
  <c r="P28" i="47" s="1"/>
  <c r="Q28" i="47" a="1"/>
  <c r="Q28" i="47" s="1"/>
  <c r="R28" i="47" a="1"/>
  <c r="R28" i="47" s="1"/>
  <c r="S28" i="47" a="1"/>
  <c r="S28" i="47" s="1"/>
  <c r="AD28" i="47" s="1" a="1"/>
  <c r="AD28" i="47" s="1"/>
  <c r="T28" i="47" a="1"/>
  <c r="T28" i="47" s="1"/>
  <c r="AE28" i="47" s="1" a="1"/>
  <c r="AE28" i="47" s="1"/>
  <c r="U28" i="47" a="1"/>
  <c r="U28" i="47" s="1"/>
  <c r="AF28" i="47" s="1" a="1"/>
  <c r="AF28" i="47" s="1"/>
  <c r="V28" i="47" a="1"/>
  <c r="V28" i="47" s="1"/>
  <c r="AG28" i="47" s="1" a="1"/>
  <c r="AG28" i="47" s="1"/>
  <c r="W28" i="47" a="1"/>
  <c r="W28" i="47" s="1"/>
  <c r="AH28" i="47" s="1" a="1"/>
  <c r="AH28" i="47" s="1"/>
  <c r="X28" i="47" a="1"/>
  <c r="X28" i="47" s="1"/>
  <c r="AI28" i="47" s="1" a="1"/>
  <c r="AI28" i="47" s="1"/>
  <c r="N29" i="47" a="1"/>
  <c r="N29" i="47" s="1"/>
  <c r="O29" i="47" a="1"/>
  <c r="O29" i="47" s="1"/>
  <c r="P29" i="47" a="1"/>
  <c r="P29" i="47" s="1"/>
  <c r="Q29" i="47" a="1"/>
  <c r="Q29" i="47" s="1"/>
  <c r="R29" i="47" a="1"/>
  <c r="R29" i="47" s="1"/>
  <c r="S29" i="47" a="1"/>
  <c r="S29" i="47" s="1"/>
  <c r="AD29" i="47" s="1" a="1"/>
  <c r="AD29" i="47" s="1"/>
  <c r="T29" i="47" a="1"/>
  <c r="T29" i="47" s="1"/>
  <c r="AE29" i="47" s="1" a="1"/>
  <c r="AE29" i="47" s="1"/>
  <c r="U29" i="47" a="1"/>
  <c r="U29" i="47" s="1"/>
  <c r="AF29" i="47" s="1" a="1"/>
  <c r="AF29" i="47" s="1"/>
  <c r="V29" i="47" a="1"/>
  <c r="V29" i="47" s="1"/>
  <c r="AG29" i="47" s="1" a="1"/>
  <c r="AG29" i="47" s="1"/>
  <c r="W29" i="47" a="1"/>
  <c r="W29" i="47" s="1"/>
  <c r="AH29" i="47" s="1" a="1"/>
  <c r="AH29" i="47" s="1"/>
  <c r="X29" i="47" a="1"/>
  <c r="X29" i="47" s="1"/>
  <c r="AI29" i="47" s="1" a="1"/>
  <c r="AI29" i="47" s="1"/>
  <c r="N30" i="47" a="1"/>
  <c r="N30" i="47" s="1"/>
  <c r="O30" i="47" a="1"/>
  <c r="O30" i="47" s="1"/>
  <c r="P30" i="47" a="1"/>
  <c r="P30" i="47" s="1"/>
  <c r="Q30" i="47" a="1"/>
  <c r="Q30" i="47" s="1"/>
  <c r="R30" i="47" a="1"/>
  <c r="R30" i="47" s="1"/>
  <c r="S30" i="47" a="1"/>
  <c r="S30" i="47" s="1"/>
  <c r="AD30" i="47" s="1" a="1"/>
  <c r="AD30" i="47" s="1"/>
  <c r="T30" i="47" a="1"/>
  <c r="T30" i="47" s="1"/>
  <c r="AE30" i="47" s="1" a="1"/>
  <c r="AE30" i="47" s="1"/>
  <c r="U30" i="47" a="1"/>
  <c r="U30" i="47" s="1"/>
  <c r="AF30" i="47" s="1" a="1"/>
  <c r="AF30" i="47" s="1"/>
  <c r="V30" i="47" a="1"/>
  <c r="V30" i="47" s="1"/>
  <c r="AG30" i="47" s="1" a="1"/>
  <c r="AG30" i="47" s="1"/>
  <c r="W30" i="47" a="1"/>
  <c r="W30" i="47" s="1"/>
  <c r="AH30" i="47" s="1" a="1"/>
  <c r="AH30" i="47" s="1"/>
  <c r="X30" i="47" a="1"/>
  <c r="X30" i="47" s="1"/>
  <c r="AI30" i="47" s="1" a="1"/>
  <c r="AI30" i="47" s="1"/>
  <c r="N31" i="47" a="1"/>
  <c r="N31" i="47" s="1"/>
  <c r="O31" i="47" a="1"/>
  <c r="O31" i="47" s="1"/>
  <c r="P31" i="47" a="1"/>
  <c r="P31" i="47" s="1"/>
  <c r="Q31" i="47" a="1"/>
  <c r="Q31" i="47" s="1"/>
  <c r="R31" i="47" a="1"/>
  <c r="R31" i="47" s="1"/>
  <c r="S31" i="47" a="1"/>
  <c r="S31" i="47" s="1"/>
  <c r="AD31" i="47" s="1" a="1"/>
  <c r="AD31" i="47" s="1"/>
  <c r="T31" i="47" a="1"/>
  <c r="T31" i="47" s="1"/>
  <c r="AE31" i="47" s="1" a="1"/>
  <c r="AE31" i="47" s="1"/>
  <c r="U31" i="47" a="1"/>
  <c r="U31" i="47" s="1"/>
  <c r="AF31" i="47" s="1" a="1"/>
  <c r="AF31" i="47" s="1"/>
  <c r="V31" i="47" a="1"/>
  <c r="V31" i="47" s="1"/>
  <c r="AG31" i="47" s="1" a="1"/>
  <c r="AG31" i="47" s="1"/>
  <c r="W31" i="47" a="1"/>
  <c r="W31" i="47" s="1"/>
  <c r="AH31" i="47" s="1" a="1"/>
  <c r="AH31" i="47" s="1"/>
  <c r="X31" i="47" a="1"/>
  <c r="X31" i="47" s="1"/>
  <c r="AI31" i="47" s="1" a="1"/>
  <c r="AI31" i="47" s="1"/>
  <c r="N32" i="47" a="1"/>
  <c r="N32" i="47" s="1"/>
  <c r="O32" i="47" a="1"/>
  <c r="O32" i="47" s="1"/>
  <c r="P32" i="47" a="1"/>
  <c r="P32" i="47" s="1"/>
  <c r="Q32" i="47" a="1"/>
  <c r="Q32" i="47" s="1"/>
  <c r="R32" i="47" a="1"/>
  <c r="R32" i="47" s="1"/>
  <c r="S32" i="47" a="1"/>
  <c r="S32" i="47" s="1"/>
  <c r="AD32" i="47" s="1" a="1"/>
  <c r="AD32" i="47" s="1"/>
  <c r="T32" i="47" a="1"/>
  <c r="T32" i="47" s="1"/>
  <c r="AE32" i="47" s="1" a="1"/>
  <c r="AE32" i="47" s="1"/>
  <c r="U32" i="47" a="1"/>
  <c r="U32" i="47" s="1"/>
  <c r="AF32" i="47" s="1" a="1"/>
  <c r="AF32" i="47" s="1"/>
  <c r="V32" i="47" a="1"/>
  <c r="V32" i="47" s="1"/>
  <c r="AG32" i="47" s="1" a="1"/>
  <c r="AG32" i="47" s="1"/>
  <c r="W32" i="47" a="1"/>
  <c r="W32" i="47" s="1"/>
  <c r="AH32" i="47" s="1" a="1"/>
  <c r="AH32" i="47" s="1"/>
  <c r="X32" i="47" a="1"/>
  <c r="X32" i="47" s="1"/>
  <c r="AI32" i="47" s="1" a="1"/>
  <c r="AI32" i="47" s="1"/>
  <c r="N33" i="47" a="1"/>
  <c r="N33" i="47" s="1"/>
  <c r="O33" i="47" a="1"/>
  <c r="O33" i="47" s="1"/>
  <c r="P33" i="47" a="1"/>
  <c r="P33" i="47" s="1"/>
  <c r="Q33" i="47" a="1"/>
  <c r="Q33" i="47" s="1"/>
  <c r="R33" i="47" a="1"/>
  <c r="R33" i="47" s="1"/>
  <c r="S33" i="47" a="1"/>
  <c r="S33" i="47" s="1"/>
  <c r="AD33" i="47" s="1" a="1"/>
  <c r="AD33" i="47" s="1"/>
  <c r="T33" i="47" a="1"/>
  <c r="T33" i="47" s="1"/>
  <c r="AE33" i="47" s="1" a="1"/>
  <c r="AE33" i="47" s="1"/>
  <c r="U33" i="47" a="1"/>
  <c r="U33" i="47" s="1"/>
  <c r="AF33" i="47" s="1" a="1"/>
  <c r="AF33" i="47" s="1"/>
  <c r="V33" i="47" a="1"/>
  <c r="V33" i="47" s="1"/>
  <c r="AG33" i="47" s="1" a="1"/>
  <c r="AG33" i="47" s="1"/>
  <c r="W33" i="47" a="1"/>
  <c r="W33" i="47" s="1"/>
  <c r="AH33" i="47" s="1" a="1"/>
  <c r="AH33" i="47" s="1"/>
  <c r="X33" i="47" a="1"/>
  <c r="X33" i="47" s="1"/>
  <c r="AI33" i="47" s="1" a="1"/>
  <c r="AI33" i="47" s="1"/>
  <c r="N34" i="47" a="1"/>
  <c r="N34" i="47" s="1"/>
  <c r="O34" i="47" a="1"/>
  <c r="O34" i="47" s="1"/>
  <c r="P34" i="47" a="1"/>
  <c r="P34" i="47" s="1"/>
  <c r="Q34" i="47" a="1"/>
  <c r="Q34" i="47" s="1"/>
  <c r="R34" i="47" a="1"/>
  <c r="R34" i="47" s="1"/>
  <c r="S34" i="47" a="1"/>
  <c r="S34" i="47" s="1"/>
  <c r="AD34" i="47" s="1" a="1"/>
  <c r="AD34" i="47" s="1"/>
  <c r="T34" i="47" a="1"/>
  <c r="T34" i="47" s="1"/>
  <c r="AE34" i="47" s="1" a="1"/>
  <c r="AE34" i="47" s="1"/>
  <c r="U34" i="47" a="1"/>
  <c r="U34" i="47" s="1"/>
  <c r="AF34" i="47" s="1" a="1"/>
  <c r="AF34" i="47" s="1"/>
  <c r="V34" i="47" a="1"/>
  <c r="V34" i="47" s="1"/>
  <c r="AG34" i="47" s="1" a="1"/>
  <c r="AG34" i="47" s="1"/>
  <c r="W34" i="47" a="1"/>
  <c r="W34" i="47" s="1"/>
  <c r="AH34" i="47" s="1" a="1"/>
  <c r="AH34" i="47" s="1"/>
  <c r="X34" i="47" a="1"/>
  <c r="X34" i="47" s="1"/>
  <c r="AI34" i="47" s="1" a="1"/>
  <c r="AI34" i="47" s="1"/>
  <c r="N35" i="47" a="1"/>
  <c r="N35" i="47" s="1"/>
  <c r="O35" i="47" a="1"/>
  <c r="O35" i="47" s="1"/>
  <c r="P35" i="47" a="1"/>
  <c r="P35" i="47" s="1"/>
  <c r="Q35" i="47" a="1"/>
  <c r="Q35" i="47" s="1"/>
  <c r="R35" i="47" a="1"/>
  <c r="R35" i="47" s="1"/>
  <c r="S35" i="47" a="1"/>
  <c r="S35" i="47" s="1"/>
  <c r="AD35" i="47" s="1" a="1"/>
  <c r="AD35" i="47" s="1"/>
  <c r="T35" i="47" a="1"/>
  <c r="T35" i="47" s="1"/>
  <c r="AE35" i="47" s="1" a="1"/>
  <c r="AE35" i="47" s="1"/>
  <c r="U35" i="47" a="1"/>
  <c r="U35" i="47" s="1"/>
  <c r="AF35" i="47" s="1" a="1"/>
  <c r="AF35" i="47" s="1"/>
  <c r="V35" i="47" a="1"/>
  <c r="V35" i="47" s="1"/>
  <c r="AG35" i="47" s="1" a="1"/>
  <c r="AG35" i="47" s="1"/>
  <c r="W35" i="47" a="1"/>
  <c r="W35" i="47" s="1"/>
  <c r="AH35" i="47" s="1" a="1"/>
  <c r="AH35" i="47" s="1"/>
  <c r="X35" i="47" a="1"/>
  <c r="X35" i="47" s="1"/>
  <c r="AI35" i="47" s="1" a="1"/>
  <c r="AI35" i="47" s="1"/>
  <c r="N36" i="47" a="1"/>
  <c r="N36" i="47" s="1"/>
  <c r="O36" i="47" a="1"/>
  <c r="O36" i="47" s="1"/>
  <c r="P36" i="47" a="1"/>
  <c r="P36" i="47" s="1"/>
  <c r="Q36" i="47" a="1"/>
  <c r="Q36" i="47" s="1"/>
  <c r="R36" i="47" a="1"/>
  <c r="R36" i="47" s="1"/>
  <c r="S36" i="47" a="1"/>
  <c r="S36" i="47" s="1"/>
  <c r="AD36" i="47" s="1" a="1"/>
  <c r="AD36" i="47" s="1"/>
  <c r="T36" i="47" a="1"/>
  <c r="T36" i="47" s="1"/>
  <c r="AE36" i="47" s="1" a="1"/>
  <c r="AE36" i="47" s="1"/>
  <c r="U36" i="47" a="1"/>
  <c r="U36" i="47" s="1"/>
  <c r="AF36" i="47" s="1" a="1"/>
  <c r="AF36" i="47" s="1"/>
  <c r="V36" i="47" a="1"/>
  <c r="V36" i="47" s="1"/>
  <c r="AG36" i="47" s="1" a="1"/>
  <c r="AG36" i="47" s="1"/>
  <c r="W36" i="47" a="1"/>
  <c r="W36" i="47" s="1"/>
  <c r="AH36" i="47" s="1" a="1"/>
  <c r="AH36" i="47" s="1"/>
  <c r="X36" i="47" a="1"/>
  <c r="X36" i="47" s="1"/>
  <c r="AI36" i="47" s="1" a="1"/>
  <c r="AI36" i="47" s="1"/>
  <c r="N37" i="47" a="1"/>
  <c r="N37" i="47" s="1"/>
  <c r="O37" i="47" a="1"/>
  <c r="O37" i="47" s="1"/>
  <c r="P37" i="47" a="1"/>
  <c r="P37" i="47" s="1"/>
  <c r="Q37" i="47" a="1"/>
  <c r="Q37" i="47" s="1"/>
  <c r="R37" i="47" a="1"/>
  <c r="R37" i="47" s="1"/>
  <c r="S37" i="47" a="1"/>
  <c r="S37" i="47" s="1"/>
  <c r="AD37" i="47" s="1" a="1"/>
  <c r="AD37" i="47" s="1"/>
  <c r="T37" i="47" a="1"/>
  <c r="T37" i="47" s="1"/>
  <c r="AE37" i="47" s="1" a="1"/>
  <c r="AE37" i="47" s="1"/>
  <c r="U37" i="47" a="1"/>
  <c r="U37" i="47" s="1"/>
  <c r="AF37" i="47" s="1" a="1"/>
  <c r="AF37" i="47" s="1"/>
  <c r="V37" i="47" a="1"/>
  <c r="V37" i="47" s="1"/>
  <c r="AG37" i="47" s="1" a="1"/>
  <c r="AG37" i="47" s="1"/>
  <c r="W37" i="47" a="1"/>
  <c r="W37" i="47" s="1"/>
  <c r="AH37" i="47" s="1" a="1"/>
  <c r="AH37" i="47" s="1"/>
  <c r="X37" i="47" a="1"/>
  <c r="X37" i="47" s="1"/>
  <c r="AI37" i="47" s="1" a="1"/>
  <c r="AI37" i="47" s="1"/>
  <c r="N38" i="47" a="1"/>
  <c r="N38" i="47" s="1"/>
  <c r="O38" i="47" a="1"/>
  <c r="O38" i="47" s="1"/>
  <c r="P38" i="47" a="1"/>
  <c r="P38" i="47" s="1"/>
  <c r="Q38" i="47" a="1"/>
  <c r="Q38" i="47" s="1"/>
  <c r="R38" i="47" a="1"/>
  <c r="R38" i="47" s="1"/>
  <c r="S38" i="47" a="1"/>
  <c r="S38" i="47" s="1"/>
  <c r="AD38" i="47" s="1" a="1"/>
  <c r="AD38" i="47" s="1"/>
  <c r="T38" i="47" a="1"/>
  <c r="T38" i="47" s="1"/>
  <c r="AE38" i="47" s="1" a="1"/>
  <c r="AE38" i="47" s="1"/>
  <c r="U38" i="47" a="1"/>
  <c r="U38" i="47" s="1"/>
  <c r="AF38" i="47" s="1" a="1"/>
  <c r="AF38" i="47" s="1"/>
  <c r="V38" i="47" a="1"/>
  <c r="V38" i="47" s="1"/>
  <c r="AG38" i="47" s="1" a="1"/>
  <c r="AG38" i="47" s="1"/>
  <c r="W38" i="47" a="1"/>
  <c r="W38" i="47" s="1"/>
  <c r="AH38" i="47" s="1" a="1"/>
  <c r="AH38" i="47" s="1"/>
  <c r="X38" i="47" a="1"/>
  <c r="X38" i="47" s="1"/>
  <c r="AI38" i="47" s="1" a="1"/>
  <c r="AI38" i="47" s="1"/>
  <c r="N39" i="47" a="1"/>
  <c r="N39" i="47" s="1"/>
  <c r="O39" i="47" a="1"/>
  <c r="O39" i="47" s="1"/>
  <c r="P39" i="47" a="1"/>
  <c r="P39" i="47" s="1"/>
  <c r="Q39" i="47" a="1"/>
  <c r="Q39" i="47" s="1"/>
  <c r="R39" i="47" a="1"/>
  <c r="R39" i="47" s="1"/>
  <c r="S39" i="47" a="1"/>
  <c r="S39" i="47" s="1"/>
  <c r="AD39" i="47" s="1" a="1"/>
  <c r="AD39" i="47" s="1"/>
  <c r="T39" i="47" a="1"/>
  <c r="T39" i="47" s="1"/>
  <c r="AE39" i="47" s="1" a="1"/>
  <c r="AE39" i="47" s="1"/>
  <c r="U39" i="47" a="1"/>
  <c r="U39" i="47" s="1"/>
  <c r="AF39" i="47" s="1" a="1"/>
  <c r="AF39" i="47" s="1"/>
  <c r="V39" i="47" a="1"/>
  <c r="V39" i="47" s="1"/>
  <c r="AG39" i="47" s="1" a="1"/>
  <c r="AG39" i="47" s="1"/>
  <c r="W39" i="47" a="1"/>
  <c r="W39" i="47" s="1"/>
  <c r="AH39" i="47" s="1" a="1"/>
  <c r="AH39" i="47" s="1"/>
  <c r="X39" i="47" a="1"/>
  <c r="X39" i="47" s="1"/>
  <c r="AI39" i="47" s="1" a="1"/>
  <c r="AI39" i="47" s="1"/>
  <c r="N40" i="47" a="1"/>
  <c r="N40" i="47" s="1"/>
  <c r="O40" i="47" a="1"/>
  <c r="O40" i="47" s="1"/>
  <c r="P40" i="47" a="1"/>
  <c r="P40" i="47" s="1"/>
  <c r="Q40" i="47" a="1"/>
  <c r="Q40" i="47" s="1"/>
  <c r="R40" i="47" a="1"/>
  <c r="R40" i="47" s="1"/>
  <c r="S40" i="47" a="1"/>
  <c r="S40" i="47" s="1"/>
  <c r="AD40" i="47" s="1" a="1"/>
  <c r="AD40" i="47" s="1"/>
  <c r="T40" i="47" a="1"/>
  <c r="T40" i="47" s="1"/>
  <c r="AE40" i="47" s="1" a="1"/>
  <c r="AE40" i="47" s="1"/>
  <c r="U40" i="47" a="1"/>
  <c r="U40" i="47" s="1"/>
  <c r="AF40" i="47" s="1" a="1"/>
  <c r="AF40" i="47" s="1"/>
  <c r="V40" i="47" a="1"/>
  <c r="V40" i="47" s="1"/>
  <c r="AG40" i="47" s="1" a="1"/>
  <c r="AG40" i="47" s="1"/>
  <c r="W40" i="47" a="1"/>
  <c r="W40" i="47" s="1"/>
  <c r="AH40" i="47" s="1" a="1"/>
  <c r="AH40" i="47" s="1"/>
  <c r="X40" i="47" a="1"/>
  <c r="X40" i="47" s="1"/>
  <c r="AI40" i="47" s="1" a="1"/>
  <c r="AI40" i="47" s="1"/>
  <c r="N41" i="47" a="1"/>
  <c r="N41" i="47" s="1"/>
  <c r="O41" i="47" a="1"/>
  <c r="O41" i="47" s="1"/>
  <c r="P41" i="47" a="1"/>
  <c r="P41" i="47" s="1"/>
  <c r="Q41" i="47" a="1"/>
  <c r="Q41" i="47" s="1"/>
  <c r="R41" i="47" a="1"/>
  <c r="R41" i="47" s="1"/>
  <c r="S41" i="47" a="1"/>
  <c r="S41" i="47" s="1"/>
  <c r="AD41" i="47" s="1" a="1"/>
  <c r="AD41" i="47" s="1"/>
  <c r="T41" i="47" a="1"/>
  <c r="T41" i="47" s="1"/>
  <c r="AE41" i="47" s="1" a="1"/>
  <c r="AE41" i="47" s="1"/>
  <c r="U41" i="47" a="1"/>
  <c r="U41" i="47" s="1"/>
  <c r="AF41" i="47" s="1" a="1"/>
  <c r="AF41" i="47" s="1"/>
  <c r="V41" i="47" a="1"/>
  <c r="V41" i="47" s="1"/>
  <c r="AG41" i="47" s="1" a="1"/>
  <c r="AG41" i="47" s="1"/>
  <c r="W41" i="47" a="1"/>
  <c r="W41" i="47" s="1"/>
  <c r="AH41" i="47" s="1" a="1"/>
  <c r="AH41" i="47" s="1"/>
  <c r="X41" i="47" a="1"/>
  <c r="X41" i="47" s="1"/>
  <c r="AI41" i="47" s="1" a="1"/>
  <c r="AI41" i="47" s="1"/>
  <c r="N42" i="47" a="1"/>
  <c r="N42" i="47" s="1"/>
  <c r="O42" i="47" a="1"/>
  <c r="O42" i="47" s="1"/>
  <c r="P42" i="47" a="1"/>
  <c r="P42" i="47" s="1"/>
  <c r="Q42" i="47" a="1"/>
  <c r="Q42" i="47" s="1"/>
  <c r="R42" i="47" a="1"/>
  <c r="R42" i="47" s="1"/>
  <c r="S42" i="47" a="1"/>
  <c r="S42" i="47" s="1"/>
  <c r="AD42" i="47" s="1" a="1"/>
  <c r="AD42" i="47" s="1"/>
  <c r="T42" i="47" a="1"/>
  <c r="T42" i="47" s="1"/>
  <c r="AE42" i="47" s="1" a="1"/>
  <c r="AE42" i="47" s="1"/>
  <c r="U42" i="47" a="1"/>
  <c r="U42" i="47" s="1"/>
  <c r="AF42" i="47" s="1" a="1"/>
  <c r="AF42" i="47" s="1"/>
  <c r="V42" i="47" a="1"/>
  <c r="V42" i="47" s="1"/>
  <c r="AG42" i="47" s="1" a="1"/>
  <c r="AG42" i="47" s="1"/>
  <c r="W42" i="47" a="1"/>
  <c r="W42" i="47" s="1"/>
  <c r="AH42" i="47" s="1" a="1"/>
  <c r="AH42" i="47" s="1"/>
  <c r="X42" i="47" a="1"/>
  <c r="X42" i="47" s="1"/>
  <c r="AI42" i="47" s="1" a="1"/>
  <c r="AI42" i="47" s="1"/>
  <c r="N43" i="47" a="1"/>
  <c r="N43" i="47" s="1"/>
  <c r="O43" i="47" a="1"/>
  <c r="O43" i="47" s="1"/>
  <c r="P43" i="47" a="1"/>
  <c r="P43" i="47" s="1"/>
  <c r="Q43" i="47" a="1"/>
  <c r="Q43" i="47" s="1"/>
  <c r="R43" i="47" a="1"/>
  <c r="R43" i="47" s="1"/>
  <c r="S43" i="47" a="1"/>
  <c r="S43" i="47" s="1"/>
  <c r="AD43" i="47" s="1" a="1"/>
  <c r="AD43" i="47" s="1"/>
  <c r="T43" i="47" a="1"/>
  <c r="T43" i="47" s="1"/>
  <c r="AE43" i="47" s="1" a="1"/>
  <c r="AE43" i="47" s="1"/>
  <c r="U43" i="47" a="1"/>
  <c r="U43" i="47" s="1"/>
  <c r="AF43" i="47" s="1" a="1"/>
  <c r="AF43" i="47" s="1"/>
  <c r="V43" i="47" a="1"/>
  <c r="V43" i="47" s="1"/>
  <c r="AG43" i="47" s="1" a="1"/>
  <c r="AG43" i="47" s="1"/>
  <c r="W43" i="47" a="1"/>
  <c r="W43" i="47" s="1"/>
  <c r="AH43" i="47" s="1" a="1"/>
  <c r="AH43" i="47" s="1"/>
  <c r="X43" i="47" a="1"/>
  <c r="X43" i="47" s="1"/>
  <c r="AI43" i="47" s="1" a="1"/>
  <c r="AI43" i="47" s="1"/>
  <c r="N44" i="47" a="1"/>
  <c r="N44" i="47" s="1"/>
  <c r="O44" i="47" a="1"/>
  <c r="O44" i="47" s="1"/>
  <c r="P44" i="47" a="1"/>
  <c r="P44" i="47" s="1"/>
  <c r="Q44" i="47" a="1"/>
  <c r="Q44" i="47" s="1"/>
  <c r="R44" i="47" a="1"/>
  <c r="R44" i="47" s="1"/>
  <c r="S44" i="47" a="1"/>
  <c r="S44" i="47" s="1"/>
  <c r="AD44" i="47" s="1" a="1"/>
  <c r="AD44" i="47" s="1"/>
  <c r="T44" i="47" a="1"/>
  <c r="T44" i="47" s="1"/>
  <c r="AE44" i="47" s="1" a="1"/>
  <c r="AE44" i="47" s="1"/>
  <c r="U44" i="47" a="1"/>
  <c r="U44" i="47" s="1"/>
  <c r="AF44" i="47" s="1" a="1"/>
  <c r="AF44" i="47" s="1"/>
  <c r="V44" i="47" a="1"/>
  <c r="V44" i="47" s="1"/>
  <c r="AG44" i="47" s="1" a="1"/>
  <c r="AG44" i="47" s="1"/>
  <c r="W44" i="47" a="1"/>
  <c r="W44" i="47" s="1"/>
  <c r="AH44" i="47" s="1" a="1"/>
  <c r="AH44" i="47" s="1"/>
  <c r="X44" i="47" a="1"/>
  <c r="X44" i="47" s="1"/>
  <c r="AI44" i="47" s="1" a="1"/>
  <c r="AI44" i="47" s="1"/>
  <c r="N45" i="47" a="1"/>
  <c r="N45" i="47" s="1"/>
  <c r="O45" i="47" a="1"/>
  <c r="O45" i="47" s="1"/>
  <c r="P45" i="47" a="1"/>
  <c r="P45" i="47" s="1"/>
  <c r="Q45" i="47" a="1"/>
  <c r="Q45" i="47" s="1"/>
  <c r="R45" i="47" a="1"/>
  <c r="R45" i="47" s="1"/>
  <c r="S45" i="47" a="1"/>
  <c r="S45" i="47" s="1"/>
  <c r="AD45" i="47" s="1" a="1"/>
  <c r="AD45" i="47" s="1"/>
  <c r="T45" i="47" a="1"/>
  <c r="T45" i="47" s="1"/>
  <c r="AE45" i="47" s="1" a="1"/>
  <c r="AE45" i="47" s="1"/>
  <c r="U45" i="47" a="1"/>
  <c r="U45" i="47" s="1"/>
  <c r="AF45" i="47" s="1" a="1"/>
  <c r="AF45" i="47" s="1"/>
  <c r="V45" i="47" a="1"/>
  <c r="V45" i="47" s="1"/>
  <c r="AG45" i="47" s="1" a="1"/>
  <c r="AG45" i="47" s="1"/>
  <c r="W45" i="47" a="1"/>
  <c r="W45" i="47" s="1"/>
  <c r="AH45" i="47" s="1" a="1"/>
  <c r="AH45" i="47" s="1"/>
  <c r="X45" i="47" a="1"/>
  <c r="X45" i="47" s="1"/>
  <c r="AI45" i="47" s="1" a="1"/>
  <c r="AI45" i="47" s="1"/>
  <c r="N46" i="47" a="1"/>
  <c r="N46" i="47" s="1"/>
  <c r="O46" i="47" a="1"/>
  <c r="O46" i="47" s="1"/>
  <c r="P46" i="47" a="1"/>
  <c r="P46" i="47" s="1"/>
  <c r="Q46" i="47" a="1"/>
  <c r="Q46" i="47" s="1"/>
  <c r="R46" i="47" a="1"/>
  <c r="R46" i="47" s="1"/>
  <c r="S46" i="47" a="1"/>
  <c r="S46" i="47" s="1"/>
  <c r="AD46" i="47" s="1" a="1"/>
  <c r="AD46" i="47" s="1"/>
  <c r="T46" i="47" a="1"/>
  <c r="T46" i="47" s="1"/>
  <c r="AE46" i="47" s="1" a="1"/>
  <c r="AE46" i="47" s="1"/>
  <c r="U46" i="47" a="1"/>
  <c r="U46" i="47" s="1"/>
  <c r="AF46" i="47" s="1" a="1"/>
  <c r="AF46" i="47" s="1"/>
  <c r="V46" i="47" a="1"/>
  <c r="V46" i="47" s="1"/>
  <c r="AG46" i="47" s="1" a="1"/>
  <c r="AG46" i="47" s="1"/>
  <c r="W46" i="47" a="1"/>
  <c r="W46" i="47" s="1"/>
  <c r="AH46" i="47" s="1" a="1"/>
  <c r="AH46" i="47" s="1"/>
  <c r="X46" i="47" a="1"/>
  <c r="X46" i="47" s="1"/>
  <c r="AI46" i="47" s="1" a="1"/>
  <c r="AI46" i="47" s="1"/>
  <c r="N47" i="47" a="1"/>
  <c r="N47" i="47" s="1"/>
  <c r="O47" i="47" a="1"/>
  <c r="O47" i="47" s="1"/>
  <c r="P47" i="47" a="1"/>
  <c r="P47" i="47" s="1"/>
  <c r="Q47" i="47" a="1"/>
  <c r="Q47" i="47" s="1"/>
  <c r="R47" i="47" a="1"/>
  <c r="R47" i="47" s="1"/>
  <c r="S47" i="47" a="1"/>
  <c r="S47" i="47" s="1"/>
  <c r="AD47" i="47" s="1" a="1"/>
  <c r="AD47" i="47" s="1"/>
  <c r="T47" i="47" a="1"/>
  <c r="T47" i="47" s="1"/>
  <c r="AE47" i="47" s="1" a="1"/>
  <c r="AE47" i="47" s="1"/>
  <c r="U47" i="47" a="1"/>
  <c r="U47" i="47" s="1"/>
  <c r="AF47" i="47" s="1" a="1"/>
  <c r="AF47" i="47" s="1"/>
  <c r="V47" i="47" a="1"/>
  <c r="V47" i="47" s="1"/>
  <c r="AG47" i="47" s="1" a="1"/>
  <c r="AG47" i="47" s="1"/>
  <c r="W47" i="47" a="1"/>
  <c r="W47" i="47" s="1"/>
  <c r="AH47" i="47" s="1" a="1"/>
  <c r="AH47" i="47" s="1"/>
  <c r="X47" i="47" a="1"/>
  <c r="X47" i="47" s="1"/>
  <c r="AI47" i="47" s="1" a="1"/>
  <c r="AI47" i="47" s="1"/>
  <c r="N48" i="47" a="1"/>
  <c r="N48" i="47" s="1"/>
  <c r="O48" i="47" a="1"/>
  <c r="O48" i="47" s="1"/>
  <c r="P48" i="47" a="1"/>
  <c r="P48" i="47" s="1"/>
  <c r="Q48" i="47" a="1"/>
  <c r="Q48" i="47" s="1"/>
  <c r="R48" i="47" a="1"/>
  <c r="R48" i="47" s="1"/>
  <c r="S48" i="47" a="1"/>
  <c r="S48" i="47" s="1"/>
  <c r="AD48" i="47" s="1" a="1"/>
  <c r="AD48" i="47" s="1"/>
  <c r="T48" i="47" a="1"/>
  <c r="T48" i="47" s="1"/>
  <c r="AE48" i="47" s="1" a="1"/>
  <c r="AE48" i="47" s="1"/>
  <c r="U48" i="47" a="1"/>
  <c r="U48" i="47" s="1"/>
  <c r="AF48" i="47" s="1" a="1"/>
  <c r="AF48" i="47" s="1"/>
  <c r="V48" i="47" a="1"/>
  <c r="V48" i="47" s="1"/>
  <c r="AG48" i="47" s="1" a="1"/>
  <c r="AG48" i="47" s="1"/>
  <c r="W48" i="47" a="1"/>
  <c r="W48" i="47" s="1"/>
  <c r="AH48" i="47" s="1" a="1"/>
  <c r="AH48" i="47" s="1"/>
  <c r="X48" i="47" a="1"/>
  <c r="X48" i="47" s="1"/>
  <c r="AI48" i="47" s="1" a="1"/>
  <c r="AI48" i="47" s="1"/>
  <c r="N49" i="47" a="1"/>
  <c r="N49" i="47" s="1"/>
  <c r="O49" i="47" a="1"/>
  <c r="O49" i="47" s="1"/>
  <c r="P49" i="47" a="1"/>
  <c r="P49" i="47" s="1"/>
  <c r="Q49" i="47" a="1"/>
  <c r="Q49" i="47" s="1"/>
  <c r="R49" i="47" a="1"/>
  <c r="R49" i="47" s="1"/>
  <c r="S49" i="47" a="1"/>
  <c r="S49" i="47" s="1"/>
  <c r="AD49" i="47" s="1" a="1"/>
  <c r="AD49" i="47" s="1"/>
  <c r="T49" i="47" a="1"/>
  <c r="T49" i="47" s="1"/>
  <c r="AE49" i="47" s="1" a="1"/>
  <c r="AE49" i="47" s="1"/>
  <c r="U49" i="47" a="1"/>
  <c r="U49" i="47" s="1"/>
  <c r="AF49" i="47" s="1" a="1"/>
  <c r="AF49" i="47" s="1"/>
  <c r="V49" i="47" a="1"/>
  <c r="V49" i="47" s="1"/>
  <c r="AG49" i="47" s="1" a="1"/>
  <c r="AG49" i="47" s="1"/>
  <c r="W49" i="47" a="1"/>
  <c r="W49" i="47" s="1"/>
  <c r="AH49" i="47" s="1" a="1"/>
  <c r="AH49" i="47" s="1"/>
  <c r="X49" i="47" a="1"/>
  <c r="X49" i="47" s="1"/>
  <c r="AI49" i="47" s="1" a="1"/>
  <c r="AI49" i="47" s="1"/>
  <c r="N50" i="47" a="1"/>
  <c r="N50" i="47" s="1"/>
  <c r="O50" i="47" a="1"/>
  <c r="O50" i="47" s="1"/>
  <c r="P50" i="47" a="1"/>
  <c r="P50" i="47" s="1"/>
  <c r="Q50" i="47" a="1"/>
  <c r="Q50" i="47" s="1"/>
  <c r="R50" i="47" a="1"/>
  <c r="R50" i="47" s="1"/>
  <c r="S50" i="47" a="1"/>
  <c r="S50" i="47" s="1"/>
  <c r="AD50" i="47" s="1" a="1"/>
  <c r="AD50" i="47" s="1"/>
  <c r="T50" i="47" a="1"/>
  <c r="T50" i="47" s="1"/>
  <c r="AE50" i="47" s="1" a="1"/>
  <c r="AE50" i="47" s="1"/>
  <c r="U50" i="47" a="1"/>
  <c r="U50" i="47" s="1"/>
  <c r="AF50" i="47" s="1" a="1"/>
  <c r="AF50" i="47" s="1"/>
  <c r="V50" i="47" a="1"/>
  <c r="V50" i="47" s="1"/>
  <c r="AG50" i="47" s="1" a="1"/>
  <c r="AG50" i="47" s="1"/>
  <c r="W50" i="47" a="1"/>
  <c r="W50" i="47" s="1"/>
  <c r="AH50" i="47" s="1" a="1"/>
  <c r="AH50" i="47" s="1"/>
  <c r="X50" i="47" a="1"/>
  <c r="X50" i="47" s="1"/>
  <c r="AI50" i="47" s="1" a="1"/>
  <c r="AI50" i="47" s="1"/>
  <c r="N51" i="47" a="1"/>
  <c r="N51" i="47" s="1"/>
  <c r="O51" i="47" a="1"/>
  <c r="O51" i="47" s="1"/>
  <c r="P51" i="47" a="1"/>
  <c r="P51" i="47" s="1"/>
  <c r="Q51" i="47" a="1"/>
  <c r="Q51" i="47" s="1"/>
  <c r="R51" i="47" a="1"/>
  <c r="R51" i="47" s="1"/>
  <c r="S51" i="47" a="1"/>
  <c r="S51" i="47" s="1"/>
  <c r="AD51" i="47" s="1" a="1"/>
  <c r="AD51" i="47" s="1"/>
  <c r="T51" i="47" a="1"/>
  <c r="T51" i="47" s="1"/>
  <c r="AE51" i="47" s="1" a="1"/>
  <c r="AE51" i="47" s="1"/>
  <c r="U51" i="47" a="1"/>
  <c r="U51" i="47" s="1"/>
  <c r="AF51" i="47" s="1" a="1"/>
  <c r="AF51" i="47" s="1"/>
  <c r="V51" i="47" a="1"/>
  <c r="V51" i="47" s="1"/>
  <c r="AG51" i="47" s="1" a="1"/>
  <c r="AG51" i="47" s="1"/>
  <c r="W51" i="47" a="1"/>
  <c r="W51" i="47" s="1"/>
  <c r="AH51" i="47" s="1" a="1"/>
  <c r="AH51" i="47" s="1"/>
  <c r="X51" i="47" a="1"/>
  <c r="X51" i="47" s="1"/>
  <c r="AI51" i="47" s="1" a="1"/>
  <c r="AI51" i="47" s="1"/>
  <c r="N52" i="47" a="1"/>
  <c r="N52" i="47" s="1"/>
  <c r="O52" i="47" a="1"/>
  <c r="O52" i="47" s="1"/>
  <c r="P52" i="47" a="1"/>
  <c r="P52" i="47" s="1"/>
  <c r="Q52" i="47" a="1"/>
  <c r="Q52" i="47" s="1"/>
  <c r="R52" i="47" a="1"/>
  <c r="R52" i="47" s="1"/>
  <c r="S52" i="47" a="1"/>
  <c r="S52" i="47" s="1"/>
  <c r="AD52" i="47" s="1" a="1"/>
  <c r="AD52" i="47" s="1"/>
  <c r="T52" i="47" a="1"/>
  <c r="T52" i="47" s="1"/>
  <c r="AE52" i="47" s="1" a="1"/>
  <c r="AE52" i="47" s="1"/>
  <c r="U52" i="47" a="1"/>
  <c r="U52" i="47" s="1"/>
  <c r="AF52" i="47" s="1" a="1"/>
  <c r="AF52" i="47" s="1"/>
  <c r="V52" i="47" a="1"/>
  <c r="V52" i="47" s="1"/>
  <c r="AG52" i="47" s="1" a="1"/>
  <c r="AG52" i="47" s="1"/>
  <c r="W52" i="47" a="1"/>
  <c r="W52" i="47" s="1"/>
  <c r="AH52" i="47" s="1" a="1"/>
  <c r="AH52" i="47" s="1"/>
  <c r="X52" i="47" a="1"/>
  <c r="X52" i="47" s="1"/>
  <c r="AI52" i="47" s="1" a="1"/>
  <c r="AI52" i="47" s="1"/>
  <c r="N53" i="47" a="1"/>
  <c r="N53" i="47" s="1"/>
  <c r="O53" i="47" a="1"/>
  <c r="O53" i="47" s="1"/>
  <c r="P53" i="47" a="1"/>
  <c r="P53" i="47" s="1"/>
  <c r="Q53" i="47" a="1"/>
  <c r="Q53" i="47" s="1"/>
  <c r="R53" i="47" a="1"/>
  <c r="R53" i="47" s="1"/>
  <c r="S53" i="47" a="1"/>
  <c r="S53" i="47" s="1"/>
  <c r="AD53" i="47" s="1" a="1"/>
  <c r="AD53" i="47" s="1"/>
  <c r="T53" i="47" a="1"/>
  <c r="T53" i="47" s="1"/>
  <c r="AE53" i="47" s="1" a="1"/>
  <c r="AE53" i="47" s="1"/>
  <c r="U53" i="47" a="1"/>
  <c r="U53" i="47" s="1"/>
  <c r="AF53" i="47" s="1" a="1"/>
  <c r="AF53" i="47" s="1"/>
  <c r="V53" i="47" a="1"/>
  <c r="V53" i="47" s="1"/>
  <c r="AG53" i="47" s="1" a="1"/>
  <c r="AG53" i="47" s="1"/>
  <c r="W53" i="47" a="1"/>
  <c r="W53" i="47" s="1"/>
  <c r="AH53" i="47" s="1" a="1"/>
  <c r="AH53" i="47" s="1"/>
  <c r="X53" i="47" a="1"/>
  <c r="X53" i="47" s="1"/>
  <c r="AI53" i="47" s="1" a="1"/>
  <c r="AI53" i="47" s="1"/>
  <c r="N54" i="47" a="1"/>
  <c r="N54" i="47" s="1"/>
  <c r="O54" i="47" a="1"/>
  <c r="O54" i="47" s="1"/>
  <c r="P54" i="47" a="1"/>
  <c r="P54" i="47" s="1"/>
  <c r="Q54" i="47" a="1"/>
  <c r="Q54" i="47" s="1"/>
  <c r="R54" i="47" a="1"/>
  <c r="R54" i="47" s="1"/>
  <c r="S54" i="47" a="1"/>
  <c r="S54" i="47" s="1"/>
  <c r="AD54" i="47" s="1" a="1"/>
  <c r="AD54" i="47" s="1"/>
  <c r="T54" i="47" a="1"/>
  <c r="T54" i="47" s="1"/>
  <c r="AE54" i="47" s="1" a="1"/>
  <c r="AE54" i="47" s="1"/>
  <c r="U54" i="47" a="1"/>
  <c r="U54" i="47" s="1"/>
  <c r="V54" i="47" a="1"/>
  <c r="V54" i="47" s="1"/>
  <c r="AG54" i="47" s="1" a="1"/>
  <c r="AG54" i="47" s="1"/>
  <c r="W54" i="47" a="1"/>
  <c r="W54" i="47" s="1"/>
  <c r="AH54" i="47" s="1" a="1"/>
  <c r="AH54" i="47" s="1"/>
  <c r="X54" i="47" a="1"/>
  <c r="X54" i="47" s="1"/>
  <c r="AI54" i="47" s="1" a="1"/>
  <c r="AI54" i="47" s="1"/>
  <c r="N55" i="47" a="1"/>
  <c r="N55" i="47" s="1"/>
  <c r="O55" i="47" a="1"/>
  <c r="O55" i="47" s="1"/>
  <c r="P55" i="47" a="1"/>
  <c r="P55" i="47" s="1"/>
  <c r="Q55" i="47" a="1"/>
  <c r="Q55" i="47" s="1"/>
  <c r="R55" i="47" a="1"/>
  <c r="R55" i="47" s="1"/>
  <c r="S55" i="47" a="1"/>
  <c r="S55" i="47" s="1"/>
  <c r="AD55" i="47" s="1" a="1"/>
  <c r="AD55" i="47" s="1"/>
  <c r="T55" i="47" a="1"/>
  <c r="T55" i="47" s="1"/>
  <c r="AE55" i="47" s="1" a="1"/>
  <c r="AE55" i="47" s="1"/>
  <c r="U55" i="47" a="1"/>
  <c r="U55" i="47" s="1"/>
  <c r="AF55" i="47" s="1" a="1"/>
  <c r="AF55" i="47" s="1"/>
  <c r="V55" i="47" a="1"/>
  <c r="V55" i="47" s="1"/>
  <c r="AG55" i="47" s="1" a="1"/>
  <c r="AG55" i="47" s="1"/>
  <c r="W55" i="47" a="1"/>
  <c r="W55" i="47" s="1"/>
  <c r="AH55" i="47" s="1" a="1"/>
  <c r="AH55" i="47" s="1"/>
  <c r="X55" i="47" a="1"/>
  <c r="X55" i="47" s="1"/>
  <c r="AI55" i="47" s="1" a="1"/>
  <c r="AI55" i="47" s="1"/>
  <c r="N56" i="47" a="1"/>
  <c r="N56" i="47" s="1"/>
  <c r="O56" i="47" a="1"/>
  <c r="O56" i="47" s="1"/>
  <c r="P56" i="47" a="1"/>
  <c r="P56" i="47" s="1"/>
  <c r="Q56" i="47" a="1"/>
  <c r="Q56" i="47" s="1"/>
  <c r="R56" i="47" a="1"/>
  <c r="R56" i="47" s="1"/>
  <c r="S56" i="47" a="1"/>
  <c r="S56" i="47" s="1"/>
  <c r="AD56" i="47" s="1" a="1"/>
  <c r="AD56" i="47" s="1"/>
  <c r="T56" i="47" a="1"/>
  <c r="T56" i="47" s="1"/>
  <c r="AE56" i="47" s="1" a="1"/>
  <c r="AE56" i="47" s="1"/>
  <c r="U56" i="47" a="1"/>
  <c r="U56" i="47" s="1"/>
  <c r="AF56" i="47" s="1" a="1"/>
  <c r="AF56" i="47" s="1"/>
  <c r="V56" i="47" a="1"/>
  <c r="V56" i="47" s="1"/>
  <c r="AG56" i="47" s="1" a="1"/>
  <c r="AG56" i="47" s="1"/>
  <c r="W56" i="47" a="1"/>
  <c r="W56" i="47" s="1"/>
  <c r="AH56" i="47" s="1" a="1"/>
  <c r="AH56" i="47" s="1"/>
  <c r="X56" i="47" a="1"/>
  <c r="X56" i="47" s="1"/>
  <c r="AI56" i="47" s="1" a="1"/>
  <c r="AI56" i="47" s="1"/>
  <c r="N57" i="47" a="1"/>
  <c r="N57" i="47" s="1"/>
  <c r="O57" i="47" a="1"/>
  <c r="O57" i="47" s="1"/>
  <c r="P57" i="47" a="1"/>
  <c r="P57" i="47" s="1"/>
  <c r="Q57" i="47" a="1"/>
  <c r="Q57" i="47" s="1"/>
  <c r="R57" i="47" a="1"/>
  <c r="R57" i="47" s="1"/>
  <c r="S57" i="47" a="1"/>
  <c r="S57" i="47" s="1"/>
  <c r="T57" i="47" a="1"/>
  <c r="T57" i="47" s="1"/>
  <c r="AE57" i="47" s="1" a="1"/>
  <c r="AE57" i="47" s="1"/>
  <c r="U57" i="47" a="1"/>
  <c r="U57" i="47" s="1"/>
  <c r="AF57" i="47" s="1" a="1"/>
  <c r="AF57" i="47" s="1"/>
  <c r="V57" i="47" a="1"/>
  <c r="V57" i="47" s="1"/>
  <c r="AG57" i="47" s="1" a="1"/>
  <c r="AG57" i="47" s="1"/>
  <c r="W57" i="47" a="1"/>
  <c r="W57" i="47" s="1"/>
  <c r="AH57" i="47" s="1" a="1"/>
  <c r="AH57" i="47" s="1"/>
  <c r="X57" i="47" a="1"/>
  <c r="X57" i="47" s="1"/>
  <c r="AI57" i="47" s="1" a="1"/>
  <c r="AI57" i="47" s="1"/>
  <c r="N58" i="47" a="1"/>
  <c r="N58" i="47" s="1"/>
  <c r="O58" i="47" a="1"/>
  <c r="O58" i="47" s="1"/>
  <c r="P58" i="47" a="1"/>
  <c r="P58" i="47" s="1"/>
  <c r="Q58" i="47" a="1"/>
  <c r="Q58" i="47" s="1"/>
  <c r="R58" i="47" a="1"/>
  <c r="R58" i="47" s="1"/>
  <c r="S58" i="47" a="1"/>
  <c r="S58" i="47" s="1"/>
  <c r="AD58" i="47" s="1" a="1"/>
  <c r="AD58" i="47" s="1"/>
  <c r="T58" i="47" a="1"/>
  <c r="T58" i="47" s="1"/>
  <c r="AE58" i="47" s="1" a="1"/>
  <c r="AE58" i="47" s="1"/>
  <c r="U58" i="47" a="1"/>
  <c r="U58" i="47" s="1"/>
  <c r="AF58" i="47" s="1" a="1"/>
  <c r="AF58" i="47" s="1"/>
  <c r="V58" i="47" a="1"/>
  <c r="V58" i="47" s="1"/>
  <c r="AG58" i="47" s="1" a="1"/>
  <c r="AG58" i="47" s="1"/>
  <c r="W58" i="47" a="1"/>
  <c r="W58" i="47" s="1"/>
  <c r="AH58" i="47" s="1" a="1"/>
  <c r="AH58" i="47" s="1"/>
  <c r="X58" i="47" a="1"/>
  <c r="X58" i="47" s="1"/>
  <c r="AI58" i="47" s="1" a="1"/>
  <c r="AI58" i="47" s="1"/>
  <c r="N59" i="47" a="1"/>
  <c r="N59" i="47" s="1"/>
  <c r="O59" i="47" a="1"/>
  <c r="O59" i="47" s="1"/>
  <c r="P59" i="47" a="1"/>
  <c r="P59" i="47" s="1"/>
  <c r="Q59" i="47" a="1"/>
  <c r="Q59" i="47" s="1"/>
  <c r="R59" i="47" a="1"/>
  <c r="R59" i="47" s="1"/>
  <c r="S59" i="47" a="1"/>
  <c r="S59" i="47" s="1"/>
  <c r="T59" i="47" a="1"/>
  <c r="T59" i="47" s="1"/>
  <c r="AE59" i="47" s="1" a="1"/>
  <c r="AE59" i="47" s="1"/>
  <c r="U59" i="47" a="1"/>
  <c r="U59" i="47" s="1"/>
  <c r="AF59" i="47" s="1" a="1"/>
  <c r="AF59" i="47" s="1"/>
  <c r="V59" i="47" a="1"/>
  <c r="V59" i="47" s="1"/>
  <c r="AG59" i="47" s="1" a="1"/>
  <c r="AG59" i="47" s="1"/>
  <c r="W59" i="47" a="1"/>
  <c r="W59" i="47" s="1"/>
  <c r="AH59" i="47" s="1" a="1"/>
  <c r="AH59" i="47" s="1"/>
  <c r="X59" i="47" a="1"/>
  <c r="X59" i="47" s="1"/>
  <c r="AI59" i="47" s="1" a="1"/>
  <c r="AI59" i="47" s="1"/>
  <c r="N60" i="47" a="1"/>
  <c r="N60" i="47" s="1"/>
  <c r="O60" i="47" a="1"/>
  <c r="O60" i="47" s="1"/>
  <c r="P60" i="47" a="1"/>
  <c r="P60" i="47" s="1"/>
  <c r="Q60" i="47" a="1"/>
  <c r="Q60" i="47" s="1"/>
  <c r="R60" i="47" a="1"/>
  <c r="R60" i="47" s="1"/>
  <c r="S60" i="47" a="1"/>
  <c r="S60" i="47" s="1"/>
  <c r="AD60" i="47" s="1" a="1"/>
  <c r="AD60" i="47" s="1"/>
  <c r="T60" i="47" a="1"/>
  <c r="T60" i="47" s="1"/>
  <c r="AE60" i="47" s="1" a="1"/>
  <c r="AE60" i="47" s="1"/>
  <c r="U60" i="47" a="1"/>
  <c r="U60" i="47" s="1"/>
  <c r="AF60" i="47" s="1" a="1"/>
  <c r="AF60" i="47" s="1"/>
  <c r="V60" i="47" a="1"/>
  <c r="V60" i="47" s="1"/>
  <c r="AG60" i="47" s="1" a="1"/>
  <c r="AG60" i="47" s="1"/>
  <c r="W60" i="47" a="1"/>
  <c r="W60" i="47" s="1"/>
  <c r="AH60" i="47" s="1" a="1"/>
  <c r="AH60" i="47" s="1"/>
  <c r="X60" i="47" a="1"/>
  <c r="X60" i="47" s="1"/>
  <c r="AI60" i="47" s="1" a="1"/>
  <c r="AI60" i="47" s="1"/>
  <c r="N61" i="47" a="1"/>
  <c r="N61" i="47" s="1"/>
  <c r="O61" i="47" a="1"/>
  <c r="O61" i="47" s="1"/>
  <c r="P61" i="47" a="1"/>
  <c r="P61" i="47" s="1"/>
  <c r="Q61" i="47" a="1"/>
  <c r="Q61" i="47" s="1"/>
  <c r="R61" i="47" a="1"/>
  <c r="R61" i="47" s="1"/>
  <c r="S61" i="47" a="1"/>
  <c r="S61" i="47" s="1"/>
  <c r="AD61" i="47" s="1" a="1"/>
  <c r="AD61" i="47" s="1"/>
  <c r="T61" i="47" a="1"/>
  <c r="T61" i="47" s="1"/>
  <c r="AE61" i="47" s="1" a="1"/>
  <c r="AE61" i="47" s="1"/>
  <c r="U61" i="47" a="1"/>
  <c r="U61" i="47" s="1"/>
  <c r="AF61" i="47" s="1" a="1"/>
  <c r="AF61" i="47" s="1"/>
  <c r="V61" i="47" a="1"/>
  <c r="V61" i="47" s="1"/>
  <c r="AG61" i="47" s="1" a="1"/>
  <c r="AG61" i="47" s="1"/>
  <c r="W61" i="47" a="1"/>
  <c r="W61" i="47" s="1"/>
  <c r="AH61" i="47" s="1" a="1"/>
  <c r="AH61" i="47" s="1"/>
  <c r="X61" i="47" a="1"/>
  <c r="X61" i="47" s="1"/>
  <c r="AI61" i="47" s="1" a="1"/>
  <c r="AI61" i="47" s="1"/>
  <c r="N62" i="47" a="1"/>
  <c r="N62" i="47" s="1"/>
  <c r="O62" i="47" a="1"/>
  <c r="O62" i="47" s="1"/>
  <c r="P62" i="47" a="1"/>
  <c r="P62" i="47" s="1"/>
  <c r="Q62" i="47" a="1"/>
  <c r="Q62" i="47" s="1"/>
  <c r="R62" i="47" a="1"/>
  <c r="R62" i="47" s="1"/>
  <c r="S62" i="47" a="1"/>
  <c r="S62" i="47" s="1"/>
  <c r="AD62" i="47" s="1" a="1"/>
  <c r="AD62" i="47" s="1"/>
  <c r="T62" i="47" a="1"/>
  <c r="T62" i="47" s="1"/>
  <c r="AE62" i="47" s="1" a="1"/>
  <c r="AE62" i="47" s="1"/>
  <c r="U62" i="47" a="1"/>
  <c r="U62" i="47" s="1"/>
  <c r="AF62" i="47" s="1" a="1"/>
  <c r="AF62" i="47" s="1"/>
  <c r="V62" i="47" a="1"/>
  <c r="V62" i="47" s="1"/>
  <c r="AG62" i="47" s="1" a="1"/>
  <c r="AG62" i="47" s="1"/>
  <c r="W62" i="47" a="1"/>
  <c r="W62" i="47" s="1"/>
  <c r="AH62" i="47" s="1" a="1"/>
  <c r="AH62" i="47" s="1"/>
  <c r="X62" i="47" a="1"/>
  <c r="X62" i="47" s="1"/>
  <c r="AI62" i="47" s="1" a="1"/>
  <c r="AI62" i="47" s="1"/>
  <c r="N63" i="47" a="1"/>
  <c r="N63" i="47" s="1"/>
  <c r="O63" i="47" a="1"/>
  <c r="O63" i="47" s="1"/>
  <c r="P63" i="47" a="1"/>
  <c r="P63" i="47" s="1"/>
  <c r="Q63" i="47" a="1"/>
  <c r="Q63" i="47" s="1"/>
  <c r="R63" i="47" a="1"/>
  <c r="R63" i="47" s="1"/>
  <c r="S63" i="47" a="1"/>
  <c r="S63" i="47" s="1"/>
  <c r="AD63" i="47" s="1" a="1"/>
  <c r="AD63" i="47" s="1"/>
  <c r="T63" i="47" a="1"/>
  <c r="T63" i="47" s="1"/>
  <c r="AE63" i="47" s="1" a="1"/>
  <c r="AE63" i="47" s="1"/>
  <c r="U63" i="47" a="1"/>
  <c r="U63" i="47" s="1"/>
  <c r="AF63" i="47" s="1" a="1"/>
  <c r="AF63" i="47" s="1"/>
  <c r="V63" i="47" a="1"/>
  <c r="V63" i="47" s="1"/>
  <c r="AG63" i="47" s="1" a="1"/>
  <c r="AG63" i="47" s="1"/>
  <c r="W63" i="47" a="1"/>
  <c r="W63" i="47" s="1"/>
  <c r="AH63" i="47" s="1" a="1"/>
  <c r="AH63" i="47" s="1"/>
  <c r="X63" i="47" a="1"/>
  <c r="X63" i="47" s="1"/>
  <c r="AI63" i="47" s="1" a="1"/>
  <c r="AI63" i="47" s="1"/>
  <c r="N64" i="47" a="1"/>
  <c r="N64" i="47" s="1"/>
  <c r="O64" i="47" a="1"/>
  <c r="O64" i="47" s="1"/>
  <c r="P64" i="47" a="1"/>
  <c r="P64" i="47" s="1"/>
  <c r="Q64" i="47" a="1"/>
  <c r="Q64" i="47" s="1"/>
  <c r="R64" i="47" a="1"/>
  <c r="R64" i="47" s="1"/>
  <c r="S64" i="47" a="1"/>
  <c r="S64" i="47" s="1"/>
  <c r="AD64" i="47" s="1" a="1"/>
  <c r="AD64" i="47" s="1"/>
  <c r="T64" i="47" a="1"/>
  <c r="T64" i="47" s="1"/>
  <c r="AE64" i="47" s="1" a="1"/>
  <c r="AE64" i="47" s="1"/>
  <c r="U64" i="47" a="1"/>
  <c r="U64" i="47" s="1"/>
  <c r="AF64" i="47" s="1" a="1"/>
  <c r="AF64" i="47" s="1"/>
  <c r="V64" i="47" a="1"/>
  <c r="V64" i="47" s="1"/>
  <c r="AG64" i="47" s="1" a="1"/>
  <c r="AG64" i="47" s="1"/>
  <c r="W64" i="47" a="1"/>
  <c r="W64" i="47" s="1"/>
  <c r="AH64" i="47" s="1" a="1"/>
  <c r="AH64" i="47" s="1"/>
  <c r="X64" i="47" a="1"/>
  <c r="X64" i="47" s="1"/>
  <c r="AI64" i="47" s="1" a="1"/>
  <c r="AI64" i="47" s="1"/>
  <c r="N65" i="47" a="1"/>
  <c r="N65" i="47" s="1"/>
  <c r="O65" i="47" a="1"/>
  <c r="O65" i="47" s="1"/>
  <c r="P65" i="47" a="1"/>
  <c r="P65" i="47" s="1"/>
  <c r="Q65" i="47" a="1"/>
  <c r="Q65" i="47" s="1"/>
  <c r="R65" i="47" a="1"/>
  <c r="R65" i="47" s="1"/>
  <c r="S65" i="47" a="1"/>
  <c r="S65" i="47" s="1"/>
  <c r="AD65" i="47" s="1" a="1"/>
  <c r="AD65" i="47" s="1"/>
  <c r="T65" i="47" a="1"/>
  <c r="T65" i="47" s="1"/>
  <c r="AE65" i="47" s="1" a="1"/>
  <c r="AE65" i="47" s="1"/>
  <c r="U65" i="47" a="1"/>
  <c r="U65" i="47" s="1"/>
  <c r="AF65" i="47" s="1" a="1"/>
  <c r="AF65" i="47" s="1"/>
  <c r="V65" i="47" a="1"/>
  <c r="V65" i="47" s="1"/>
  <c r="AG65" i="47" s="1" a="1"/>
  <c r="AG65" i="47" s="1"/>
  <c r="W65" i="47" a="1"/>
  <c r="W65" i="47" s="1"/>
  <c r="AH65" i="47" s="1" a="1"/>
  <c r="AH65" i="47" s="1"/>
  <c r="X65" i="47" a="1"/>
  <c r="X65" i="47" s="1"/>
  <c r="AI65" i="47" s="1" a="1"/>
  <c r="AI65" i="47" s="1"/>
  <c r="N66" i="47" a="1"/>
  <c r="N66" i="47" s="1"/>
  <c r="O66" i="47" a="1"/>
  <c r="O66" i="47" s="1"/>
  <c r="P66" i="47" a="1"/>
  <c r="P66" i="47" s="1"/>
  <c r="Q66" i="47" a="1"/>
  <c r="Q66" i="47" s="1"/>
  <c r="R66" i="47" a="1"/>
  <c r="R66" i="47" s="1"/>
  <c r="S66" i="47" a="1"/>
  <c r="S66" i="47" s="1"/>
  <c r="AD66" i="47" s="1" a="1"/>
  <c r="AD66" i="47" s="1"/>
  <c r="T66" i="47" a="1"/>
  <c r="T66" i="47" s="1"/>
  <c r="AE66" i="47" s="1" a="1"/>
  <c r="AE66" i="47" s="1"/>
  <c r="U66" i="47" a="1"/>
  <c r="U66" i="47" s="1"/>
  <c r="AF66" i="47" s="1" a="1"/>
  <c r="AF66" i="47" s="1"/>
  <c r="V66" i="47" a="1"/>
  <c r="V66" i="47" s="1"/>
  <c r="AG66" i="47" s="1" a="1"/>
  <c r="AG66" i="47" s="1"/>
  <c r="W66" i="47" a="1"/>
  <c r="W66" i="47" s="1"/>
  <c r="AH66" i="47" s="1" a="1"/>
  <c r="AH66" i="47" s="1"/>
  <c r="X66" i="47" a="1"/>
  <c r="X66" i="47" s="1"/>
  <c r="AI66" i="47" s="1" a="1"/>
  <c r="AI66" i="47" s="1"/>
  <c r="N67" i="47" a="1"/>
  <c r="N67" i="47" s="1"/>
  <c r="O67" i="47" a="1"/>
  <c r="O67" i="47" s="1"/>
  <c r="P67" i="47" a="1"/>
  <c r="P67" i="47" s="1"/>
  <c r="Q67" i="47" a="1"/>
  <c r="Q67" i="47" s="1"/>
  <c r="R67" i="47" a="1"/>
  <c r="R67" i="47" s="1"/>
  <c r="S67" i="47" a="1"/>
  <c r="S67" i="47" s="1"/>
  <c r="AD67" i="47" s="1" a="1"/>
  <c r="AD67" i="47" s="1"/>
  <c r="T67" i="47" a="1"/>
  <c r="T67" i="47" s="1"/>
  <c r="AE67" i="47" s="1" a="1"/>
  <c r="AE67" i="47" s="1"/>
  <c r="U67" i="47" a="1"/>
  <c r="U67" i="47" s="1"/>
  <c r="AF67" i="47" s="1" a="1"/>
  <c r="AF67" i="47" s="1"/>
  <c r="V67" i="47" a="1"/>
  <c r="V67" i="47" s="1"/>
  <c r="AG67" i="47" s="1" a="1"/>
  <c r="AG67" i="47" s="1"/>
  <c r="W67" i="47" a="1"/>
  <c r="W67" i="47" s="1"/>
  <c r="AH67" i="47" s="1" a="1"/>
  <c r="AH67" i="47" s="1"/>
  <c r="X67" i="47" a="1"/>
  <c r="X67" i="47" s="1"/>
  <c r="AI67" i="47" s="1" a="1"/>
  <c r="AI67" i="47" s="1"/>
  <c r="N68" i="47" a="1"/>
  <c r="N68" i="47" s="1"/>
  <c r="O68" i="47" a="1"/>
  <c r="O68" i="47" s="1"/>
  <c r="P68" i="47" a="1"/>
  <c r="P68" i="47" s="1"/>
  <c r="Q68" i="47" a="1"/>
  <c r="Q68" i="47" s="1"/>
  <c r="R68" i="47" a="1"/>
  <c r="R68" i="47" s="1"/>
  <c r="S68" i="47" a="1"/>
  <c r="S68" i="47" s="1"/>
  <c r="AD68" i="47" s="1" a="1"/>
  <c r="AD68" i="47" s="1"/>
  <c r="T68" i="47" a="1"/>
  <c r="T68" i="47" s="1"/>
  <c r="AE68" i="47" s="1" a="1"/>
  <c r="AE68" i="47" s="1"/>
  <c r="U68" i="47" a="1"/>
  <c r="U68" i="47" s="1"/>
  <c r="AF68" i="47" s="1" a="1"/>
  <c r="AF68" i="47" s="1"/>
  <c r="V68" i="47" a="1"/>
  <c r="V68" i="47" s="1"/>
  <c r="AG68" i="47" s="1" a="1"/>
  <c r="AG68" i="47" s="1"/>
  <c r="W68" i="47" a="1"/>
  <c r="W68" i="47" s="1"/>
  <c r="AH68" i="47" s="1" a="1"/>
  <c r="AH68" i="47" s="1"/>
  <c r="X68" i="47" a="1"/>
  <c r="X68" i="47" s="1"/>
  <c r="AI68" i="47" s="1" a="1"/>
  <c r="AI68" i="47" s="1"/>
  <c r="N69" i="47" a="1"/>
  <c r="N69" i="47" s="1"/>
  <c r="O69" i="47" a="1"/>
  <c r="O69" i="47" s="1"/>
  <c r="P69" i="47" a="1"/>
  <c r="P69" i="47" s="1"/>
  <c r="Q69" i="47" a="1"/>
  <c r="Q69" i="47" s="1"/>
  <c r="R69" i="47" a="1"/>
  <c r="R69" i="47" s="1"/>
  <c r="S69" i="47" a="1"/>
  <c r="S69" i="47" s="1"/>
  <c r="AD69" i="47" s="1" a="1"/>
  <c r="AD69" i="47" s="1"/>
  <c r="T69" i="47" a="1"/>
  <c r="T69" i="47" s="1"/>
  <c r="AE69" i="47" s="1" a="1"/>
  <c r="AE69" i="47" s="1"/>
  <c r="U69" i="47" a="1"/>
  <c r="U69" i="47" s="1"/>
  <c r="AF69" i="47" s="1" a="1"/>
  <c r="AF69" i="47" s="1"/>
  <c r="V69" i="47" a="1"/>
  <c r="V69" i="47" s="1"/>
  <c r="AG69" i="47" s="1" a="1"/>
  <c r="AG69" i="47" s="1"/>
  <c r="W69" i="47" a="1"/>
  <c r="W69" i="47" s="1"/>
  <c r="AH69" i="47" s="1" a="1"/>
  <c r="AH69" i="47" s="1"/>
  <c r="X69" i="47" a="1"/>
  <c r="X69" i="47" s="1"/>
  <c r="AI69" i="47" s="1" a="1"/>
  <c r="AI69" i="47" s="1"/>
  <c r="N70" i="47" a="1"/>
  <c r="N70" i="47" s="1"/>
  <c r="O70" i="47" a="1"/>
  <c r="O70" i="47" s="1"/>
  <c r="P70" i="47" a="1"/>
  <c r="P70" i="47" s="1"/>
  <c r="Q70" i="47" a="1"/>
  <c r="Q70" i="47" s="1"/>
  <c r="R70" i="47" a="1"/>
  <c r="R70" i="47" s="1"/>
  <c r="S70" i="47" a="1"/>
  <c r="S70" i="47" s="1"/>
  <c r="AD70" i="47" s="1" a="1"/>
  <c r="AD70" i="47" s="1"/>
  <c r="T70" i="47" a="1"/>
  <c r="T70" i="47" s="1"/>
  <c r="AE70" i="47" s="1" a="1"/>
  <c r="AE70" i="47" s="1"/>
  <c r="U70" i="47" a="1"/>
  <c r="U70" i="47" s="1"/>
  <c r="AF70" i="47" s="1" a="1"/>
  <c r="AF70" i="47" s="1"/>
  <c r="V70" i="47" a="1"/>
  <c r="V70" i="47" s="1"/>
  <c r="AG70" i="47" s="1" a="1"/>
  <c r="AG70" i="47" s="1"/>
  <c r="W70" i="47" a="1"/>
  <c r="W70" i="47" s="1"/>
  <c r="AH70" i="47" s="1" a="1"/>
  <c r="AH70" i="47" s="1"/>
  <c r="X70" i="47" a="1"/>
  <c r="X70" i="47" s="1"/>
  <c r="AI70" i="47" s="1" a="1"/>
  <c r="AI70" i="47" s="1"/>
  <c r="N14" i="46" a="1"/>
  <c r="N14" i="46" s="1"/>
  <c r="O14" i="46" a="1"/>
  <c r="O14" i="46" s="1"/>
  <c r="P14" i="46" a="1"/>
  <c r="P14" i="46" s="1"/>
  <c r="Q14" i="46" a="1"/>
  <c r="Q14" i="46" s="1"/>
  <c r="R14" i="46" a="1"/>
  <c r="R14" i="46" s="1"/>
  <c r="S14" i="46" a="1"/>
  <c r="S14" i="46" s="1"/>
  <c r="AD14" i="46" s="1" a="1"/>
  <c r="AD14" i="46" s="1"/>
  <c r="T14" i="46" a="1"/>
  <c r="T14" i="46" s="1"/>
  <c r="AE14" i="46" s="1" a="1"/>
  <c r="AE14" i="46" s="1"/>
  <c r="U14" i="46" a="1"/>
  <c r="U14" i="46" s="1"/>
  <c r="AF14" i="46" s="1" a="1"/>
  <c r="AF14" i="46" s="1"/>
  <c r="V14" i="46" a="1"/>
  <c r="V14" i="46" s="1"/>
  <c r="AG14" i="46" s="1" a="1"/>
  <c r="AG14" i="46" s="1"/>
  <c r="W14" i="46" a="1"/>
  <c r="W14" i="46" s="1"/>
  <c r="AH14" i="46" s="1" a="1"/>
  <c r="AH14" i="46" s="1"/>
  <c r="X14" i="46" a="1"/>
  <c r="X14" i="46" s="1"/>
  <c r="AI14" i="46" s="1" a="1"/>
  <c r="AI14" i="46" s="1"/>
  <c r="N15" i="46" a="1"/>
  <c r="N15" i="46" s="1"/>
  <c r="O15" i="46" a="1"/>
  <c r="O15" i="46" s="1"/>
  <c r="P15" i="46" a="1"/>
  <c r="P15" i="46" s="1"/>
  <c r="Q15" i="46" a="1"/>
  <c r="Q15" i="46" s="1"/>
  <c r="R15" i="46" a="1"/>
  <c r="R15" i="46" s="1"/>
  <c r="S15" i="46" a="1"/>
  <c r="S15" i="46" s="1"/>
  <c r="AD15" i="46" s="1" a="1"/>
  <c r="AD15" i="46" s="1"/>
  <c r="T15" i="46" a="1"/>
  <c r="T15" i="46" s="1"/>
  <c r="AE15" i="46" s="1" a="1"/>
  <c r="AE15" i="46" s="1"/>
  <c r="U15" i="46" a="1"/>
  <c r="U15" i="46" s="1"/>
  <c r="AF15" i="46" s="1" a="1"/>
  <c r="AF15" i="46" s="1"/>
  <c r="V15" i="46" a="1"/>
  <c r="V15" i="46" s="1"/>
  <c r="AG15" i="46" s="1" a="1"/>
  <c r="AG15" i="46" s="1"/>
  <c r="W15" i="46" a="1"/>
  <c r="W15" i="46" s="1"/>
  <c r="AH15" i="46" s="1" a="1"/>
  <c r="AH15" i="46" s="1"/>
  <c r="X15" i="46" a="1"/>
  <c r="X15" i="46" s="1"/>
  <c r="AI15" i="46" s="1" a="1"/>
  <c r="AI15" i="46" s="1"/>
  <c r="N16" i="46" a="1"/>
  <c r="N16" i="46" s="1"/>
  <c r="O16" i="46" a="1"/>
  <c r="O16" i="46" s="1"/>
  <c r="P16" i="46" a="1"/>
  <c r="P16" i="46" s="1"/>
  <c r="Q16" i="46" a="1"/>
  <c r="Q16" i="46" s="1"/>
  <c r="R16" i="46" a="1"/>
  <c r="R16" i="46" s="1"/>
  <c r="S16" i="46" a="1"/>
  <c r="S16" i="46" s="1"/>
  <c r="AD16" i="46" s="1" a="1"/>
  <c r="AD16" i="46" s="1"/>
  <c r="T16" i="46" a="1"/>
  <c r="T16" i="46" s="1"/>
  <c r="AE16" i="46" s="1" a="1"/>
  <c r="AE16" i="46" s="1"/>
  <c r="U16" i="46" a="1"/>
  <c r="U16" i="46" s="1"/>
  <c r="AF16" i="46" s="1" a="1"/>
  <c r="AF16" i="46" s="1"/>
  <c r="V16" i="46" a="1"/>
  <c r="V16" i="46" s="1"/>
  <c r="AG16" i="46" s="1" a="1"/>
  <c r="AG16" i="46" s="1"/>
  <c r="W16" i="46" a="1"/>
  <c r="W16" i="46" s="1"/>
  <c r="AH16" i="46" s="1" a="1"/>
  <c r="AH16" i="46" s="1"/>
  <c r="X16" i="46" a="1"/>
  <c r="X16" i="46" s="1"/>
  <c r="AI16" i="46" s="1" a="1"/>
  <c r="AI16" i="46" s="1"/>
  <c r="N17" i="46" a="1"/>
  <c r="N17" i="46" s="1"/>
  <c r="O17" i="46" a="1"/>
  <c r="O17" i="46" s="1"/>
  <c r="P17" i="46" a="1"/>
  <c r="P17" i="46" s="1"/>
  <c r="Q17" i="46" a="1"/>
  <c r="Q17" i="46" s="1"/>
  <c r="R17" i="46" a="1"/>
  <c r="R17" i="46" s="1"/>
  <c r="S17" i="46" a="1"/>
  <c r="S17" i="46" s="1"/>
  <c r="AD17" i="46" s="1" a="1"/>
  <c r="AD17" i="46" s="1"/>
  <c r="T17" i="46" a="1"/>
  <c r="T17" i="46" s="1"/>
  <c r="AE17" i="46" s="1" a="1"/>
  <c r="AE17" i="46" s="1"/>
  <c r="U17" i="46" a="1"/>
  <c r="U17" i="46" s="1"/>
  <c r="AF17" i="46" s="1" a="1"/>
  <c r="AF17" i="46" s="1"/>
  <c r="V17" i="46" a="1"/>
  <c r="V17" i="46" s="1"/>
  <c r="AG17" i="46" s="1" a="1"/>
  <c r="AG17" i="46" s="1"/>
  <c r="W17" i="46" a="1"/>
  <c r="W17" i="46" s="1"/>
  <c r="AH17" i="46" s="1" a="1"/>
  <c r="AH17" i="46" s="1"/>
  <c r="X17" i="46" a="1"/>
  <c r="X17" i="46" s="1"/>
  <c r="AI17" i="46" s="1" a="1"/>
  <c r="AI17" i="46" s="1"/>
  <c r="N18" i="46" a="1"/>
  <c r="N18" i="46" s="1"/>
  <c r="O18" i="46" a="1"/>
  <c r="O18" i="46" s="1"/>
  <c r="P18" i="46" a="1"/>
  <c r="P18" i="46" s="1"/>
  <c r="Q18" i="46" a="1"/>
  <c r="Q18" i="46" s="1"/>
  <c r="R18" i="46" a="1"/>
  <c r="R18" i="46" s="1"/>
  <c r="S18" i="46" a="1"/>
  <c r="S18" i="46" s="1"/>
  <c r="AD18" i="46" s="1" a="1"/>
  <c r="AD18" i="46" s="1"/>
  <c r="T18" i="46" a="1"/>
  <c r="T18" i="46" s="1"/>
  <c r="AE18" i="46" s="1" a="1"/>
  <c r="AE18" i="46" s="1"/>
  <c r="U18" i="46" a="1"/>
  <c r="U18" i="46" s="1"/>
  <c r="AF18" i="46" s="1" a="1"/>
  <c r="AF18" i="46" s="1"/>
  <c r="V18" i="46" a="1"/>
  <c r="V18" i="46" s="1"/>
  <c r="AG18" i="46" s="1" a="1"/>
  <c r="AG18" i="46" s="1"/>
  <c r="W18" i="46" a="1"/>
  <c r="W18" i="46" s="1"/>
  <c r="AH18" i="46" s="1" a="1"/>
  <c r="AH18" i="46" s="1"/>
  <c r="X18" i="46" a="1"/>
  <c r="X18" i="46" s="1"/>
  <c r="AI18" i="46" s="1" a="1"/>
  <c r="AI18" i="46" s="1"/>
  <c r="N19" i="46" a="1"/>
  <c r="N19" i="46" s="1"/>
  <c r="O19" i="46" a="1"/>
  <c r="O19" i="46" s="1"/>
  <c r="P19" i="46" a="1"/>
  <c r="P19" i="46" s="1"/>
  <c r="Q19" i="46" a="1"/>
  <c r="Q19" i="46" s="1"/>
  <c r="R19" i="46" a="1"/>
  <c r="R19" i="46" s="1"/>
  <c r="S19" i="46" a="1"/>
  <c r="S19" i="46" s="1"/>
  <c r="AD19" i="46" s="1" a="1"/>
  <c r="AD19" i="46" s="1"/>
  <c r="T19" i="46" a="1"/>
  <c r="T19" i="46" s="1"/>
  <c r="AE19" i="46" s="1" a="1"/>
  <c r="AE19" i="46" s="1"/>
  <c r="U19" i="46" a="1"/>
  <c r="U19" i="46" s="1"/>
  <c r="AF19" i="46" s="1" a="1"/>
  <c r="AF19" i="46" s="1"/>
  <c r="V19" i="46" a="1"/>
  <c r="V19" i="46" s="1"/>
  <c r="AG19" i="46" s="1" a="1"/>
  <c r="AG19" i="46" s="1"/>
  <c r="W19" i="46" a="1"/>
  <c r="W19" i="46" s="1"/>
  <c r="AH19" i="46" s="1" a="1"/>
  <c r="AH19" i="46" s="1"/>
  <c r="X19" i="46" a="1"/>
  <c r="X19" i="46" s="1"/>
  <c r="AI19" i="46" s="1" a="1"/>
  <c r="AI19" i="46" s="1"/>
  <c r="N20" i="46" a="1"/>
  <c r="N20" i="46" s="1"/>
  <c r="O20" i="46" a="1"/>
  <c r="O20" i="46" s="1"/>
  <c r="P20" i="46" a="1"/>
  <c r="P20" i="46" s="1"/>
  <c r="Q20" i="46" a="1"/>
  <c r="Q20" i="46" s="1"/>
  <c r="R20" i="46" a="1"/>
  <c r="R20" i="46" s="1"/>
  <c r="S20" i="46" a="1"/>
  <c r="S20" i="46" s="1"/>
  <c r="AD20" i="46" s="1" a="1"/>
  <c r="AD20" i="46" s="1"/>
  <c r="T20" i="46" a="1"/>
  <c r="T20" i="46" s="1"/>
  <c r="AE20" i="46" s="1" a="1"/>
  <c r="AE20" i="46" s="1"/>
  <c r="U20" i="46" a="1"/>
  <c r="U20" i="46" s="1"/>
  <c r="AF20" i="46" s="1" a="1"/>
  <c r="AF20" i="46" s="1"/>
  <c r="V20" i="46" a="1"/>
  <c r="V20" i="46" s="1"/>
  <c r="AG20" i="46" s="1" a="1"/>
  <c r="AG20" i="46" s="1"/>
  <c r="W20" i="46" a="1"/>
  <c r="W20" i="46" s="1"/>
  <c r="AH20" i="46" s="1" a="1"/>
  <c r="AH20" i="46" s="1"/>
  <c r="X20" i="46" a="1"/>
  <c r="X20" i="46" s="1"/>
  <c r="AI20" i="46" s="1" a="1"/>
  <c r="AI20" i="46" s="1"/>
  <c r="N21" i="46" a="1"/>
  <c r="N21" i="46" s="1"/>
  <c r="O21" i="46" a="1"/>
  <c r="O21" i="46" s="1"/>
  <c r="P21" i="46" a="1"/>
  <c r="P21" i="46" s="1"/>
  <c r="Q21" i="46" a="1"/>
  <c r="Q21" i="46" s="1"/>
  <c r="R21" i="46" a="1"/>
  <c r="R21" i="46" s="1"/>
  <c r="S21" i="46" a="1"/>
  <c r="S21" i="46" s="1"/>
  <c r="AD21" i="46" s="1" a="1"/>
  <c r="AD21" i="46" s="1"/>
  <c r="T21" i="46" a="1"/>
  <c r="T21" i="46" s="1"/>
  <c r="AE21" i="46" s="1" a="1"/>
  <c r="AE21" i="46" s="1"/>
  <c r="U21" i="46" a="1"/>
  <c r="U21" i="46" s="1"/>
  <c r="AF21" i="46" s="1" a="1"/>
  <c r="AF21" i="46" s="1"/>
  <c r="V21" i="46" a="1"/>
  <c r="V21" i="46" s="1"/>
  <c r="AG21" i="46" s="1" a="1"/>
  <c r="AG21" i="46" s="1"/>
  <c r="W21" i="46" a="1"/>
  <c r="W21" i="46" s="1"/>
  <c r="AH21" i="46" s="1" a="1"/>
  <c r="AH21" i="46" s="1"/>
  <c r="X21" i="46" a="1"/>
  <c r="X21" i="46" s="1"/>
  <c r="AI21" i="46" s="1" a="1"/>
  <c r="AI21" i="46" s="1"/>
  <c r="N22" i="46" a="1"/>
  <c r="N22" i="46" s="1"/>
  <c r="O22" i="46" a="1"/>
  <c r="O22" i="46" s="1"/>
  <c r="P22" i="46" a="1"/>
  <c r="P22" i="46" s="1"/>
  <c r="Q22" i="46" a="1"/>
  <c r="Q22" i="46" s="1"/>
  <c r="R22" i="46" a="1"/>
  <c r="R22" i="46" s="1"/>
  <c r="S22" i="46" a="1"/>
  <c r="S22" i="46" s="1"/>
  <c r="AD22" i="46" s="1" a="1"/>
  <c r="AD22" i="46" s="1"/>
  <c r="T22" i="46" a="1"/>
  <c r="T22" i="46" s="1"/>
  <c r="AE22" i="46" s="1" a="1"/>
  <c r="AE22" i="46" s="1"/>
  <c r="U22" i="46" a="1"/>
  <c r="U22" i="46" s="1"/>
  <c r="AF22" i="46" s="1" a="1"/>
  <c r="AF22" i="46" s="1"/>
  <c r="V22" i="46" a="1"/>
  <c r="V22" i="46" s="1"/>
  <c r="AG22" i="46" s="1" a="1"/>
  <c r="AG22" i="46" s="1"/>
  <c r="W22" i="46" a="1"/>
  <c r="W22" i="46" s="1"/>
  <c r="AH22" i="46" s="1" a="1"/>
  <c r="AH22" i="46" s="1"/>
  <c r="X22" i="46" a="1"/>
  <c r="X22" i="46" s="1"/>
  <c r="AI22" i="46" s="1" a="1"/>
  <c r="AI22" i="46" s="1"/>
  <c r="N23" i="46" a="1"/>
  <c r="N23" i="46" s="1"/>
  <c r="O23" i="46" a="1"/>
  <c r="O23" i="46" s="1"/>
  <c r="P23" i="46" a="1"/>
  <c r="P23" i="46" s="1"/>
  <c r="Q23" i="46" a="1"/>
  <c r="Q23" i="46" s="1"/>
  <c r="R23" i="46" a="1"/>
  <c r="R23" i="46" s="1"/>
  <c r="S23" i="46" a="1"/>
  <c r="S23" i="46" s="1"/>
  <c r="T23" i="46" a="1"/>
  <c r="T23" i="46" s="1"/>
  <c r="AE23" i="46" s="1" a="1"/>
  <c r="AE23" i="46" s="1"/>
  <c r="U23" i="46" a="1"/>
  <c r="U23" i="46" s="1"/>
  <c r="AF23" i="46" s="1" a="1"/>
  <c r="AF23" i="46" s="1"/>
  <c r="V23" i="46" a="1"/>
  <c r="V23" i="46" s="1"/>
  <c r="AG23" i="46" s="1" a="1"/>
  <c r="AG23" i="46" s="1"/>
  <c r="W23" i="46" a="1"/>
  <c r="W23" i="46" s="1"/>
  <c r="AH23" i="46" s="1" a="1"/>
  <c r="AH23" i="46" s="1"/>
  <c r="X23" i="46" a="1"/>
  <c r="X23" i="46" s="1"/>
  <c r="AI23" i="46" s="1" a="1"/>
  <c r="AI23" i="46" s="1"/>
  <c r="N24" i="46" a="1"/>
  <c r="N24" i="46" s="1"/>
  <c r="O24" i="46" a="1"/>
  <c r="O24" i="46" s="1"/>
  <c r="P24" i="46" a="1"/>
  <c r="P24" i="46" s="1"/>
  <c r="Q24" i="46" a="1"/>
  <c r="Q24" i="46" s="1"/>
  <c r="R24" i="46" a="1"/>
  <c r="R24" i="46" s="1"/>
  <c r="S24" i="46" a="1"/>
  <c r="S24" i="46" s="1"/>
  <c r="AD24" i="46" s="1" a="1"/>
  <c r="AD24" i="46" s="1"/>
  <c r="T24" i="46" a="1"/>
  <c r="T24" i="46" s="1"/>
  <c r="AE24" i="46" s="1" a="1"/>
  <c r="AE24" i="46" s="1"/>
  <c r="U24" i="46" a="1"/>
  <c r="U24" i="46" s="1"/>
  <c r="AF24" i="46" s="1" a="1"/>
  <c r="AF24" i="46" s="1"/>
  <c r="V24" i="46" a="1"/>
  <c r="V24" i="46" s="1"/>
  <c r="AG24" i="46" s="1" a="1"/>
  <c r="AG24" i="46" s="1"/>
  <c r="W24" i="46" a="1"/>
  <c r="W24" i="46" s="1"/>
  <c r="AH24" i="46" s="1" a="1"/>
  <c r="AH24" i="46" s="1"/>
  <c r="X24" i="46" a="1"/>
  <c r="X24" i="46" s="1"/>
  <c r="AI24" i="46" s="1" a="1"/>
  <c r="AI24" i="46" s="1"/>
  <c r="N25" i="46" a="1"/>
  <c r="N25" i="46" s="1"/>
  <c r="O25" i="46" a="1"/>
  <c r="O25" i="46" s="1"/>
  <c r="P25" i="46" a="1"/>
  <c r="P25" i="46" s="1"/>
  <c r="Q25" i="46" a="1"/>
  <c r="Q25" i="46" s="1"/>
  <c r="R25" i="46" a="1"/>
  <c r="R25" i="46" s="1"/>
  <c r="S25" i="46" a="1"/>
  <c r="S25" i="46" s="1"/>
  <c r="AD25" i="46" s="1" a="1"/>
  <c r="AD25" i="46" s="1"/>
  <c r="T25" i="46" a="1"/>
  <c r="T25" i="46" s="1"/>
  <c r="AE25" i="46" s="1" a="1"/>
  <c r="AE25" i="46" s="1"/>
  <c r="U25" i="46" a="1"/>
  <c r="U25" i="46" s="1"/>
  <c r="AF25" i="46" s="1" a="1"/>
  <c r="AF25" i="46" s="1"/>
  <c r="V25" i="46" a="1"/>
  <c r="V25" i="46" s="1"/>
  <c r="AG25" i="46" s="1" a="1"/>
  <c r="AG25" i="46" s="1"/>
  <c r="W25" i="46" a="1"/>
  <c r="W25" i="46" s="1"/>
  <c r="AH25" i="46" s="1" a="1"/>
  <c r="AH25" i="46" s="1"/>
  <c r="X25" i="46" a="1"/>
  <c r="X25" i="46" s="1"/>
  <c r="AI25" i="46" s="1" a="1"/>
  <c r="AI25" i="46" s="1"/>
  <c r="N26" i="46" a="1"/>
  <c r="N26" i="46" s="1"/>
  <c r="O26" i="46" a="1"/>
  <c r="O26" i="46" s="1"/>
  <c r="P26" i="46" a="1"/>
  <c r="P26" i="46" s="1"/>
  <c r="Q26" i="46" a="1"/>
  <c r="Q26" i="46" s="1"/>
  <c r="R26" i="46" a="1"/>
  <c r="R26" i="46" s="1"/>
  <c r="S26" i="46" a="1"/>
  <c r="S26" i="46" s="1"/>
  <c r="AD26" i="46" s="1" a="1"/>
  <c r="AD26" i="46" s="1"/>
  <c r="T26" i="46" a="1"/>
  <c r="T26" i="46" s="1"/>
  <c r="AE26" i="46" s="1" a="1"/>
  <c r="AE26" i="46" s="1"/>
  <c r="U26" i="46" a="1"/>
  <c r="U26" i="46" s="1"/>
  <c r="AF26" i="46" s="1" a="1"/>
  <c r="AF26" i="46" s="1"/>
  <c r="V26" i="46" a="1"/>
  <c r="V26" i="46" s="1"/>
  <c r="AG26" i="46" s="1" a="1"/>
  <c r="AG26" i="46" s="1"/>
  <c r="W26" i="46" a="1"/>
  <c r="W26" i="46" s="1"/>
  <c r="AH26" i="46" s="1" a="1"/>
  <c r="AH26" i="46" s="1"/>
  <c r="X26" i="46" a="1"/>
  <c r="X26" i="46" s="1"/>
  <c r="AI26" i="46" s="1" a="1"/>
  <c r="AI26" i="46" s="1"/>
  <c r="N27" i="46" a="1"/>
  <c r="N27" i="46" s="1"/>
  <c r="O27" i="46" a="1"/>
  <c r="O27" i="46" s="1"/>
  <c r="P27" i="46" a="1"/>
  <c r="P27" i="46" s="1"/>
  <c r="Q27" i="46" a="1"/>
  <c r="Q27" i="46" s="1"/>
  <c r="R27" i="46" a="1"/>
  <c r="R27" i="46" s="1"/>
  <c r="S27" i="46" a="1"/>
  <c r="S27" i="46" s="1"/>
  <c r="AD27" i="46" s="1" a="1"/>
  <c r="AD27" i="46" s="1"/>
  <c r="T27" i="46" a="1"/>
  <c r="T27" i="46" s="1"/>
  <c r="AE27" i="46" s="1" a="1"/>
  <c r="AE27" i="46" s="1"/>
  <c r="U27" i="46" a="1"/>
  <c r="U27" i="46" s="1"/>
  <c r="AF27" i="46" s="1" a="1"/>
  <c r="AF27" i="46" s="1"/>
  <c r="V27" i="46" a="1"/>
  <c r="V27" i="46" s="1"/>
  <c r="AG27" i="46" s="1" a="1"/>
  <c r="AG27" i="46" s="1"/>
  <c r="W27" i="46" a="1"/>
  <c r="W27" i="46" s="1"/>
  <c r="AH27" i="46" s="1" a="1"/>
  <c r="AH27" i="46" s="1"/>
  <c r="X27" i="46" a="1"/>
  <c r="X27" i="46" s="1"/>
  <c r="AI27" i="46" s="1" a="1"/>
  <c r="AI27" i="46" s="1"/>
  <c r="N28" i="46" a="1"/>
  <c r="N28" i="46" s="1"/>
  <c r="O28" i="46" a="1"/>
  <c r="O28" i="46" s="1"/>
  <c r="P28" i="46" a="1"/>
  <c r="P28" i="46" s="1"/>
  <c r="Q28" i="46" a="1"/>
  <c r="Q28" i="46" s="1"/>
  <c r="R28" i="46" a="1"/>
  <c r="R28" i="46" s="1"/>
  <c r="S28" i="46" a="1"/>
  <c r="S28" i="46" s="1"/>
  <c r="AD28" i="46" s="1" a="1"/>
  <c r="AD28" i="46" s="1"/>
  <c r="T28" i="46" a="1"/>
  <c r="T28" i="46" s="1"/>
  <c r="AE28" i="46" s="1" a="1"/>
  <c r="AE28" i="46" s="1"/>
  <c r="U28" i="46" a="1"/>
  <c r="U28" i="46" s="1"/>
  <c r="AF28" i="46" s="1" a="1"/>
  <c r="AF28" i="46" s="1"/>
  <c r="V28" i="46" a="1"/>
  <c r="V28" i="46" s="1"/>
  <c r="AG28" i="46" s="1" a="1"/>
  <c r="AG28" i="46" s="1"/>
  <c r="W28" i="46" a="1"/>
  <c r="W28" i="46" s="1"/>
  <c r="AH28" i="46" s="1" a="1"/>
  <c r="AH28" i="46" s="1"/>
  <c r="X28" i="46" a="1"/>
  <c r="X28" i="46" s="1"/>
  <c r="AI28" i="46" s="1" a="1"/>
  <c r="AI28" i="46" s="1"/>
  <c r="N29" i="46" a="1"/>
  <c r="N29" i="46" s="1"/>
  <c r="O29" i="46" a="1"/>
  <c r="O29" i="46" s="1"/>
  <c r="P29" i="46" a="1"/>
  <c r="P29" i="46" s="1"/>
  <c r="Q29" i="46" a="1"/>
  <c r="Q29" i="46" s="1"/>
  <c r="R29" i="46" a="1"/>
  <c r="R29" i="46" s="1"/>
  <c r="S29" i="46" a="1"/>
  <c r="S29" i="46" s="1"/>
  <c r="AD29" i="46" s="1" a="1"/>
  <c r="AD29" i="46" s="1"/>
  <c r="T29" i="46" a="1"/>
  <c r="T29" i="46" s="1"/>
  <c r="AE29" i="46" s="1" a="1"/>
  <c r="AE29" i="46" s="1"/>
  <c r="U29" i="46" a="1"/>
  <c r="U29" i="46" s="1"/>
  <c r="AF29" i="46" s="1" a="1"/>
  <c r="AF29" i="46" s="1"/>
  <c r="V29" i="46" a="1"/>
  <c r="V29" i="46" s="1"/>
  <c r="AG29" i="46" s="1" a="1"/>
  <c r="AG29" i="46" s="1"/>
  <c r="W29" i="46" a="1"/>
  <c r="W29" i="46" s="1"/>
  <c r="AH29" i="46" s="1" a="1"/>
  <c r="AH29" i="46" s="1"/>
  <c r="X29" i="46" a="1"/>
  <c r="X29" i="46" s="1"/>
  <c r="AI29" i="46" s="1" a="1"/>
  <c r="AI29" i="46" s="1"/>
  <c r="N30" i="46" a="1"/>
  <c r="N30" i="46" s="1"/>
  <c r="O30" i="46" a="1"/>
  <c r="O30" i="46" s="1"/>
  <c r="P30" i="46" a="1"/>
  <c r="P30" i="46" s="1"/>
  <c r="Q30" i="46" a="1"/>
  <c r="Q30" i="46" s="1"/>
  <c r="R30" i="46" a="1"/>
  <c r="R30" i="46" s="1"/>
  <c r="S30" i="46" a="1"/>
  <c r="S30" i="46" s="1"/>
  <c r="AD30" i="46" s="1" a="1"/>
  <c r="AD30" i="46" s="1"/>
  <c r="T30" i="46" a="1"/>
  <c r="T30" i="46" s="1"/>
  <c r="AE30" i="46" s="1" a="1"/>
  <c r="AE30" i="46" s="1"/>
  <c r="U30" i="46" a="1"/>
  <c r="U30" i="46" s="1"/>
  <c r="AF30" i="46" s="1" a="1"/>
  <c r="AF30" i="46" s="1"/>
  <c r="V30" i="46" a="1"/>
  <c r="V30" i="46" s="1"/>
  <c r="AG30" i="46" s="1" a="1"/>
  <c r="AG30" i="46" s="1"/>
  <c r="W30" i="46" a="1"/>
  <c r="W30" i="46" s="1"/>
  <c r="AH30" i="46" s="1" a="1"/>
  <c r="AH30" i="46" s="1"/>
  <c r="X30" i="46" a="1"/>
  <c r="X30" i="46" s="1"/>
  <c r="AI30" i="46" s="1" a="1"/>
  <c r="AI30" i="46" s="1"/>
  <c r="N31" i="46" a="1"/>
  <c r="N31" i="46" s="1"/>
  <c r="O31" i="46" a="1"/>
  <c r="O31" i="46" s="1"/>
  <c r="P31" i="46" a="1"/>
  <c r="P31" i="46" s="1"/>
  <c r="Q31" i="46" a="1"/>
  <c r="Q31" i="46" s="1"/>
  <c r="R31" i="46" a="1"/>
  <c r="R31" i="46" s="1"/>
  <c r="S31" i="46" a="1"/>
  <c r="S31" i="46" s="1"/>
  <c r="AD31" i="46" s="1" a="1"/>
  <c r="AD31" i="46" s="1"/>
  <c r="T31" i="46" a="1"/>
  <c r="T31" i="46" s="1"/>
  <c r="AE31" i="46" s="1" a="1"/>
  <c r="AE31" i="46" s="1"/>
  <c r="U31" i="46" a="1"/>
  <c r="U31" i="46" s="1"/>
  <c r="AF31" i="46" s="1" a="1"/>
  <c r="AF31" i="46" s="1"/>
  <c r="V31" i="46" a="1"/>
  <c r="V31" i="46" s="1"/>
  <c r="AG31" i="46" s="1" a="1"/>
  <c r="AG31" i="46" s="1"/>
  <c r="W31" i="46" a="1"/>
  <c r="W31" i="46" s="1"/>
  <c r="AH31" i="46" s="1" a="1"/>
  <c r="AH31" i="46" s="1"/>
  <c r="X31" i="46" a="1"/>
  <c r="X31" i="46" s="1"/>
  <c r="AI31" i="46" s="1" a="1"/>
  <c r="AI31" i="46" s="1"/>
  <c r="N32" i="46" a="1"/>
  <c r="N32" i="46" s="1"/>
  <c r="O32" i="46" a="1"/>
  <c r="O32" i="46" s="1"/>
  <c r="P32" i="46" a="1"/>
  <c r="P32" i="46" s="1"/>
  <c r="Q32" i="46" a="1"/>
  <c r="Q32" i="46" s="1"/>
  <c r="R32" i="46" a="1"/>
  <c r="R32" i="46" s="1"/>
  <c r="S32" i="46" a="1"/>
  <c r="S32" i="46" s="1"/>
  <c r="AD32" i="46" s="1" a="1"/>
  <c r="AD32" i="46" s="1"/>
  <c r="T32" i="46" a="1"/>
  <c r="T32" i="46" s="1"/>
  <c r="AE32" i="46" s="1" a="1"/>
  <c r="AE32" i="46" s="1"/>
  <c r="U32" i="46" a="1"/>
  <c r="U32" i="46" s="1"/>
  <c r="AF32" i="46" s="1" a="1"/>
  <c r="AF32" i="46" s="1"/>
  <c r="V32" i="46" a="1"/>
  <c r="V32" i="46" s="1"/>
  <c r="AG32" i="46" s="1" a="1"/>
  <c r="AG32" i="46" s="1"/>
  <c r="W32" i="46" a="1"/>
  <c r="W32" i="46" s="1"/>
  <c r="AH32" i="46" s="1" a="1"/>
  <c r="AH32" i="46" s="1"/>
  <c r="X32" i="46" a="1"/>
  <c r="X32" i="46" s="1"/>
  <c r="AI32" i="46" s="1" a="1"/>
  <c r="AI32" i="46" s="1"/>
  <c r="N33" i="46" a="1"/>
  <c r="N33" i="46" s="1"/>
  <c r="O33" i="46" a="1"/>
  <c r="O33" i="46" s="1"/>
  <c r="P33" i="46" a="1"/>
  <c r="P33" i="46" s="1"/>
  <c r="Q33" i="46" a="1"/>
  <c r="Q33" i="46" s="1"/>
  <c r="R33" i="46" a="1"/>
  <c r="R33" i="46" s="1"/>
  <c r="S33" i="46" a="1"/>
  <c r="S33" i="46" s="1"/>
  <c r="AD33" i="46" s="1" a="1"/>
  <c r="AD33" i="46" s="1"/>
  <c r="T33" i="46" a="1"/>
  <c r="T33" i="46" s="1"/>
  <c r="AE33" i="46" s="1" a="1"/>
  <c r="AE33" i="46" s="1"/>
  <c r="U33" i="46" a="1"/>
  <c r="U33" i="46" s="1"/>
  <c r="AF33" i="46" s="1" a="1"/>
  <c r="AF33" i="46" s="1"/>
  <c r="V33" i="46" a="1"/>
  <c r="V33" i="46" s="1"/>
  <c r="AG33" i="46" s="1" a="1"/>
  <c r="AG33" i="46" s="1"/>
  <c r="W33" i="46" a="1"/>
  <c r="W33" i="46" s="1"/>
  <c r="AH33" i="46" s="1" a="1"/>
  <c r="AH33" i="46" s="1"/>
  <c r="X33" i="46" a="1"/>
  <c r="X33" i="46" s="1"/>
  <c r="AI33" i="46" s="1" a="1"/>
  <c r="AI33" i="46" s="1"/>
  <c r="N34" i="46" a="1"/>
  <c r="N34" i="46" s="1"/>
  <c r="O34" i="46" a="1"/>
  <c r="O34" i="46" s="1"/>
  <c r="P34" i="46" a="1"/>
  <c r="P34" i="46" s="1"/>
  <c r="Q34" i="46" a="1"/>
  <c r="Q34" i="46" s="1"/>
  <c r="R34" i="46" a="1"/>
  <c r="R34" i="46" s="1"/>
  <c r="S34" i="46" a="1"/>
  <c r="S34" i="46" s="1"/>
  <c r="AD34" i="46" s="1" a="1"/>
  <c r="AD34" i="46" s="1"/>
  <c r="T34" i="46" a="1"/>
  <c r="T34" i="46" s="1"/>
  <c r="AE34" i="46" s="1" a="1"/>
  <c r="AE34" i="46" s="1"/>
  <c r="U34" i="46" a="1"/>
  <c r="U34" i="46" s="1"/>
  <c r="AF34" i="46" s="1" a="1"/>
  <c r="AF34" i="46" s="1"/>
  <c r="V34" i="46" a="1"/>
  <c r="V34" i="46" s="1"/>
  <c r="AG34" i="46" s="1" a="1"/>
  <c r="AG34" i="46" s="1"/>
  <c r="W34" i="46" a="1"/>
  <c r="W34" i="46" s="1"/>
  <c r="AH34" i="46" s="1" a="1"/>
  <c r="AH34" i="46" s="1"/>
  <c r="X34" i="46" a="1"/>
  <c r="X34" i="46" s="1"/>
  <c r="AI34" i="46" s="1" a="1"/>
  <c r="AI34" i="46" s="1"/>
  <c r="N35" i="46" a="1"/>
  <c r="N35" i="46" s="1"/>
  <c r="O35" i="46" a="1"/>
  <c r="O35" i="46" s="1"/>
  <c r="P35" i="46" a="1"/>
  <c r="P35" i="46" s="1"/>
  <c r="Q35" i="46" a="1"/>
  <c r="Q35" i="46" s="1"/>
  <c r="R35" i="46" a="1"/>
  <c r="R35" i="46" s="1"/>
  <c r="S35" i="46" a="1"/>
  <c r="S35" i="46" s="1"/>
  <c r="T35" i="46" a="1"/>
  <c r="T35" i="46" s="1"/>
  <c r="AE35" i="46" s="1" a="1"/>
  <c r="AE35" i="46" s="1"/>
  <c r="U35" i="46" a="1"/>
  <c r="U35" i="46" s="1"/>
  <c r="AF35" i="46" s="1" a="1"/>
  <c r="AF35" i="46" s="1"/>
  <c r="V35" i="46" a="1"/>
  <c r="V35" i="46" s="1"/>
  <c r="AG35" i="46" s="1" a="1"/>
  <c r="AG35" i="46" s="1"/>
  <c r="W35" i="46" a="1"/>
  <c r="W35" i="46" s="1"/>
  <c r="AH35" i="46" s="1" a="1"/>
  <c r="AH35" i="46" s="1"/>
  <c r="X35" i="46" a="1"/>
  <c r="X35" i="46" s="1"/>
  <c r="AI35" i="46" s="1" a="1"/>
  <c r="AI35" i="46" s="1"/>
  <c r="N36" i="46" a="1"/>
  <c r="N36" i="46" s="1"/>
  <c r="O36" i="46" a="1"/>
  <c r="O36" i="46" s="1"/>
  <c r="P36" i="46" a="1"/>
  <c r="P36" i="46" s="1"/>
  <c r="Q36" i="46" a="1"/>
  <c r="Q36" i="46" s="1"/>
  <c r="R36" i="46" a="1"/>
  <c r="R36" i="46" s="1"/>
  <c r="S36" i="46" a="1"/>
  <c r="S36" i="46" s="1"/>
  <c r="AD36" i="46" s="1" a="1"/>
  <c r="AD36" i="46" s="1"/>
  <c r="T36" i="46" a="1"/>
  <c r="T36" i="46" s="1"/>
  <c r="AE36" i="46" s="1" a="1"/>
  <c r="AE36" i="46" s="1"/>
  <c r="U36" i="46" a="1"/>
  <c r="U36" i="46" s="1"/>
  <c r="AF36" i="46" s="1" a="1"/>
  <c r="AF36" i="46" s="1"/>
  <c r="V36" i="46" a="1"/>
  <c r="V36" i="46" s="1"/>
  <c r="AG36" i="46" s="1" a="1"/>
  <c r="AG36" i="46" s="1"/>
  <c r="W36" i="46" a="1"/>
  <c r="W36" i="46" s="1"/>
  <c r="AH36" i="46" s="1" a="1"/>
  <c r="AH36" i="46" s="1"/>
  <c r="X36" i="46" a="1"/>
  <c r="X36" i="46" s="1"/>
  <c r="AI36" i="46" s="1" a="1"/>
  <c r="AI36" i="46" s="1"/>
  <c r="N37" i="46" a="1"/>
  <c r="N37" i="46" s="1"/>
  <c r="O37" i="46" a="1"/>
  <c r="O37" i="46" s="1"/>
  <c r="P37" i="46" a="1"/>
  <c r="P37" i="46" s="1"/>
  <c r="Q37" i="46" a="1"/>
  <c r="Q37" i="46" s="1"/>
  <c r="R37" i="46" a="1"/>
  <c r="R37" i="46" s="1"/>
  <c r="S37" i="46" a="1"/>
  <c r="S37" i="46" s="1"/>
  <c r="AD37" i="46" s="1" a="1"/>
  <c r="AD37" i="46" s="1"/>
  <c r="T37" i="46" a="1"/>
  <c r="T37" i="46" s="1"/>
  <c r="AE37" i="46" s="1" a="1"/>
  <c r="AE37" i="46" s="1"/>
  <c r="U37" i="46" a="1"/>
  <c r="U37" i="46" s="1"/>
  <c r="AF37" i="46" s="1" a="1"/>
  <c r="AF37" i="46" s="1"/>
  <c r="V37" i="46" a="1"/>
  <c r="V37" i="46" s="1"/>
  <c r="AG37" i="46" s="1" a="1"/>
  <c r="AG37" i="46" s="1"/>
  <c r="W37" i="46" a="1"/>
  <c r="W37" i="46" s="1"/>
  <c r="AH37" i="46" s="1" a="1"/>
  <c r="AH37" i="46" s="1"/>
  <c r="X37" i="46" a="1"/>
  <c r="X37" i="46" s="1"/>
  <c r="AI37" i="46" s="1" a="1"/>
  <c r="AI37" i="46" s="1"/>
  <c r="N38" i="46" a="1"/>
  <c r="N38" i="46" s="1"/>
  <c r="O38" i="46" a="1"/>
  <c r="O38" i="46" s="1"/>
  <c r="P38" i="46" a="1"/>
  <c r="P38" i="46" s="1"/>
  <c r="Q38" i="46" a="1"/>
  <c r="Q38" i="46" s="1"/>
  <c r="R38" i="46" a="1"/>
  <c r="R38" i="46" s="1"/>
  <c r="S38" i="46" a="1"/>
  <c r="S38" i="46" s="1"/>
  <c r="AD38" i="46" s="1" a="1"/>
  <c r="AD38" i="46" s="1"/>
  <c r="T38" i="46" a="1"/>
  <c r="T38" i="46" s="1"/>
  <c r="AE38" i="46" s="1" a="1"/>
  <c r="AE38" i="46" s="1"/>
  <c r="U38" i="46" a="1"/>
  <c r="U38" i="46" s="1"/>
  <c r="AF38" i="46" s="1" a="1"/>
  <c r="AF38" i="46" s="1"/>
  <c r="V38" i="46" a="1"/>
  <c r="V38" i="46" s="1"/>
  <c r="AG38" i="46" s="1" a="1"/>
  <c r="AG38" i="46" s="1"/>
  <c r="W38" i="46" a="1"/>
  <c r="W38" i="46" s="1"/>
  <c r="AH38" i="46" s="1" a="1"/>
  <c r="AH38" i="46" s="1"/>
  <c r="X38" i="46" a="1"/>
  <c r="X38" i="46" s="1"/>
  <c r="AI38" i="46" s="1" a="1"/>
  <c r="AI38" i="46" s="1"/>
  <c r="N39" i="46" a="1"/>
  <c r="N39" i="46" s="1"/>
  <c r="O39" i="46" a="1"/>
  <c r="O39" i="46" s="1"/>
  <c r="P39" i="46" a="1"/>
  <c r="P39" i="46" s="1"/>
  <c r="Q39" i="46" a="1"/>
  <c r="Q39" i="46" s="1"/>
  <c r="R39" i="46" a="1"/>
  <c r="R39" i="46" s="1"/>
  <c r="S39" i="46" a="1"/>
  <c r="S39" i="46" s="1"/>
  <c r="AD39" i="46" s="1" a="1"/>
  <c r="AD39" i="46" s="1"/>
  <c r="T39" i="46" a="1"/>
  <c r="T39" i="46" s="1"/>
  <c r="AE39" i="46" s="1" a="1"/>
  <c r="AE39" i="46" s="1"/>
  <c r="U39" i="46" a="1"/>
  <c r="U39" i="46" s="1"/>
  <c r="AF39" i="46" s="1" a="1"/>
  <c r="AF39" i="46" s="1"/>
  <c r="V39" i="46" a="1"/>
  <c r="V39" i="46" s="1"/>
  <c r="AG39" i="46" s="1" a="1"/>
  <c r="AG39" i="46" s="1"/>
  <c r="W39" i="46" a="1"/>
  <c r="W39" i="46" s="1"/>
  <c r="AH39" i="46" s="1" a="1"/>
  <c r="AH39" i="46" s="1"/>
  <c r="X39" i="46" a="1"/>
  <c r="X39" i="46" s="1"/>
  <c r="AI39" i="46" s="1" a="1"/>
  <c r="AI39" i="46" s="1"/>
  <c r="N40" i="46" a="1"/>
  <c r="N40" i="46" s="1"/>
  <c r="O40" i="46" a="1"/>
  <c r="O40" i="46" s="1"/>
  <c r="P40" i="46" a="1"/>
  <c r="P40" i="46" s="1"/>
  <c r="Q40" i="46" a="1"/>
  <c r="Q40" i="46" s="1"/>
  <c r="R40" i="46" a="1"/>
  <c r="R40" i="46" s="1"/>
  <c r="S40" i="46" a="1"/>
  <c r="S40" i="46" s="1"/>
  <c r="AD40" i="46" s="1" a="1"/>
  <c r="AD40" i="46" s="1"/>
  <c r="T40" i="46" a="1"/>
  <c r="T40" i="46" s="1"/>
  <c r="AE40" i="46" s="1" a="1"/>
  <c r="AE40" i="46" s="1"/>
  <c r="U40" i="46" a="1"/>
  <c r="U40" i="46" s="1"/>
  <c r="AF40" i="46" s="1" a="1"/>
  <c r="AF40" i="46" s="1"/>
  <c r="V40" i="46" a="1"/>
  <c r="V40" i="46" s="1"/>
  <c r="AG40" i="46" s="1" a="1"/>
  <c r="AG40" i="46" s="1"/>
  <c r="W40" i="46" a="1"/>
  <c r="W40" i="46" s="1"/>
  <c r="AH40" i="46" s="1" a="1"/>
  <c r="AH40" i="46" s="1"/>
  <c r="X40" i="46" a="1"/>
  <c r="X40" i="46" s="1"/>
  <c r="AI40" i="46" s="1" a="1"/>
  <c r="AI40" i="46" s="1"/>
  <c r="N41" i="46" a="1"/>
  <c r="N41" i="46" s="1"/>
  <c r="O41" i="46" a="1"/>
  <c r="O41" i="46" s="1"/>
  <c r="P41" i="46" a="1"/>
  <c r="P41" i="46" s="1"/>
  <c r="Q41" i="46" a="1"/>
  <c r="Q41" i="46" s="1"/>
  <c r="R41" i="46" a="1"/>
  <c r="R41" i="46" s="1"/>
  <c r="S41" i="46" a="1"/>
  <c r="S41" i="46" s="1"/>
  <c r="AD41" i="46" s="1" a="1"/>
  <c r="AD41" i="46" s="1"/>
  <c r="T41" i="46" a="1"/>
  <c r="T41" i="46" s="1"/>
  <c r="AE41" i="46" s="1" a="1"/>
  <c r="AE41" i="46" s="1"/>
  <c r="U41" i="46" a="1"/>
  <c r="U41" i="46" s="1"/>
  <c r="AF41" i="46" s="1" a="1"/>
  <c r="AF41" i="46" s="1"/>
  <c r="V41" i="46" a="1"/>
  <c r="V41" i="46" s="1"/>
  <c r="AG41" i="46" s="1" a="1"/>
  <c r="AG41" i="46" s="1"/>
  <c r="W41" i="46" a="1"/>
  <c r="W41" i="46" s="1"/>
  <c r="AH41" i="46" s="1" a="1"/>
  <c r="AH41" i="46" s="1"/>
  <c r="X41" i="46" a="1"/>
  <c r="X41" i="46" s="1"/>
  <c r="AI41" i="46" s="1" a="1"/>
  <c r="AI41" i="46" s="1"/>
  <c r="N42" i="46" a="1"/>
  <c r="N42" i="46" s="1"/>
  <c r="O42" i="46" a="1"/>
  <c r="O42" i="46" s="1"/>
  <c r="P42" i="46" a="1"/>
  <c r="P42" i="46" s="1"/>
  <c r="Q42" i="46" a="1"/>
  <c r="Q42" i="46" s="1"/>
  <c r="R42" i="46" a="1"/>
  <c r="R42" i="46" s="1"/>
  <c r="S42" i="46" a="1"/>
  <c r="S42" i="46" s="1"/>
  <c r="T42" i="46" a="1"/>
  <c r="T42" i="46" s="1"/>
  <c r="AE42" i="46" s="1" a="1"/>
  <c r="AE42" i="46" s="1"/>
  <c r="U42" i="46" a="1"/>
  <c r="U42" i="46" s="1"/>
  <c r="AF42" i="46" s="1" a="1"/>
  <c r="AF42" i="46" s="1"/>
  <c r="V42" i="46" a="1"/>
  <c r="V42" i="46" s="1"/>
  <c r="AG42" i="46" s="1" a="1"/>
  <c r="AG42" i="46" s="1"/>
  <c r="W42" i="46" a="1"/>
  <c r="W42" i="46" s="1"/>
  <c r="AH42" i="46" s="1" a="1"/>
  <c r="AH42" i="46" s="1"/>
  <c r="X42" i="46" a="1"/>
  <c r="X42" i="46" s="1"/>
  <c r="AI42" i="46" s="1" a="1"/>
  <c r="AI42" i="46" s="1"/>
  <c r="N43" i="46" a="1"/>
  <c r="N43" i="46" s="1"/>
  <c r="O43" i="46" a="1"/>
  <c r="O43" i="46" s="1"/>
  <c r="P43" i="46" a="1"/>
  <c r="P43" i="46" s="1"/>
  <c r="Q43" i="46" a="1"/>
  <c r="Q43" i="46" s="1"/>
  <c r="R43" i="46" a="1"/>
  <c r="R43" i="46" s="1"/>
  <c r="S43" i="46" a="1"/>
  <c r="S43" i="46" s="1"/>
  <c r="AD43" i="46" s="1" a="1"/>
  <c r="AD43" i="46" s="1"/>
  <c r="T43" i="46" a="1"/>
  <c r="T43" i="46" s="1"/>
  <c r="AE43" i="46" s="1" a="1"/>
  <c r="AE43" i="46" s="1"/>
  <c r="U43" i="46" a="1"/>
  <c r="U43" i="46" s="1"/>
  <c r="AF43" i="46" s="1" a="1"/>
  <c r="AF43" i="46" s="1"/>
  <c r="V43" i="46" a="1"/>
  <c r="V43" i="46" s="1"/>
  <c r="AG43" i="46" s="1" a="1"/>
  <c r="AG43" i="46" s="1"/>
  <c r="W43" i="46" a="1"/>
  <c r="W43" i="46" s="1"/>
  <c r="AH43" i="46" s="1" a="1"/>
  <c r="AH43" i="46" s="1"/>
  <c r="X43" i="46" a="1"/>
  <c r="X43" i="46" s="1"/>
  <c r="AI43" i="46" s="1" a="1"/>
  <c r="AI43" i="46" s="1"/>
  <c r="N44" i="46" a="1"/>
  <c r="N44" i="46" s="1"/>
  <c r="O44" i="46" a="1"/>
  <c r="O44" i="46" s="1"/>
  <c r="P44" i="46" a="1"/>
  <c r="P44" i="46" s="1"/>
  <c r="Q44" i="46" a="1"/>
  <c r="Q44" i="46" s="1"/>
  <c r="R44" i="46" a="1"/>
  <c r="R44" i="46" s="1"/>
  <c r="S44" i="46" a="1"/>
  <c r="S44" i="46" s="1"/>
  <c r="AD44" i="46" s="1" a="1"/>
  <c r="AD44" i="46" s="1"/>
  <c r="T44" i="46" a="1"/>
  <c r="T44" i="46" s="1"/>
  <c r="AE44" i="46" s="1" a="1"/>
  <c r="AE44" i="46" s="1"/>
  <c r="U44" i="46" a="1"/>
  <c r="U44" i="46" s="1"/>
  <c r="AF44" i="46" s="1" a="1"/>
  <c r="AF44" i="46" s="1"/>
  <c r="V44" i="46" a="1"/>
  <c r="V44" i="46" s="1"/>
  <c r="AG44" i="46" s="1" a="1"/>
  <c r="AG44" i="46" s="1"/>
  <c r="W44" i="46" a="1"/>
  <c r="W44" i="46" s="1"/>
  <c r="AH44" i="46" s="1" a="1"/>
  <c r="AH44" i="46" s="1"/>
  <c r="X44" i="46" a="1"/>
  <c r="X44" i="46" s="1"/>
  <c r="AI44" i="46" s="1" a="1"/>
  <c r="AI44" i="46" s="1"/>
  <c r="N45" i="46" a="1"/>
  <c r="N45" i="46" s="1"/>
  <c r="O45" i="46" a="1"/>
  <c r="O45" i="46" s="1"/>
  <c r="P45" i="46" a="1"/>
  <c r="P45" i="46" s="1"/>
  <c r="Q45" i="46" a="1"/>
  <c r="Q45" i="46" s="1"/>
  <c r="R45" i="46" a="1"/>
  <c r="R45" i="46" s="1"/>
  <c r="S45" i="46" a="1"/>
  <c r="S45" i="46" s="1"/>
  <c r="AD45" i="46" s="1" a="1"/>
  <c r="AD45" i="46" s="1"/>
  <c r="T45" i="46" a="1"/>
  <c r="T45" i="46" s="1"/>
  <c r="AE45" i="46" s="1" a="1"/>
  <c r="AE45" i="46" s="1"/>
  <c r="U45" i="46" a="1"/>
  <c r="U45" i="46" s="1"/>
  <c r="AF45" i="46" s="1" a="1"/>
  <c r="AF45" i="46" s="1"/>
  <c r="V45" i="46" a="1"/>
  <c r="V45" i="46" s="1"/>
  <c r="AG45" i="46" s="1" a="1"/>
  <c r="AG45" i="46" s="1"/>
  <c r="W45" i="46" a="1"/>
  <c r="W45" i="46" s="1"/>
  <c r="AH45" i="46" s="1" a="1"/>
  <c r="AH45" i="46" s="1"/>
  <c r="X45" i="46" a="1"/>
  <c r="X45" i="46" s="1"/>
  <c r="AI45" i="46" s="1" a="1"/>
  <c r="AI45" i="46" s="1"/>
  <c r="N46" i="46" a="1"/>
  <c r="N46" i="46" s="1"/>
  <c r="O46" i="46" a="1"/>
  <c r="O46" i="46" s="1"/>
  <c r="P46" i="46" a="1"/>
  <c r="P46" i="46" s="1"/>
  <c r="Q46" i="46" a="1"/>
  <c r="Q46" i="46" s="1"/>
  <c r="R46" i="46" a="1"/>
  <c r="R46" i="46" s="1"/>
  <c r="S46" i="46" a="1"/>
  <c r="S46" i="46" s="1"/>
  <c r="AD46" i="46" s="1" a="1"/>
  <c r="AD46" i="46" s="1"/>
  <c r="T46" i="46" a="1"/>
  <c r="T46" i="46" s="1"/>
  <c r="AE46" i="46" s="1" a="1"/>
  <c r="AE46" i="46" s="1"/>
  <c r="U46" i="46" a="1"/>
  <c r="U46" i="46" s="1"/>
  <c r="AF46" i="46" s="1" a="1"/>
  <c r="AF46" i="46" s="1"/>
  <c r="V46" i="46" a="1"/>
  <c r="V46" i="46" s="1"/>
  <c r="AG46" i="46" s="1" a="1"/>
  <c r="AG46" i="46" s="1"/>
  <c r="W46" i="46" a="1"/>
  <c r="W46" i="46" s="1"/>
  <c r="AH46" i="46" s="1" a="1"/>
  <c r="AH46" i="46" s="1"/>
  <c r="X46" i="46" a="1"/>
  <c r="X46" i="46" s="1"/>
  <c r="AI46" i="46" s="1" a="1"/>
  <c r="AI46" i="46" s="1"/>
  <c r="N47" i="46" a="1"/>
  <c r="N47" i="46" s="1"/>
  <c r="O47" i="46" a="1"/>
  <c r="O47" i="46" s="1"/>
  <c r="P47" i="46" a="1"/>
  <c r="P47" i="46" s="1"/>
  <c r="Q47" i="46" a="1"/>
  <c r="Q47" i="46" s="1"/>
  <c r="R47" i="46" a="1"/>
  <c r="R47" i="46" s="1"/>
  <c r="S47" i="46" a="1"/>
  <c r="S47" i="46" s="1"/>
  <c r="AD47" i="46" s="1" a="1"/>
  <c r="AD47" i="46" s="1"/>
  <c r="T47" i="46" a="1"/>
  <c r="T47" i="46" s="1"/>
  <c r="AE47" i="46" s="1" a="1"/>
  <c r="AE47" i="46" s="1"/>
  <c r="U47" i="46" a="1"/>
  <c r="U47" i="46" s="1"/>
  <c r="AF47" i="46" s="1" a="1"/>
  <c r="AF47" i="46" s="1"/>
  <c r="V47" i="46" a="1"/>
  <c r="V47" i="46" s="1"/>
  <c r="AG47" i="46" s="1" a="1"/>
  <c r="AG47" i="46" s="1"/>
  <c r="W47" i="46" a="1"/>
  <c r="W47" i="46" s="1"/>
  <c r="AH47" i="46" s="1" a="1"/>
  <c r="AH47" i="46" s="1"/>
  <c r="X47" i="46" a="1"/>
  <c r="X47" i="46" s="1"/>
  <c r="AI47" i="46" s="1" a="1"/>
  <c r="AI47" i="46" s="1"/>
  <c r="N48" i="46" a="1"/>
  <c r="N48" i="46" s="1"/>
  <c r="O48" i="46" a="1"/>
  <c r="O48" i="46" s="1"/>
  <c r="P48" i="46" a="1"/>
  <c r="P48" i="46" s="1"/>
  <c r="Q48" i="46" a="1"/>
  <c r="Q48" i="46" s="1"/>
  <c r="R48" i="46" a="1"/>
  <c r="R48" i="46" s="1"/>
  <c r="S48" i="46" a="1"/>
  <c r="S48" i="46" s="1"/>
  <c r="AD48" i="46" s="1" a="1"/>
  <c r="AD48" i="46" s="1"/>
  <c r="T48" i="46" a="1"/>
  <c r="T48" i="46" s="1"/>
  <c r="AE48" i="46" s="1" a="1"/>
  <c r="AE48" i="46" s="1"/>
  <c r="U48" i="46" a="1"/>
  <c r="U48" i="46" s="1"/>
  <c r="AF48" i="46" s="1" a="1"/>
  <c r="AF48" i="46" s="1"/>
  <c r="V48" i="46" a="1"/>
  <c r="V48" i="46" s="1"/>
  <c r="AG48" i="46" s="1" a="1"/>
  <c r="AG48" i="46" s="1"/>
  <c r="W48" i="46" a="1"/>
  <c r="W48" i="46" s="1"/>
  <c r="AH48" i="46" s="1" a="1"/>
  <c r="AH48" i="46" s="1"/>
  <c r="X48" i="46" a="1"/>
  <c r="X48" i="46" s="1"/>
  <c r="AI48" i="46" s="1" a="1"/>
  <c r="AI48" i="46" s="1"/>
  <c r="N49" i="46" a="1"/>
  <c r="N49" i="46" s="1"/>
  <c r="O49" i="46" a="1"/>
  <c r="O49" i="46" s="1"/>
  <c r="P49" i="46" a="1"/>
  <c r="P49" i="46" s="1"/>
  <c r="Q49" i="46" a="1"/>
  <c r="Q49" i="46" s="1"/>
  <c r="R49" i="46" a="1"/>
  <c r="R49" i="46" s="1"/>
  <c r="S49" i="46" a="1"/>
  <c r="S49" i="46" s="1"/>
  <c r="AD49" i="46" s="1" a="1"/>
  <c r="AD49" i="46" s="1"/>
  <c r="T49" i="46" a="1"/>
  <c r="T49" i="46" s="1"/>
  <c r="AE49" i="46" s="1" a="1"/>
  <c r="AE49" i="46" s="1"/>
  <c r="U49" i="46" a="1"/>
  <c r="U49" i="46" s="1"/>
  <c r="AF49" i="46" s="1" a="1"/>
  <c r="AF49" i="46" s="1"/>
  <c r="V49" i="46" a="1"/>
  <c r="V49" i="46" s="1"/>
  <c r="AG49" i="46" s="1" a="1"/>
  <c r="AG49" i="46" s="1"/>
  <c r="W49" i="46" a="1"/>
  <c r="W49" i="46" s="1"/>
  <c r="AH49" i="46" s="1" a="1"/>
  <c r="AH49" i="46" s="1"/>
  <c r="X49" i="46" a="1"/>
  <c r="X49" i="46" s="1"/>
  <c r="AI49" i="46" s="1" a="1"/>
  <c r="AI49" i="46" s="1"/>
  <c r="N50" i="46" a="1"/>
  <c r="N50" i="46" s="1"/>
  <c r="O50" i="46" a="1"/>
  <c r="O50" i="46" s="1"/>
  <c r="P50" i="46" a="1"/>
  <c r="P50" i="46" s="1"/>
  <c r="Q50" i="46" a="1"/>
  <c r="Q50" i="46" s="1"/>
  <c r="R50" i="46" a="1"/>
  <c r="R50" i="46" s="1"/>
  <c r="S50" i="46" a="1"/>
  <c r="S50" i="46" s="1"/>
  <c r="AD50" i="46" s="1" a="1"/>
  <c r="AD50" i="46" s="1"/>
  <c r="T50" i="46" a="1"/>
  <c r="T50" i="46" s="1"/>
  <c r="AE50" i="46" s="1" a="1"/>
  <c r="AE50" i="46" s="1"/>
  <c r="U50" i="46" a="1"/>
  <c r="U50" i="46" s="1"/>
  <c r="AF50" i="46" s="1" a="1"/>
  <c r="AF50" i="46" s="1"/>
  <c r="V50" i="46" a="1"/>
  <c r="V50" i="46" s="1"/>
  <c r="AG50" i="46" s="1" a="1"/>
  <c r="AG50" i="46" s="1"/>
  <c r="W50" i="46" a="1"/>
  <c r="W50" i="46" s="1"/>
  <c r="AH50" i="46" s="1" a="1"/>
  <c r="AH50" i="46" s="1"/>
  <c r="X50" i="46" a="1"/>
  <c r="X50" i="46" s="1"/>
  <c r="AI50" i="46" s="1" a="1"/>
  <c r="AI50" i="46" s="1"/>
  <c r="N51" i="46" a="1"/>
  <c r="N51" i="46" s="1"/>
  <c r="O51" i="46" a="1"/>
  <c r="O51" i="46" s="1"/>
  <c r="P51" i="46" a="1"/>
  <c r="P51" i="46" s="1"/>
  <c r="Q51" i="46" a="1"/>
  <c r="Q51" i="46" s="1"/>
  <c r="R51" i="46" a="1"/>
  <c r="R51" i="46" s="1"/>
  <c r="S51" i="46" a="1"/>
  <c r="S51" i="46" s="1"/>
  <c r="AD51" i="46" s="1" a="1"/>
  <c r="AD51" i="46" s="1"/>
  <c r="T51" i="46" a="1"/>
  <c r="T51" i="46" s="1"/>
  <c r="AE51" i="46" s="1" a="1"/>
  <c r="AE51" i="46" s="1"/>
  <c r="U51" i="46" a="1"/>
  <c r="U51" i="46" s="1"/>
  <c r="AF51" i="46" s="1" a="1"/>
  <c r="AF51" i="46" s="1"/>
  <c r="V51" i="46" a="1"/>
  <c r="V51" i="46" s="1"/>
  <c r="AG51" i="46" s="1" a="1"/>
  <c r="AG51" i="46" s="1"/>
  <c r="W51" i="46" a="1"/>
  <c r="W51" i="46" s="1"/>
  <c r="AH51" i="46" s="1" a="1"/>
  <c r="AH51" i="46" s="1"/>
  <c r="X51" i="46" a="1"/>
  <c r="X51" i="46" s="1"/>
  <c r="AI51" i="46" s="1" a="1"/>
  <c r="AI51" i="46" s="1"/>
  <c r="N52" i="46" a="1"/>
  <c r="N52" i="46" s="1"/>
  <c r="O52" i="46" a="1"/>
  <c r="O52" i="46" s="1"/>
  <c r="P52" i="46" a="1"/>
  <c r="P52" i="46" s="1"/>
  <c r="Q52" i="46" a="1"/>
  <c r="Q52" i="46" s="1"/>
  <c r="R52" i="46" a="1"/>
  <c r="R52" i="46" s="1"/>
  <c r="S52" i="46" a="1"/>
  <c r="S52" i="46" s="1"/>
  <c r="AD52" i="46" s="1" a="1"/>
  <c r="AD52" i="46" s="1"/>
  <c r="T52" i="46" a="1"/>
  <c r="T52" i="46" s="1"/>
  <c r="AE52" i="46" s="1" a="1"/>
  <c r="AE52" i="46" s="1"/>
  <c r="U52" i="46" a="1"/>
  <c r="U52" i="46" s="1"/>
  <c r="AF52" i="46" s="1" a="1"/>
  <c r="AF52" i="46" s="1"/>
  <c r="V52" i="46" a="1"/>
  <c r="V52" i="46" s="1"/>
  <c r="AG52" i="46" s="1" a="1"/>
  <c r="AG52" i="46" s="1"/>
  <c r="W52" i="46" a="1"/>
  <c r="W52" i="46" s="1"/>
  <c r="AH52" i="46" s="1" a="1"/>
  <c r="AH52" i="46" s="1"/>
  <c r="X52" i="46" a="1"/>
  <c r="X52" i="46" s="1"/>
  <c r="AI52" i="46" s="1" a="1"/>
  <c r="AI52" i="46" s="1"/>
  <c r="N53" i="46" a="1"/>
  <c r="N53" i="46" s="1"/>
  <c r="O53" i="46" a="1"/>
  <c r="O53" i="46" s="1"/>
  <c r="P53" i="46" a="1"/>
  <c r="P53" i="46" s="1"/>
  <c r="Q53" i="46" a="1"/>
  <c r="Q53" i="46" s="1"/>
  <c r="R53" i="46" a="1"/>
  <c r="R53" i="46" s="1"/>
  <c r="S53" i="46" a="1"/>
  <c r="S53" i="46" s="1"/>
  <c r="AD53" i="46" s="1" a="1"/>
  <c r="AD53" i="46" s="1"/>
  <c r="T53" i="46" a="1"/>
  <c r="T53" i="46" s="1"/>
  <c r="AE53" i="46" s="1" a="1"/>
  <c r="AE53" i="46" s="1"/>
  <c r="U53" i="46" a="1"/>
  <c r="U53" i="46" s="1"/>
  <c r="AF53" i="46" s="1" a="1"/>
  <c r="AF53" i="46" s="1"/>
  <c r="V53" i="46" a="1"/>
  <c r="V53" i="46" s="1"/>
  <c r="AG53" i="46" s="1" a="1"/>
  <c r="AG53" i="46" s="1"/>
  <c r="W53" i="46" a="1"/>
  <c r="W53" i="46" s="1"/>
  <c r="AH53" i="46" s="1" a="1"/>
  <c r="AH53" i="46" s="1"/>
  <c r="X53" i="46" a="1"/>
  <c r="X53" i="46" s="1"/>
  <c r="AI53" i="46" s="1" a="1"/>
  <c r="AI53" i="46" s="1"/>
  <c r="N54" i="46" a="1"/>
  <c r="N54" i="46" s="1"/>
  <c r="O54" i="46" a="1"/>
  <c r="O54" i="46" s="1"/>
  <c r="P54" i="46" a="1"/>
  <c r="P54" i="46" s="1"/>
  <c r="Q54" i="46" a="1"/>
  <c r="Q54" i="46" s="1"/>
  <c r="R54" i="46" a="1"/>
  <c r="R54" i="46" s="1"/>
  <c r="S54" i="46" a="1"/>
  <c r="S54" i="46" s="1"/>
  <c r="T54" i="46" a="1"/>
  <c r="T54" i="46" s="1"/>
  <c r="AE54" i="46" s="1" a="1"/>
  <c r="AE54" i="46" s="1"/>
  <c r="U54" i="46" a="1"/>
  <c r="U54" i="46" s="1"/>
  <c r="AF54" i="46" s="1" a="1"/>
  <c r="AF54" i="46" s="1"/>
  <c r="V54" i="46" a="1"/>
  <c r="V54" i="46" s="1"/>
  <c r="AG54" i="46" s="1" a="1"/>
  <c r="AG54" i="46" s="1"/>
  <c r="W54" i="46" a="1"/>
  <c r="W54" i="46" s="1"/>
  <c r="AH54" i="46" s="1" a="1"/>
  <c r="AH54" i="46" s="1"/>
  <c r="X54" i="46" a="1"/>
  <c r="X54" i="46" s="1"/>
  <c r="AI54" i="46" s="1" a="1"/>
  <c r="AI54" i="46" s="1"/>
  <c r="N55" i="46" a="1"/>
  <c r="N55" i="46" s="1"/>
  <c r="O55" i="46" a="1"/>
  <c r="O55" i="46" s="1"/>
  <c r="P55" i="46" a="1"/>
  <c r="P55" i="46" s="1"/>
  <c r="Q55" i="46" a="1"/>
  <c r="Q55" i="46" s="1"/>
  <c r="R55" i="46" a="1"/>
  <c r="R55" i="46" s="1"/>
  <c r="S55" i="46" a="1"/>
  <c r="S55" i="46" s="1"/>
  <c r="T55" i="46" a="1"/>
  <c r="T55" i="46" s="1"/>
  <c r="AE55" i="46" s="1" a="1"/>
  <c r="AE55" i="46" s="1"/>
  <c r="U55" i="46" a="1"/>
  <c r="U55" i="46" s="1"/>
  <c r="AF55" i="46" s="1" a="1"/>
  <c r="AF55" i="46" s="1"/>
  <c r="V55" i="46" a="1"/>
  <c r="V55" i="46" s="1"/>
  <c r="AG55" i="46" s="1" a="1"/>
  <c r="AG55" i="46" s="1"/>
  <c r="W55" i="46" a="1"/>
  <c r="W55" i="46" s="1"/>
  <c r="AH55" i="46" s="1" a="1"/>
  <c r="AH55" i="46" s="1"/>
  <c r="X55" i="46" a="1"/>
  <c r="X55" i="46" s="1"/>
  <c r="AI55" i="46" s="1" a="1"/>
  <c r="AI55" i="46" s="1"/>
  <c r="N56" i="46" a="1"/>
  <c r="N56" i="46" s="1"/>
  <c r="O56" i="46" a="1"/>
  <c r="O56" i="46" s="1"/>
  <c r="P56" i="46" a="1"/>
  <c r="P56" i="46" s="1"/>
  <c r="Q56" i="46" a="1"/>
  <c r="Q56" i="46" s="1"/>
  <c r="R56" i="46" a="1"/>
  <c r="R56" i="46" s="1"/>
  <c r="S56" i="46" a="1"/>
  <c r="S56" i="46" s="1"/>
  <c r="AD56" i="46" s="1" a="1"/>
  <c r="AD56" i="46" s="1"/>
  <c r="T56" i="46" a="1"/>
  <c r="T56" i="46" s="1"/>
  <c r="AE56" i="46" s="1" a="1"/>
  <c r="AE56" i="46" s="1"/>
  <c r="U56" i="46" a="1"/>
  <c r="U56" i="46" s="1"/>
  <c r="AF56" i="46" s="1" a="1"/>
  <c r="AF56" i="46" s="1"/>
  <c r="V56" i="46" a="1"/>
  <c r="V56" i="46" s="1"/>
  <c r="AG56" i="46" s="1" a="1"/>
  <c r="AG56" i="46" s="1"/>
  <c r="W56" i="46" a="1"/>
  <c r="W56" i="46" s="1"/>
  <c r="AH56" i="46" s="1" a="1"/>
  <c r="AH56" i="46" s="1"/>
  <c r="X56" i="46" a="1"/>
  <c r="X56" i="46" s="1"/>
  <c r="AI56" i="46" s="1" a="1"/>
  <c r="AI56" i="46" s="1"/>
  <c r="N57" i="46" a="1"/>
  <c r="N57" i="46" s="1"/>
  <c r="O57" i="46" a="1"/>
  <c r="O57" i="46" s="1"/>
  <c r="P57" i="46" a="1"/>
  <c r="P57" i="46" s="1"/>
  <c r="Q57" i="46" a="1"/>
  <c r="Q57" i="46" s="1"/>
  <c r="R57" i="46" a="1"/>
  <c r="R57" i="46" s="1"/>
  <c r="S57" i="46" a="1"/>
  <c r="S57" i="46" s="1"/>
  <c r="T57" i="46" a="1"/>
  <c r="T57" i="46" s="1"/>
  <c r="AE57" i="46" s="1" a="1"/>
  <c r="AE57" i="46" s="1"/>
  <c r="U57" i="46" a="1"/>
  <c r="U57" i="46" s="1"/>
  <c r="AF57" i="46" s="1" a="1"/>
  <c r="AF57" i="46" s="1"/>
  <c r="V57" i="46" a="1"/>
  <c r="V57" i="46" s="1"/>
  <c r="AG57" i="46" s="1" a="1"/>
  <c r="AG57" i="46" s="1"/>
  <c r="W57" i="46" a="1"/>
  <c r="W57" i="46" s="1"/>
  <c r="AH57" i="46" s="1" a="1"/>
  <c r="AH57" i="46" s="1"/>
  <c r="X57" i="46" a="1"/>
  <c r="X57" i="46" s="1"/>
  <c r="AI57" i="46" s="1" a="1"/>
  <c r="AI57" i="46" s="1"/>
  <c r="N58" i="46" a="1"/>
  <c r="N58" i="46" s="1"/>
  <c r="O58" i="46" a="1"/>
  <c r="O58" i="46" s="1"/>
  <c r="P58" i="46" a="1"/>
  <c r="P58" i="46" s="1"/>
  <c r="Q58" i="46" a="1"/>
  <c r="Q58" i="46" s="1"/>
  <c r="R58" i="46" a="1"/>
  <c r="R58" i="46" s="1"/>
  <c r="S58" i="46" a="1"/>
  <c r="S58" i="46" s="1"/>
  <c r="AD58" i="46" s="1" a="1"/>
  <c r="AD58" i="46" s="1"/>
  <c r="T58" i="46" a="1"/>
  <c r="T58" i="46" s="1"/>
  <c r="AE58" i="46" s="1" a="1"/>
  <c r="AE58" i="46" s="1"/>
  <c r="U58" i="46" a="1"/>
  <c r="U58" i="46" s="1"/>
  <c r="AF58" i="46" s="1" a="1"/>
  <c r="AF58" i="46" s="1"/>
  <c r="V58" i="46" a="1"/>
  <c r="V58" i="46" s="1"/>
  <c r="AG58" i="46" s="1" a="1"/>
  <c r="AG58" i="46" s="1"/>
  <c r="W58" i="46" a="1"/>
  <c r="W58" i="46" s="1"/>
  <c r="AH58" i="46" s="1" a="1"/>
  <c r="AH58" i="46" s="1"/>
  <c r="X58" i="46" a="1"/>
  <c r="X58" i="46" s="1"/>
  <c r="AI58" i="46" s="1" a="1"/>
  <c r="AI58" i="46" s="1"/>
  <c r="N59" i="46" a="1"/>
  <c r="N59" i="46" s="1"/>
  <c r="O59" i="46" a="1"/>
  <c r="O59" i="46" s="1"/>
  <c r="P59" i="46" a="1"/>
  <c r="P59" i="46" s="1"/>
  <c r="Q59" i="46" a="1"/>
  <c r="Q59" i="46" s="1"/>
  <c r="R59" i="46" a="1"/>
  <c r="R59" i="46" s="1"/>
  <c r="S59" i="46" a="1"/>
  <c r="S59" i="46" s="1"/>
  <c r="T59" i="46" a="1"/>
  <c r="T59" i="46" s="1"/>
  <c r="AE59" i="46" s="1" a="1"/>
  <c r="AE59" i="46" s="1"/>
  <c r="U59" i="46" a="1"/>
  <c r="U59" i="46" s="1"/>
  <c r="AF59" i="46" s="1" a="1"/>
  <c r="AF59" i="46" s="1"/>
  <c r="V59" i="46" a="1"/>
  <c r="V59" i="46" s="1"/>
  <c r="AG59" i="46" s="1" a="1"/>
  <c r="AG59" i="46" s="1"/>
  <c r="W59" i="46" a="1"/>
  <c r="W59" i="46" s="1"/>
  <c r="AH59" i="46" s="1" a="1"/>
  <c r="AH59" i="46" s="1"/>
  <c r="X59" i="46" a="1"/>
  <c r="X59" i="46" s="1"/>
  <c r="AI59" i="46" s="1" a="1"/>
  <c r="AI59" i="46" s="1"/>
  <c r="N60" i="46" a="1"/>
  <c r="N60" i="46" s="1"/>
  <c r="O60" i="46" a="1"/>
  <c r="O60" i="46" s="1"/>
  <c r="P60" i="46" a="1"/>
  <c r="P60" i="46" s="1"/>
  <c r="Q60" i="46" a="1"/>
  <c r="Q60" i="46" s="1"/>
  <c r="R60" i="46" a="1"/>
  <c r="R60" i="46" s="1"/>
  <c r="S60" i="46" a="1"/>
  <c r="S60" i="46" s="1"/>
  <c r="AD60" i="46" s="1" a="1"/>
  <c r="AD60" i="46" s="1"/>
  <c r="T60" i="46" a="1"/>
  <c r="T60" i="46" s="1"/>
  <c r="AE60" i="46" s="1" a="1"/>
  <c r="AE60" i="46" s="1"/>
  <c r="U60" i="46" a="1"/>
  <c r="U60" i="46" s="1"/>
  <c r="AF60" i="46" s="1" a="1"/>
  <c r="AF60" i="46" s="1"/>
  <c r="V60" i="46" a="1"/>
  <c r="V60" i="46" s="1"/>
  <c r="AG60" i="46" s="1" a="1"/>
  <c r="AG60" i="46" s="1"/>
  <c r="W60" i="46" a="1"/>
  <c r="W60" i="46" s="1"/>
  <c r="AH60" i="46" s="1" a="1"/>
  <c r="AH60" i="46" s="1"/>
  <c r="X60" i="46" a="1"/>
  <c r="X60" i="46" s="1"/>
  <c r="AI60" i="46" s="1" a="1"/>
  <c r="AI60" i="46" s="1"/>
  <c r="N61" i="46" a="1"/>
  <c r="N61" i="46" s="1"/>
  <c r="O61" i="46" a="1"/>
  <c r="O61" i="46" s="1"/>
  <c r="P61" i="46" a="1"/>
  <c r="P61" i="46" s="1"/>
  <c r="Q61" i="46" a="1"/>
  <c r="Q61" i="46" s="1"/>
  <c r="R61" i="46" a="1"/>
  <c r="R61" i="46" s="1"/>
  <c r="S61" i="46" a="1"/>
  <c r="S61" i="46" s="1"/>
  <c r="AD61" i="46" s="1" a="1"/>
  <c r="AD61" i="46" s="1"/>
  <c r="T61" i="46" a="1"/>
  <c r="T61" i="46" s="1"/>
  <c r="AE61" i="46" s="1" a="1"/>
  <c r="AE61" i="46" s="1"/>
  <c r="U61" i="46" a="1"/>
  <c r="U61" i="46" s="1"/>
  <c r="AF61" i="46" s="1" a="1"/>
  <c r="AF61" i="46" s="1"/>
  <c r="V61" i="46" a="1"/>
  <c r="V61" i="46" s="1"/>
  <c r="AG61" i="46" s="1" a="1"/>
  <c r="AG61" i="46" s="1"/>
  <c r="W61" i="46" a="1"/>
  <c r="W61" i="46" s="1"/>
  <c r="AH61" i="46" s="1" a="1"/>
  <c r="AH61" i="46" s="1"/>
  <c r="X61" i="46" a="1"/>
  <c r="X61" i="46" s="1"/>
  <c r="AI61" i="46" s="1" a="1"/>
  <c r="AI61" i="46" s="1"/>
  <c r="N62" i="46" a="1"/>
  <c r="N62" i="46" s="1"/>
  <c r="O62" i="46" a="1"/>
  <c r="O62" i="46" s="1"/>
  <c r="P62" i="46" a="1"/>
  <c r="P62" i="46" s="1"/>
  <c r="Q62" i="46" a="1"/>
  <c r="Q62" i="46" s="1"/>
  <c r="R62" i="46" a="1"/>
  <c r="R62" i="46" s="1"/>
  <c r="S62" i="46" a="1"/>
  <c r="S62" i="46" s="1"/>
  <c r="AD62" i="46" s="1" a="1"/>
  <c r="AD62" i="46" s="1"/>
  <c r="T62" i="46" a="1"/>
  <c r="T62" i="46" s="1"/>
  <c r="AE62" i="46" s="1" a="1"/>
  <c r="AE62" i="46" s="1"/>
  <c r="U62" i="46" a="1"/>
  <c r="U62" i="46" s="1"/>
  <c r="AF62" i="46" s="1" a="1"/>
  <c r="AF62" i="46" s="1"/>
  <c r="V62" i="46" a="1"/>
  <c r="V62" i="46" s="1"/>
  <c r="AG62" i="46" s="1" a="1"/>
  <c r="AG62" i="46" s="1"/>
  <c r="W62" i="46" a="1"/>
  <c r="W62" i="46" s="1"/>
  <c r="AH62" i="46" s="1" a="1"/>
  <c r="AH62" i="46" s="1"/>
  <c r="X62" i="46" a="1"/>
  <c r="X62" i="46" s="1"/>
  <c r="AI62" i="46" s="1" a="1"/>
  <c r="AI62" i="46" s="1"/>
  <c r="N63" i="46" a="1"/>
  <c r="N63" i="46" s="1"/>
  <c r="O63" i="46" a="1"/>
  <c r="O63" i="46" s="1"/>
  <c r="P63" i="46" a="1"/>
  <c r="P63" i="46" s="1"/>
  <c r="Q63" i="46" a="1"/>
  <c r="Q63" i="46" s="1"/>
  <c r="R63" i="46" a="1"/>
  <c r="R63" i="46" s="1"/>
  <c r="S63" i="46" a="1"/>
  <c r="S63" i="46" s="1"/>
  <c r="T63" i="46" a="1"/>
  <c r="T63" i="46" s="1"/>
  <c r="AE63" i="46" s="1" a="1"/>
  <c r="AE63" i="46" s="1"/>
  <c r="U63" i="46" a="1"/>
  <c r="U63" i="46" s="1"/>
  <c r="AF63" i="46" s="1" a="1"/>
  <c r="AF63" i="46" s="1"/>
  <c r="V63" i="46" a="1"/>
  <c r="V63" i="46" s="1"/>
  <c r="AG63" i="46" s="1" a="1"/>
  <c r="AG63" i="46" s="1"/>
  <c r="W63" i="46" a="1"/>
  <c r="W63" i="46" s="1"/>
  <c r="AH63" i="46" s="1" a="1"/>
  <c r="AH63" i="46" s="1"/>
  <c r="X63" i="46" a="1"/>
  <c r="X63" i="46" s="1"/>
  <c r="AI63" i="46" s="1" a="1"/>
  <c r="AI63" i="46" s="1"/>
  <c r="N64" i="46" a="1"/>
  <c r="N64" i="46" s="1"/>
  <c r="O64" i="46" a="1"/>
  <c r="O64" i="46" s="1"/>
  <c r="P64" i="46" a="1"/>
  <c r="P64" i="46" s="1"/>
  <c r="Q64" i="46" a="1"/>
  <c r="Q64" i="46" s="1"/>
  <c r="R64" i="46" a="1"/>
  <c r="R64" i="46" s="1"/>
  <c r="S64" i="46" a="1"/>
  <c r="S64" i="46" s="1"/>
  <c r="AD64" i="46" s="1" a="1"/>
  <c r="AD64" i="46" s="1"/>
  <c r="T64" i="46" a="1"/>
  <c r="T64" i="46" s="1"/>
  <c r="AE64" i="46" s="1" a="1"/>
  <c r="AE64" i="46" s="1"/>
  <c r="U64" i="46" a="1"/>
  <c r="U64" i="46" s="1"/>
  <c r="AF64" i="46" s="1" a="1"/>
  <c r="AF64" i="46" s="1"/>
  <c r="V64" i="46" a="1"/>
  <c r="V64" i="46" s="1"/>
  <c r="AG64" i="46" s="1" a="1"/>
  <c r="AG64" i="46" s="1"/>
  <c r="W64" i="46" a="1"/>
  <c r="W64" i="46" s="1"/>
  <c r="AH64" i="46" s="1" a="1"/>
  <c r="AH64" i="46" s="1"/>
  <c r="X64" i="46" a="1"/>
  <c r="X64" i="46" s="1"/>
  <c r="AI64" i="46" s="1" a="1"/>
  <c r="AI64" i="46" s="1"/>
  <c r="N14" i="45" a="1"/>
  <c r="N14" i="45" s="1"/>
  <c r="O14" i="45" a="1"/>
  <c r="O14" i="45" s="1"/>
  <c r="P14" i="45" a="1"/>
  <c r="P14" i="45" s="1"/>
  <c r="Q14" i="45" a="1"/>
  <c r="Q14" i="45" s="1"/>
  <c r="R14" i="45" a="1"/>
  <c r="R14" i="45" s="1"/>
  <c r="S14" i="45" a="1"/>
  <c r="S14" i="45" s="1"/>
  <c r="AD14" i="45" s="1" a="1"/>
  <c r="AD14" i="45" s="1"/>
  <c r="T14" i="45" a="1"/>
  <c r="T14" i="45" s="1"/>
  <c r="AE14" i="45" s="1" a="1"/>
  <c r="AE14" i="45" s="1"/>
  <c r="U14" i="45" a="1"/>
  <c r="U14" i="45" s="1"/>
  <c r="AF14" i="45" s="1" a="1"/>
  <c r="AF14" i="45" s="1"/>
  <c r="V14" i="45" a="1"/>
  <c r="V14" i="45" s="1"/>
  <c r="AG14" i="45" s="1" a="1"/>
  <c r="AG14" i="45" s="1"/>
  <c r="W14" i="45" a="1"/>
  <c r="W14" i="45" s="1"/>
  <c r="AH14" i="45" s="1" a="1"/>
  <c r="AH14" i="45" s="1"/>
  <c r="X14" i="45" a="1"/>
  <c r="X14" i="45" s="1"/>
  <c r="AI14" i="45" s="1" a="1"/>
  <c r="AI14" i="45" s="1"/>
  <c r="N15" i="45" a="1"/>
  <c r="N15" i="45" s="1"/>
  <c r="O15" i="45" a="1"/>
  <c r="O15" i="45" s="1"/>
  <c r="P15" i="45" a="1"/>
  <c r="P15" i="45" s="1"/>
  <c r="Q15" i="45" a="1"/>
  <c r="Q15" i="45" s="1"/>
  <c r="R15" i="45" a="1"/>
  <c r="R15" i="45" s="1"/>
  <c r="S15" i="45" a="1"/>
  <c r="S15" i="45" s="1"/>
  <c r="AD15" i="45" s="1" a="1"/>
  <c r="AD15" i="45" s="1"/>
  <c r="T15" i="45" a="1"/>
  <c r="T15" i="45" s="1"/>
  <c r="AE15" i="45" s="1" a="1"/>
  <c r="AE15" i="45" s="1"/>
  <c r="U15" i="45" a="1"/>
  <c r="U15" i="45" s="1"/>
  <c r="AF15" i="45" s="1" a="1"/>
  <c r="AF15" i="45" s="1"/>
  <c r="V15" i="45" a="1"/>
  <c r="V15" i="45" s="1"/>
  <c r="AG15" i="45" s="1" a="1"/>
  <c r="AG15" i="45" s="1"/>
  <c r="W15" i="45" a="1"/>
  <c r="W15" i="45" s="1"/>
  <c r="AH15" i="45" s="1" a="1"/>
  <c r="AH15" i="45" s="1"/>
  <c r="X15" i="45" a="1"/>
  <c r="X15" i="45" s="1"/>
  <c r="AI15" i="45" s="1" a="1"/>
  <c r="AI15" i="45" s="1"/>
  <c r="N16" i="45" a="1"/>
  <c r="N16" i="45" s="1"/>
  <c r="O16" i="45" a="1"/>
  <c r="O16" i="45" s="1"/>
  <c r="P16" i="45" a="1"/>
  <c r="P16" i="45" s="1"/>
  <c r="Q16" i="45" a="1"/>
  <c r="Q16" i="45" s="1"/>
  <c r="R16" i="45" a="1"/>
  <c r="R16" i="45" s="1"/>
  <c r="S16" i="45" a="1"/>
  <c r="S16" i="45" s="1"/>
  <c r="AD16" i="45" s="1" a="1"/>
  <c r="AD16" i="45" s="1"/>
  <c r="T16" i="45" a="1"/>
  <c r="T16" i="45" s="1"/>
  <c r="AE16" i="45" s="1" a="1"/>
  <c r="AE16" i="45" s="1"/>
  <c r="U16" i="45" a="1"/>
  <c r="U16" i="45" s="1"/>
  <c r="AF16" i="45" s="1" a="1"/>
  <c r="AF16" i="45" s="1"/>
  <c r="V16" i="45" a="1"/>
  <c r="V16" i="45" s="1"/>
  <c r="AG16" i="45" s="1" a="1"/>
  <c r="AG16" i="45" s="1"/>
  <c r="W16" i="45" a="1"/>
  <c r="W16" i="45" s="1"/>
  <c r="AH16" i="45" s="1" a="1"/>
  <c r="AH16" i="45" s="1"/>
  <c r="X16" i="45" a="1"/>
  <c r="X16" i="45" s="1"/>
  <c r="AI16" i="45" s="1" a="1"/>
  <c r="AI16" i="45" s="1"/>
  <c r="N17" i="45" a="1"/>
  <c r="N17" i="45" s="1"/>
  <c r="O17" i="45" a="1"/>
  <c r="O17" i="45" s="1"/>
  <c r="P17" i="45" a="1"/>
  <c r="P17" i="45" s="1"/>
  <c r="Q17" i="45" a="1"/>
  <c r="Q17" i="45" s="1"/>
  <c r="R17" i="45" a="1"/>
  <c r="R17" i="45" s="1"/>
  <c r="S17" i="45" a="1"/>
  <c r="S17" i="45" s="1"/>
  <c r="AD17" i="45" s="1" a="1"/>
  <c r="AD17" i="45" s="1"/>
  <c r="T17" i="45" a="1"/>
  <c r="T17" i="45" s="1"/>
  <c r="AE17" i="45" s="1" a="1"/>
  <c r="AE17" i="45" s="1"/>
  <c r="U17" i="45" a="1"/>
  <c r="U17" i="45" s="1"/>
  <c r="AF17" i="45" s="1" a="1"/>
  <c r="AF17" i="45" s="1"/>
  <c r="V17" i="45" a="1"/>
  <c r="V17" i="45" s="1"/>
  <c r="AG17" i="45" s="1" a="1"/>
  <c r="AG17" i="45" s="1"/>
  <c r="W17" i="45" a="1"/>
  <c r="W17" i="45" s="1"/>
  <c r="AH17" i="45" s="1" a="1"/>
  <c r="AH17" i="45" s="1"/>
  <c r="X17" i="45" a="1"/>
  <c r="X17" i="45" s="1"/>
  <c r="AI17" i="45" s="1" a="1"/>
  <c r="AI17" i="45" s="1"/>
  <c r="N18" i="45" a="1"/>
  <c r="N18" i="45" s="1"/>
  <c r="O18" i="45" a="1"/>
  <c r="O18" i="45" s="1"/>
  <c r="P18" i="45" a="1"/>
  <c r="P18" i="45" s="1"/>
  <c r="Q18" i="45" a="1"/>
  <c r="Q18" i="45" s="1"/>
  <c r="R18" i="45" a="1"/>
  <c r="R18" i="45" s="1"/>
  <c r="S18" i="45" a="1"/>
  <c r="S18" i="45" s="1"/>
  <c r="AD18" i="45" s="1" a="1"/>
  <c r="AD18" i="45" s="1"/>
  <c r="T18" i="45" a="1"/>
  <c r="T18" i="45" s="1"/>
  <c r="AE18" i="45" s="1" a="1"/>
  <c r="AE18" i="45" s="1"/>
  <c r="U18" i="45" a="1"/>
  <c r="U18" i="45" s="1"/>
  <c r="AF18" i="45" s="1" a="1"/>
  <c r="AF18" i="45" s="1"/>
  <c r="V18" i="45" a="1"/>
  <c r="V18" i="45" s="1"/>
  <c r="AG18" i="45" s="1" a="1"/>
  <c r="AG18" i="45" s="1"/>
  <c r="W18" i="45" a="1"/>
  <c r="W18" i="45" s="1"/>
  <c r="AH18" i="45" s="1" a="1"/>
  <c r="AH18" i="45" s="1"/>
  <c r="X18" i="45" a="1"/>
  <c r="X18" i="45" s="1"/>
  <c r="AI18" i="45" s="1" a="1"/>
  <c r="AI18" i="45" s="1"/>
  <c r="N19" i="45" a="1"/>
  <c r="N19" i="45" s="1"/>
  <c r="O19" i="45" a="1"/>
  <c r="O19" i="45" s="1"/>
  <c r="P19" i="45" a="1"/>
  <c r="P19" i="45" s="1"/>
  <c r="Q19" i="45" a="1"/>
  <c r="Q19" i="45" s="1"/>
  <c r="R19" i="45" a="1"/>
  <c r="R19" i="45" s="1"/>
  <c r="S19" i="45" a="1"/>
  <c r="S19" i="45" s="1"/>
  <c r="AD19" i="45" s="1" a="1"/>
  <c r="AD19" i="45" s="1"/>
  <c r="T19" i="45" a="1"/>
  <c r="T19" i="45" s="1"/>
  <c r="AE19" i="45" s="1" a="1"/>
  <c r="AE19" i="45" s="1"/>
  <c r="U19" i="45" a="1"/>
  <c r="U19" i="45" s="1"/>
  <c r="AF19" i="45" s="1" a="1"/>
  <c r="AF19" i="45" s="1"/>
  <c r="V19" i="45" a="1"/>
  <c r="V19" i="45" s="1"/>
  <c r="AG19" i="45" s="1" a="1"/>
  <c r="AG19" i="45" s="1"/>
  <c r="W19" i="45" a="1"/>
  <c r="W19" i="45" s="1"/>
  <c r="AH19" i="45" s="1" a="1"/>
  <c r="AH19" i="45" s="1"/>
  <c r="X19" i="45" a="1"/>
  <c r="X19" i="45" s="1"/>
  <c r="AI19" i="45" s="1" a="1"/>
  <c r="AI19" i="45" s="1"/>
  <c r="N20" i="45" a="1"/>
  <c r="N20" i="45" s="1"/>
  <c r="O20" i="45" a="1"/>
  <c r="O20" i="45" s="1"/>
  <c r="P20" i="45" a="1"/>
  <c r="P20" i="45" s="1"/>
  <c r="Q20" i="45" a="1"/>
  <c r="Q20" i="45" s="1"/>
  <c r="R20" i="45" a="1"/>
  <c r="R20" i="45" s="1"/>
  <c r="S20" i="45" a="1"/>
  <c r="S20" i="45" s="1"/>
  <c r="AD20" i="45" s="1" a="1"/>
  <c r="AD20" i="45" s="1"/>
  <c r="T20" i="45" a="1"/>
  <c r="T20" i="45" s="1"/>
  <c r="AE20" i="45" s="1" a="1"/>
  <c r="AE20" i="45" s="1"/>
  <c r="U20" i="45" a="1"/>
  <c r="U20" i="45" s="1"/>
  <c r="AF20" i="45" s="1" a="1"/>
  <c r="AF20" i="45" s="1"/>
  <c r="V20" i="45" a="1"/>
  <c r="V20" i="45" s="1"/>
  <c r="AG20" i="45" s="1" a="1"/>
  <c r="AG20" i="45" s="1"/>
  <c r="W20" i="45" a="1"/>
  <c r="W20" i="45" s="1"/>
  <c r="AH20" i="45" s="1" a="1"/>
  <c r="AH20" i="45" s="1"/>
  <c r="X20" i="45" a="1"/>
  <c r="X20" i="45" s="1"/>
  <c r="AI20" i="45" s="1" a="1"/>
  <c r="AI20" i="45" s="1"/>
  <c r="N21" i="45" a="1"/>
  <c r="N21" i="45" s="1"/>
  <c r="O21" i="45" a="1"/>
  <c r="O21" i="45" s="1"/>
  <c r="P21" i="45" a="1"/>
  <c r="P21" i="45" s="1"/>
  <c r="Q21" i="45" a="1"/>
  <c r="Q21" i="45" s="1"/>
  <c r="R21" i="45" a="1"/>
  <c r="R21" i="45" s="1"/>
  <c r="S21" i="45" a="1"/>
  <c r="S21" i="45" s="1"/>
  <c r="AD21" i="45" s="1" a="1"/>
  <c r="AD21" i="45" s="1"/>
  <c r="T21" i="45" a="1"/>
  <c r="T21" i="45" s="1"/>
  <c r="AE21" i="45" s="1" a="1"/>
  <c r="AE21" i="45" s="1"/>
  <c r="U21" i="45" a="1"/>
  <c r="U21" i="45" s="1"/>
  <c r="AF21" i="45" s="1" a="1"/>
  <c r="AF21" i="45" s="1"/>
  <c r="V21" i="45" a="1"/>
  <c r="V21" i="45" s="1"/>
  <c r="AG21" i="45" s="1" a="1"/>
  <c r="AG21" i="45" s="1"/>
  <c r="W21" i="45" a="1"/>
  <c r="W21" i="45" s="1"/>
  <c r="AH21" i="45" s="1" a="1"/>
  <c r="AH21" i="45" s="1"/>
  <c r="X21" i="45" a="1"/>
  <c r="X21" i="45" s="1"/>
  <c r="AI21" i="45" s="1" a="1"/>
  <c r="AI21" i="45" s="1"/>
  <c r="N22" i="45" a="1"/>
  <c r="N22" i="45" s="1"/>
  <c r="O22" i="45" a="1"/>
  <c r="O22" i="45" s="1"/>
  <c r="P22" i="45" a="1"/>
  <c r="P22" i="45" s="1"/>
  <c r="Q22" i="45" a="1"/>
  <c r="Q22" i="45" s="1"/>
  <c r="R22" i="45" a="1"/>
  <c r="R22" i="45" s="1"/>
  <c r="S22" i="45" a="1"/>
  <c r="S22" i="45" s="1"/>
  <c r="AD22" i="45" s="1" a="1"/>
  <c r="AD22" i="45" s="1"/>
  <c r="T22" i="45" a="1"/>
  <c r="T22" i="45" s="1"/>
  <c r="AE22" i="45" s="1" a="1"/>
  <c r="AE22" i="45" s="1"/>
  <c r="U22" i="45" a="1"/>
  <c r="U22" i="45" s="1"/>
  <c r="AF22" i="45" s="1" a="1"/>
  <c r="AF22" i="45" s="1"/>
  <c r="V22" i="45" a="1"/>
  <c r="V22" i="45" s="1"/>
  <c r="AG22" i="45" s="1" a="1"/>
  <c r="AG22" i="45" s="1"/>
  <c r="W22" i="45" a="1"/>
  <c r="W22" i="45" s="1"/>
  <c r="AH22" i="45" s="1" a="1"/>
  <c r="AH22" i="45" s="1"/>
  <c r="X22" i="45" a="1"/>
  <c r="X22" i="45" s="1"/>
  <c r="AI22" i="45" s="1" a="1"/>
  <c r="AI22" i="45" s="1"/>
  <c r="N23" i="45" a="1"/>
  <c r="N23" i="45" s="1"/>
  <c r="O23" i="45" a="1"/>
  <c r="O23" i="45" s="1"/>
  <c r="P23" i="45" a="1"/>
  <c r="P23" i="45" s="1"/>
  <c r="Q23" i="45" a="1"/>
  <c r="Q23" i="45" s="1"/>
  <c r="R23" i="45" a="1"/>
  <c r="R23" i="45" s="1"/>
  <c r="S23" i="45" a="1"/>
  <c r="S23" i="45" s="1"/>
  <c r="AD23" i="45" s="1" a="1"/>
  <c r="AD23" i="45" s="1"/>
  <c r="T23" i="45" a="1"/>
  <c r="T23" i="45" s="1"/>
  <c r="AE23" i="45" s="1" a="1"/>
  <c r="AE23" i="45" s="1"/>
  <c r="U23" i="45" a="1"/>
  <c r="U23" i="45" s="1"/>
  <c r="AF23" i="45" s="1" a="1"/>
  <c r="AF23" i="45" s="1"/>
  <c r="V23" i="45" a="1"/>
  <c r="V23" i="45" s="1"/>
  <c r="AG23" i="45" s="1" a="1"/>
  <c r="AG23" i="45" s="1"/>
  <c r="W23" i="45" a="1"/>
  <c r="W23" i="45" s="1"/>
  <c r="AH23" i="45" s="1" a="1"/>
  <c r="AH23" i="45" s="1"/>
  <c r="X23" i="45" a="1"/>
  <c r="X23" i="45" s="1"/>
  <c r="AI23" i="45" s="1" a="1"/>
  <c r="AI23" i="45" s="1"/>
  <c r="N24" i="45" a="1"/>
  <c r="N24" i="45" s="1"/>
  <c r="O24" i="45" a="1"/>
  <c r="O24" i="45" s="1"/>
  <c r="P24" i="45" a="1"/>
  <c r="P24" i="45" s="1"/>
  <c r="Q24" i="45" a="1"/>
  <c r="Q24" i="45" s="1"/>
  <c r="R24" i="45" a="1"/>
  <c r="R24" i="45" s="1"/>
  <c r="S24" i="45" a="1"/>
  <c r="S24" i="45" s="1"/>
  <c r="AD24" i="45" s="1" a="1"/>
  <c r="AD24" i="45" s="1"/>
  <c r="T24" i="45" a="1"/>
  <c r="T24" i="45" s="1"/>
  <c r="AE24" i="45" s="1" a="1"/>
  <c r="AE24" i="45" s="1"/>
  <c r="U24" i="45" a="1"/>
  <c r="U24" i="45" s="1"/>
  <c r="AF24" i="45" s="1" a="1"/>
  <c r="AF24" i="45" s="1"/>
  <c r="V24" i="45" a="1"/>
  <c r="V24" i="45" s="1"/>
  <c r="AG24" i="45" s="1" a="1"/>
  <c r="AG24" i="45" s="1"/>
  <c r="W24" i="45" a="1"/>
  <c r="W24" i="45" s="1"/>
  <c r="AH24" i="45" s="1" a="1"/>
  <c r="AH24" i="45" s="1"/>
  <c r="X24" i="45" a="1"/>
  <c r="X24" i="45" s="1"/>
  <c r="AI24" i="45" s="1" a="1"/>
  <c r="AI24" i="45" s="1"/>
  <c r="N25" i="45" a="1"/>
  <c r="N25" i="45" s="1"/>
  <c r="O25" i="45" a="1"/>
  <c r="O25" i="45" s="1"/>
  <c r="P25" i="45" a="1"/>
  <c r="P25" i="45" s="1"/>
  <c r="Q25" i="45" a="1"/>
  <c r="Q25" i="45" s="1"/>
  <c r="R25" i="45" a="1"/>
  <c r="R25" i="45" s="1"/>
  <c r="S25" i="45" a="1"/>
  <c r="S25" i="45" s="1"/>
  <c r="AD25" i="45" s="1" a="1"/>
  <c r="AD25" i="45" s="1"/>
  <c r="T25" i="45" a="1"/>
  <c r="T25" i="45" s="1"/>
  <c r="AE25" i="45" s="1" a="1"/>
  <c r="AE25" i="45" s="1"/>
  <c r="U25" i="45" a="1"/>
  <c r="U25" i="45" s="1"/>
  <c r="AF25" i="45" s="1" a="1"/>
  <c r="AF25" i="45" s="1"/>
  <c r="V25" i="45" a="1"/>
  <c r="V25" i="45" s="1"/>
  <c r="AG25" i="45" s="1" a="1"/>
  <c r="AG25" i="45" s="1"/>
  <c r="W25" i="45" a="1"/>
  <c r="W25" i="45" s="1"/>
  <c r="AH25" i="45" s="1" a="1"/>
  <c r="AH25" i="45" s="1"/>
  <c r="X25" i="45" a="1"/>
  <c r="X25" i="45" s="1"/>
  <c r="AI25" i="45" s="1" a="1"/>
  <c r="AI25" i="45" s="1"/>
  <c r="N26" i="45" a="1"/>
  <c r="N26" i="45" s="1"/>
  <c r="O26" i="45" a="1"/>
  <c r="O26" i="45" s="1"/>
  <c r="P26" i="45" a="1"/>
  <c r="P26" i="45" s="1"/>
  <c r="Q26" i="45" a="1"/>
  <c r="Q26" i="45" s="1"/>
  <c r="R26" i="45" a="1"/>
  <c r="R26" i="45" s="1"/>
  <c r="S26" i="45" a="1"/>
  <c r="S26" i="45" s="1"/>
  <c r="AD26" i="45" s="1" a="1"/>
  <c r="AD26" i="45" s="1"/>
  <c r="T26" i="45" a="1"/>
  <c r="T26" i="45" s="1"/>
  <c r="AE26" i="45" s="1" a="1"/>
  <c r="AE26" i="45" s="1"/>
  <c r="U26" i="45" a="1"/>
  <c r="U26" i="45" s="1"/>
  <c r="AF26" i="45" s="1" a="1"/>
  <c r="AF26" i="45" s="1"/>
  <c r="V26" i="45" a="1"/>
  <c r="V26" i="45" s="1"/>
  <c r="AG26" i="45" s="1" a="1"/>
  <c r="AG26" i="45" s="1"/>
  <c r="W26" i="45" a="1"/>
  <c r="W26" i="45" s="1"/>
  <c r="AH26" i="45" s="1" a="1"/>
  <c r="AH26" i="45" s="1"/>
  <c r="X26" i="45" a="1"/>
  <c r="X26" i="45" s="1"/>
  <c r="AI26" i="45" s="1" a="1"/>
  <c r="AI26" i="45" s="1"/>
  <c r="N27" i="45" a="1"/>
  <c r="N27" i="45" s="1"/>
  <c r="O27" i="45" a="1"/>
  <c r="O27" i="45" s="1"/>
  <c r="P27" i="45" a="1"/>
  <c r="P27" i="45" s="1"/>
  <c r="Q27" i="45" a="1"/>
  <c r="Q27" i="45" s="1"/>
  <c r="R27" i="45" a="1"/>
  <c r="R27" i="45" s="1"/>
  <c r="S27" i="45" a="1"/>
  <c r="S27" i="45" s="1"/>
  <c r="AD27" i="45" s="1" a="1"/>
  <c r="AD27" i="45" s="1"/>
  <c r="T27" i="45" a="1"/>
  <c r="T27" i="45" s="1"/>
  <c r="AE27" i="45" s="1" a="1"/>
  <c r="AE27" i="45" s="1"/>
  <c r="U27" i="45" a="1"/>
  <c r="U27" i="45" s="1"/>
  <c r="AF27" i="45" s="1" a="1"/>
  <c r="AF27" i="45" s="1"/>
  <c r="V27" i="45" a="1"/>
  <c r="V27" i="45" s="1"/>
  <c r="AG27" i="45" s="1" a="1"/>
  <c r="AG27" i="45" s="1"/>
  <c r="W27" i="45" a="1"/>
  <c r="W27" i="45" s="1"/>
  <c r="AH27" i="45" s="1" a="1"/>
  <c r="AH27" i="45" s="1"/>
  <c r="X27" i="45" a="1"/>
  <c r="X27" i="45" s="1"/>
  <c r="AI27" i="45" s="1" a="1"/>
  <c r="AI27" i="45" s="1"/>
  <c r="N28" i="45" a="1"/>
  <c r="N28" i="45" s="1"/>
  <c r="O28" i="45" a="1"/>
  <c r="O28" i="45" s="1"/>
  <c r="P28" i="45" a="1"/>
  <c r="P28" i="45" s="1"/>
  <c r="Q28" i="45" a="1"/>
  <c r="Q28" i="45" s="1"/>
  <c r="R28" i="45" a="1"/>
  <c r="R28" i="45" s="1"/>
  <c r="S28" i="45" a="1"/>
  <c r="S28" i="45" s="1"/>
  <c r="AD28" i="45" s="1" a="1"/>
  <c r="AD28" i="45" s="1"/>
  <c r="T28" i="45" a="1"/>
  <c r="T28" i="45" s="1"/>
  <c r="AE28" i="45" s="1" a="1"/>
  <c r="AE28" i="45" s="1"/>
  <c r="U28" i="45" a="1"/>
  <c r="U28" i="45" s="1"/>
  <c r="AF28" i="45" s="1" a="1"/>
  <c r="AF28" i="45" s="1"/>
  <c r="V28" i="45" a="1"/>
  <c r="V28" i="45" s="1"/>
  <c r="AG28" i="45" s="1" a="1"/>
  <c r="AG28" i="45" s="1"/>
  <c r="W28" i="45" a="1"/>
  <c r="W28" i="45" s="1"/>
  <c r="AH28" i="45" s="1" a="1"/>
  <c r="AH28" i="45" s="1"/>
  <c r="X28" i="45" a="1"/>
  <c r="X28" i="45" s="1"/>
  <c r="AI28" i="45" s="1" a="1"/>
  <c r="AI28" i="45" s="1"/>
  <c r="N29" i="45" a="1"/>
  <c r="N29" i="45" s="1"/>
  <c r="O29" i="45" a="1"/>
  <c r="O29" i="45" s="1"/>
  <c r="P29" i="45" a="1"/>
  <c r="P29" i="45" s="1"/>
  <c r="Q29" i="45" a="1"/>
  <c r="Q29" i="45" s="1"/>
  <c r="R29" i="45" a="1"/>
  <c r="R29" i="45" s="1"/>
  <c r="S29" i="45" a="1"/>
  <c r="S29" i="45" s="1"/>
  <c r="AD29" i="45" s="1" a="1"/>
  <c r="AD29" i="45" s="1"/>
  <c r="T29" i="45" a="1"/>
  <c r="T29" i="45" s="1"/>
  <c r="AE29" i="45" s="1" a="1"/>
  <c r="AE29" i="45" s="1"/>
  <c r="U29" i="45" a="1"/>
  <c r="U29" i="45" s="1"/>
  <c r="AF29" i="45" s="1" a="1"/>
  <c r="AF29" i="45" s="1"/>
  <c r="V29" i="45" a="1"/>
  <c r="V29" i="45" s="1"/>
  <c r="AG29" i="45" s="1" a="1"/>
  <c r="AG29" i="45" s="1"/>
  <c r="W29" i="45" a="1"/>
  <c r="W29" i="45" s="1"/>
  <c r="AH29" i="45" s="1" a="1"/>
  <c r="AH29" i="45" s="1"/>
  <c r="X29" i="45" a="1"/>
  <c r="X29" i="45" s="1"/>
  <c r="AI29" i="45" s="1" a="1"/>
  <c r="AI29" i="45" s="1"/>
  <c r="N30" i="45" a="1"/>
  <c r="N30" i="45" s="1"/>
  <c r="O30" i="45" a="1"/>
  <c r="O30" i="45" s="1"/>
  <c r="P30" i="45" a="1"/>
  <c r="P30" i="45" s="1"/>
  <c r="Q30" i="45" a="1"/>
  <c r="Q30" i="45" s="1"/>
  <c r="R30" i="45" a="1"/>
  <c r="R30" i="45" s="1"/>
  <c r="S30" i="45" a="1"/>
  <c r="S30" i="45" s="1"/>
  <c r="AD30" i="45" s="1" a="1"/>
  <c r="AD30" i="45" s="1"/>
  <c r="T30" i="45" a="1"/>
  <c r="T30" i="45" s="1"/>
  <c r="AE30" i="45" s="1" a="1"/>
  <c r="AE30" i="45" s="1"/>
  <c r="U30" i="45" a="1"/>
  <c r="U30" i="45" s="1"/>
  <c r="AF30" i="45" s="1" a="1"/>
  <c r="AF30" i="45" s="1"/>
  <c r="V30" i="45" a="1"/>
  <c r="V30" i="45" s="1"/>
  <c r="AG30" i="45" s="1" a="1"/>
  <c r="AG30" i="45" s="1"/>
  <c r="W30" i="45" a="1"/>
  <c r="W30" i="45" s="1"/>
  <c r="AH30" i="45" s="1" a="1"/>
  <c r="AH30" i="45" s="1"/>
  <c r="X30" i="45" a="1"/>
  <c r="X30" i="45" s="1"/>
  <c r="AI30" i="45" s="1" a="1"/>
  <c r="AI30" i="45" s="1"/>
  <c r="N31" i="45" a="1"/>
  <c r="N31" i="45" s="1"/>
  <c r="O31" i="45" a="1"/>
  <c r="O31" i="45" s="1"/>
  <c r="P31" i="45" a="1"/>
  <c r="P31" i="45" s="1"/>
  <c r="Q31" i="45" a="1"/>
  <c r="Q31" i="45" s="1"/>
  <c r="R31" i="45" a="1"/>
  <c r="R31" i="45" s="1"/>
  <c r="S31" i="45" a="1"/>
  <c r="S31" i="45" s="1"/>
  <c r="AD31" i="45" s="1" a="1"/>
  <c r="AD31" i="45" s="1"/>
  <c r="T31" i="45" a="1"/>
  <c r="T31" i="45" s="1"/>
  <c r="AE31" i="45" s="1" a="1"/>
  <c r="AE31" i="45" s="1"/>
  <c r="U31" i="45" a="1"/>
  <c r="U31" i="45" s="1"/>
  <c r="AF31" i="45" s="1" a="1"/>
  <c r="AF31" i="45" s="1"/>
  <c r="V31" i="45" a="1"/>
  <c r="V31" i="45" s="1"/>
  <c r="AG31" i="45" s="1" a="1"/>
  <c r="AG31" i="45" s="1"/>
  <c r="W31" i="45" a="1"/>
  <c r="W31" i="45" s="1"/>
  <c r="AH31" i="45" s="1" a="1"/>
  <c r="AH31" i="45" s="1"/>
  <c r="X31" i="45" a="1"/>
  <c r="X31" i="45" s="1"/>
  <c r="AI31" i="45" s="1" a="1"/>
  <c r="AI31" i="45" s="1"/>
  <c r="N32" i="45" a="1"/>
  <c r="N32" i="45" s="1"/>
  <c r="O32" i="45" a="1"/>
  <c r="O32" i="45" s="1"/>
  <c r="P32" i="45" a="1"/>
  <c r="P32" i="45" s="1"/>
  <c r="Q32" i="45" a="1"/>
  <c r="Q32" i="45" s="1"/>
  <c r="R32" i="45" a="1"/>
  <c r="R32" i="45" s="1"/>
  <c r="S32" i="45" a="1"/>
  <c r="S32" i="45" s="1"/>
  <c r="AD32" i="45" s="1" a="1"/>
  <c r="AD32" i="45" s="1"/>
  <c r="T32" i="45" a="1"/>
  <c r="T32" i="45" s="1"/>
  <c r="AE32" i="45" s="1" a="1"/>
  <c r="AE32" i="45" s="1"/>
  <c r="U32" i="45" a="1"/>
  <c r="U32" i="45" s="1"/>
  <c r="AF32" i="45" s="1" a="1"/>
  <c r="AF32" i="45" s="1"/>
  <c r="V32" i="45" a="1"/>
  <c r="V32" i="45" s="1"/>
  <c r="AG32" i="45" s="1" a="1"/>
  <c r="AG32" i="45" s="1"/>
  <c r="W32" i="45" a="1"/>
  <c r="W32" i="45" s="1"/>
  <c r="AH32" i="45" s="1" a="1"/>
  <c r="AH32" i="45" s="1"/>
  <c r="X32" i="45" a="1"/>
  <c r="X32" i="45" s="1"/>
  <c r="AI32" i="45" s="1" a="1"/>
  <c r="AI32" i="45" s="1"/>
  <c r="N33" i="45" a="1"/>
  <c r="N33" i="45" s="1"/>
  <c r="O33" i="45" a="1"/>
  <c r="O33" i="45" s="1"/>
  <c r="P33" i="45" a="1"/>
  <c r="P33" i="45" s="1"/>
  <c r="Q33" i="45" a="1"/>
  <c r="Q33" i="45" s="1"/>
  <c r="R33" i="45" a="1"/>
  <c r="R33" i="45" s="1"/>
  <c r="S33" i="45" a="1"/>
  <c r="S33" i="45" s="1"/>
  <c r="AD33" i="45" s="1" a="1"/>
  <c r="AD33" i="45" s="1"/>
  <c r="T33" i="45" a="1"/>
  <c r="T33" i="45" s="1"/>
  <c r="AE33" i="45" s="1" a="1"/>
  <c r="AE33" i="45" s="1"/>
  <c r="U33" i="45" a="1"/>
  <c r="U33" i="45" s="1"/>
  <c r="AF33" i="45" s="1" a="1"/>
  <c r="AF33" i="45" s="1"/>
  <c r="V33" i="45" a="1"/>
  <c r="V33" i="45" s="1"/>
  <c r="AG33" i="45" s="1" a="1"/>
  <c r="AG33" i="45" s="1"/>
  <c r="W33" i="45" a="1"/>
  <c r="W33" i="45" s="1"/>
  <c r="AH33" i="45" s="1" a="1"/>
  <c r="AH33" i="45" s="1"/>
  <c r="X33" i="45" a="1"/>
  <c r="X33" i="45" s="1"/>
  <c r="AI33" i="45" s="1" a="1"/>
  <c r="AI33" i="45" s="1"/>
  <c r="N34" i="45" a="1"/>
  <c r="N34" i="45" s="1"/>
  <c r="O34" i="45" a="1"/>
  <c r="O34" i="45" s="1"/>
  <c r="P34" i="45" a="1"/>
  <c r="P34" i="45" s="1"/>
  <c r="Q34" i="45" a="1"/>
  <c r="Q34" i="45" s="1"/>
  <c r="R34" i="45" a="1"/>
  <c r="R34" i="45" s="1"/>
  <c r="S34" i="45" a="1"/>
  <c r="S34" i="45" s="1"/>
  <c r="AD34" i="45" s="1" a="1"/>
  <c r="AD34" i="45" s="1"/>
  <c r="T34" i="45" a="1"/>
  <c r="T34" i="45" s="1"/>
  <c r="AE34" i="45" s="1" a="1"/>
  <c r="AE34" i="45" s="1"/>
  <c r="U34" i="45" a="1"/>
  <c r="U34" i="45" s="1"/>
  <c r="AF34" i="45" s="1" a="1"/>
  <c r="AF34" i="45" s="1"/>
  <c r="V34" i="45" a="1"/>
  <c r="V34" i="45" s="1"/>
  <c r="AG34" i="45" s="1" a="1"/>
  <c r="AG34" i="45" s="1"/>
  <c r="W34" i="45" a="1"/>
  <c r="W34" i="45" s="1"/>
  <c r="AH34" i="45" s="1" a="1"/>
  <c r="AH34" i="45" s="1"/>
  <c r="X34" i="45" a="1"/>
  <c r="X34" i="45" s="1"/>
  <c r="AI34" i="45" s="1" a="1"/>
  <c r="AI34" i="45" s="1"/>
  <c r="N35" i="45" a="1"/>
  <c r="N35" i="45" s="1"/>
  <c r="O35" i="45" a="1"/>
  <c r="O35" i="45" s="1"/>
  <c r="P35" i="45" a="1"/>
  <c r="P35" i="45" s="1"/>
  <c r="Q35" i="45" a="1"/>
  <c r="Q35" i="45" s="1"/>
  <c r="R35" i="45" a="1"/>
  <c r="R35" i="45" s="1"/>
  <c r="S35" i="45" a="1"/>
  <c r="S35" i="45" s="1"/>
  <c r="AD35" i="45" s="1" a="1"/>
  <c r="AD35" i="45" s="1"/>
  <c r="T35" i="45" a="1"/>
  <c r="T35" i="45" s="1"/>
  <c r="AE35" i="45" s="1" a="1"/>
  <c r="AE35" i="45" s="1"/>
  <c r="U35" i="45" a="1"/>
  <c r="U35" i="45" s="1"/>
  <c r="AF35" i="45" s="1" a="1"/>
  <c r="AF35" i="45" s="1"/>
  <c r="V35" i="45" a="1"/>
  <c r="V35" i="45" s="1"/>
  <c r="AG35" i="45" s="1" a="1"/>
  <c r="AG35" i="45" s="1"/>
  <c r="W35" i="45" a="1"/>
  <c r="W35" i="45" s="1"/>
  <c r="AH35" i="45" s="1" a="1"/>
  <c r="AH35" i="45" s="1"/>
  <c r="X35" i="45" a="1"/>
  <c r="X35" i="45" s="1"/>
  <c r="AI35" i="45" s="1" a="1"/>
  <c r="AI35" i="45" s="1"/>
  <c r="N36" i="45" a="1"/>
  <c r="N36" i="45" s="1"/>
  <c r="O36" i="45" a="1"/>
  <c r="O36" i="45" s="1"/>
  <c r="P36" i="45" a="1"/>
  <c r="P36" i="45" s="1"/>
  <c r="Q36" i="45" a="1"/>
  <c r="Q36" i="45" s="1"/>
  <c r="R36" i="45" a="1"/>
  <c r="R36" i="45" s="1"/>
  <c r="S36" i="45" a="1"/>
  <c r="S36" i="45" s="1"/>
  <c r="AD36" i="45" s="1" a="1"/>
  <c r="AD36" i="45" s="1"/>
  <c r="T36" i="45" a="1"/>
  <c r="T36" i="45" s="1"/>
  <c r="AE36" i="45" s="1" a="1"/>
  <c r="AE36" i="45" s="1"/>
  <c r="U36" i="45" a="1"/>
  <c r="U36" i="45" s="1"/>
  <c r="AF36" i="45" s="1" a="1"/>
  <c r="AF36" i="45" s="1"/>
  <c r="V36" i="45" a="1"/>
  <c r="V36" i="45" s="1"/>
  <c r="AG36" i="45" s="1" a="1"/>
  <c r="AG36" i="45" s="1"/>
  <c r="W36" i="45" a="1"/>
  <c r="W36" i="45" s="1"/>
  <c r="AH36" i="45" s="1" a="1"/>
  <c r="AH36" i="45" s="1"/>
  <c r="X36" i="45" a="1"/>
  <c r="X36" i="45" s="1"/>
  <c r="AI36" i="45" s="1" a="1"/>
  <c r="AI36" i="45" s="1"/>
  <c r="N37" i="45" a="1"/>
  <c r="N37" i="45" s="1"/>
  <c r="O37" i="45" a="1"/>
  <c r="O37" i="45" s="1"/>
  <c r="P37" i="45" a="1"/>
  <c r="P37" i="45" s="1"/>
  <c r="Q37" i="45" a="1"/>
  <c r="Q37" i="45" s="1"/>
  <c r="R37" i="45" a="1"/>
  <c r="R37" i="45" s="1"/>
  <c r="S37" i="45" a="1"/>
  <c r="S37" i="45" s="1"/>
  <c r="AD37" i="45" s="1" a="1"/>
  <c r="AD37" i="45" s="1"/>
  <c r="T37" i="45" a="1"/>
  <c r="T37" i="45" s="1"/>
  <c r="AE37" i="45" s="1" a="1"/>
  <c r="AE37" i="45" s="1"/>
  <c r="U37" i="45" a="1"/>
  <c r="U37" i="45" s="1"/>
  <c r="AF37" i="45" s="1" a="1"/>
  <c r="AF37" i="45" s="1"/>
  <c r="V37" i="45" a="1"/>
  <c r="V37" i="45" s="1"/>
  <c r="AG37" i="45" s="1" a="1"/>
  <c r="AG37" i="45" s="1"/>
  <c r="W37" i="45" a="1"/>
  <c r="W37" i="45" s="1"/>
  <c r="AH37" i="45" s="1" a="1"/>
  <c r="AH37" i="45" s="1"/>
  <c r="X37" i="45" a="1"/>
  <c r="X37" i="45" s="1"/>
  <c r="AI37" i="45" s="1" a="1"/>
  <c r="AI37" i="45" s="1"/>
  <c r="N22" i="20" a="1"/>
  <c r="N22" i="20" s="1"/>
  <c r="O22" i="20" a="1"/>
  <c r="O22" i="20" s="1"/>
  <c r="P22" i="20" a="1"/>
  <c r="P22" i="20" s="1"/>
  <c r="Q22" i="20" a="1"/>
  <c r="Q22" i="20" s="1"/>
  <c r="R22" i="20" a="1"/>
  <c r="R22" i="20" s="1"/>
  <c r="AC22" i="20" s="1" a="1"/>
  <c r="AC22" i="20" s="1"/>
  <c r="S22" i="20" a="1"/>
  <c r="S22" i="20" s="1"/>
  <c r="AD22" i="20" s="1" a="1"/>
  <c r="AD22" i="20" s="1"/>
  <c r="T22" i="20" a="1"/>
  <c r="T22" i="20" s="1"/>
  <c r="AE22" i="20" s="1" a="1"/>
  <c r="AE22" i="20" s="1"/>
  <c r="U22" i="20" a="1"/>
  <c r="U22" i="20" s="1"/>
  <c r="AF22" i="20" s="1" a="1"/>
  <c r="AF22" i="20" s="1"/>
  <c r="V22" i="20" a="1"/>
  <c r="V22" i="20" s="1"/>
  <c r="AG22" i="20" s="1" a="1"/>
  <c r="AG22" i="20" s="1"/>
  <c r="W22" i="20" a="1"/>
  <c r="W22" i="20" s="1"/>
  <c r="AH22" i="20" s="1" a="1"/>
  <c r="AH22" i="20" s="1"/>
  <c r="X22" i="20" a="1"/>
  <c r="X22" i="20" s="1"/>
  <c r="AI22" i="20" s="1" a="1"/>
  <c r="AI22" i="20" s="1"/>
  <c r="N23" i="20" a="1"/>
  <c r="N23" i="20" s="1"/>
  <c r="O23" i="20" a="1"/>
  <c r="O23" i="20" s="1"/>
  <c r="P23" i="20" a="1"/>
  <c r="P23" i="20" s="1"/>
  <c r="Q23" i="20" a="1"/>
  <c r="Q23" i="20" s="1"/>
  <c r="R23" i="20" a="1"/>
  <c r="R23" i="20" s="1"/>
  <c r="S23" i="20" a="1"/>
  <c r="S23" i="20" s="1"/>
  <c r="T23" i="20" a="1"/>
  <c r="T23" i="20" s="1"/>
  <c r="U23" i="20" a="1"/>
  <c r="U23" i="20" s="1"/>
  <c r="V23" i="20" a="1"/>
  <c r="V23" i="20" s="1"/>
  <c r="W23" i="20" a="1"/>
  <c r="W23" i="20" s="1"/>
  <c r="X23" i="20" a="1"/>
  <c r="X23" i="20" s="1"/>
  <c r="N21" i="20" a="1"/>
  <c r="N21" i="20" s="1"/>
  <c r="O21" i="20" a="1"/>
  <c r="O21" i="20" s="1"/>
  <c r="P21" i="20" a="1"/>
  <c r="P21" i="20" s="1"/>
  <c r="Q21" i="20" a="1"/>
  <c r="Q21" i="20" s="1"/>
  <c r="R21" i="20" a="1"/>
  <c r="R21" i="20" s="1"/>
  <c r="S21" i="20" a="1"/>
  <c r="S21" i="20" s="1"/>
  <c r="AD21" i="20" s="1" a="1"/>
  <c r="AD21" i="20" s="1"/>
  <c r="T21" i="20" a="1"/>
  <c r="T21" i="20" s="1"/>
  <c r="AE21" i="20" s="1" a="1"/>
  <c r="AE21" i="20" s="1"/>
  <c r="U21" i="20" a="1"/>
  <c r="U21" i="20" s="1"/>
  <c r="AF21" i="20" s="1" a="1"/>
  <c r="AF21" i="20" s="1"/>
  <c r="V21" i="20" a="1"/>
  <c r="V21" i="20" s="1"/>
  <c r="AG21" i="20" s="1" a="1"/>
  <c r="AG21" i="20" s="1"/>
  <c r="W21" i="20" a="1"/>
  <c r="W21" i="20" s="1"/>
  <c r="AH21" i="20" s="1" a="1"/>
  <c r="AH21" i="20" s="1"/>
  <c r="X21" i="20" a="1"/>
  <c r="X21" i="20" s="1"/>
  <c r="AI21" i="20" s="1" a="1"/>
  <c r="AI21" i="20" s="1"/>
  <c r="N14" i="20" a="1"/>
  <c r="N14" i="20" s="1"/>
  <c r="O14" i="20" a="1"/>
  <c r="O14" i="20" s="1"/>
  <c r="P14" i="20" a="1"/>
  <c r="P14" i="20" s="1"/>
  <c r="Q14" i="20" a="1"/>
  <c r="Q14" i="20" s="1"/>
  <c r="AB14" i="20" s="1" a="1"/>
  <c r="AB14" i="20" s="1"/>
  <c r="R14" i="20" a="1"/>
  <c r="R14" i="20" s="1"/>
  <c r="AC14" i="20" s="1" a="1"/>
  <c r="AC14" i="20" s="1"/>
  <c r="S14" i="20" a="1"/>
  <c r="S14" i="20" s="1"/>
  <c r="AD14" i="20" s="1" a="1"/>
  <c r="AD14" i="20" s="1"/>
  <c r="T14" i="20" a="1"/>
  <c r="T14" i="20" s="1"/>
  <c r="AE14" i="20" s="1" a="1"/>
  <c r="AE14" i="20" s="1"/>
  <c r="U14" i="20" a="1"/>
  <c r="U14" i="20" s="1"/>
  <c r="AF14" i="20" s="1" a="1"/>
  <c r="AF14" i="20" s="1"/>
  <c r="V14" i="20" a="1"/>
  <c r="V14" i="20" s="1"/>
  <c r="AG14" i="20" s="1" a="1"/>
  <c r="AG14" i="20" s="1"/>
  <c r="W14" i="20" a="1"/>
  <c r="W14" i="20" s="1"/>
  <c r="AH14" i="20" s="1" a="1"/>
  <c r="AH14" i="20" s="1"/>
  <c r="X14" i="20" a="1"/>
  <c r="X14" i="20" s="1"/>
  <c r="AI14" i="20" s="1" a="1"/>
  <c r="AI14" i="20" s="1"/>
  <c r="N15" i="20" a="1"/>
  <c r="N15" i="20" s="1"/>
  <c r="O15" i="20" a="1"/>
  <c r="O15" i="20" s="1"/>
  <c r="P15" i="20" a="1"/>
  <c r="P15" i="20" s="1"/>
  <c r="Q15" i="20" a="1"/>
  <c r="Q15" i="20" s="1"/>
  <c r="AB15" i="20" s="1" a="1"/>
  <c r="AB15" i="20" s="1"/>
  <c r="R15" i="20" a="1"/>
  <c r="R15" i="20" s="1"/>
  <c r="AC15" i="20" s="1" a="1"/>
  <c r="AC15" i="20" s="1"/>
  <c r="S15" i="20" a="1"/>
  <c r="S15" i="20" s="1"/>
  <c r="AD15" i="20" s="1" a="1"/>
  <c r="AD15" i="20" s="1"/>
  <c r="T15" i="20" a="1"/>
  <c r="T15" i="20" s="1"/>
  <c r="AE15" i="20" s="1" a="1"/>
  <c r="AE15" i="20" s="1"/>
  <c r="U15" i="20" a="1"/>
  <c r="U15" i="20" s="1"/>
  <c r="AF15" i="20" s="1" a="1"/>
  <c r="AF15" i="20" s="1"/>
  <c r="V15" i="20" a="1"/>
  <c r="V15" i="20" s="1"/>
  <c r="AG15" i="20" s="1" a="1"/>
  <c r="AG15" i="20" s="1"/>
  <c r="W15" i="20" a="1"/>
  <c r="W15" i="20" s="1"/>
  <c r="AH15" i="20" s="1" a="1"/>
  <c r="AH15" i="20" s="1"/>
  <c r="X15" i="20" a="1"/>
  <c r="X15" i="20" s="1"/>
  <c r="AI15" i="20" s="1" a="1"/>
  <c r="AI15" i="20" s="1"/>
  <c r="N16" i="20" a="1"/>
  <c r="N16" i="20" s="1"/>
  <c r="O16" i="20" a="1"/>
  <c r="O16" i="20" s="1"/>
  <c r="P16" i="20" a="1"/>
  <c r="P16" i="20" s="1"/>
  <c r="Q16" i="20" a="1"/>
  <c r="Q16" i="20" s="1"/>
  <c r="AB16" i="20" s="1" a="1"/>
  <c r="AB16" i="20" s="1"/>
  <c r="R16" i="20" a="1"/>
  <c r="R16" i="20" s="1"/>
  <c r="AC16" i="20" s="1" a="1"/>
  <c r="AC16" i="20" s="1"/>
  <c r="S16" i="20" a="1"/>
  <c r="S16" i="20" s="1"/>
  <c r="AD16" i="20" s="1" a="1"/>
  <c r="AD16" i="20" s="1"/>
  <c r="T16" i="20" a="1"/>
  <c r="T16" i="20" s="1"/>
  <c r="AE16" i="20" s="1" a="1"/>
  <c r="AE16" i="20" s="1"/>
  <c r="U16" i="20" a="1"/>
  <c r="U16" i="20" s="1"/>
  <c r="AF16" i="20" s="1" a="1"/>
  <c r="AF16" i="20" s="1"/>
  <c r="V16" i="20" a="1"/>
  <c r="V16" i="20" s="1"/>
  <c r="AG16" i="20" s="1" a="1"/>
  <c r="AG16" i="20" s="1"/>
  <c r="W16" i="20" a="1"/>
  <c r="W16" i="20" s="1"/>
  <c r="AH16" i="20" s="1" a="1"/>
  <c r="AH16" i="20" s="1"/>
  <c r="X16" i="20" a="1"/>
  <c r="X16" i="20" s="1"/>
  <c r="AI16" i="20" s="1" a="1"/>
  <c r="AI16" i="20" s="1"/>
  <c r="N17" i="20" a="1"/>
  <c r="N17" i="20" s="1"/>
  <c r="O17" i="20" a="1"/>
  <c r="O17" i="20" s="1"/>
  <c r="P17" i="20" a="1"/>
  <c r="P17" i="20" s="1"/>
  <c r="Q17" i="20" a="1"/>
  <c r="Q17" i="20" s="1"/>
  <c r="AB17" i="20" s="1" a="1"/>
  <c r="AB17" i="20" s="1"/>
  <c r="R17" i="20" a="1"/>
  <c r="R17" i="20" s="1"/>
  <c r="AC17" i="20" s="1" a="1"/>
  <c r="AC17" i="20" s="1"/>
  <c r="S17" i="20" a="1"/>
  <c r="S17" i="20" s="1"/>
  <c r="AD17" i="20" s="1" a="1"/>
  <c r="AD17" i="20" s="1"/>
  <c r="T17" i="20" a="1"/>
  <c r="T17" i="20" s="1"/>
  <c r="AE17" i="20" s="1" a="1"/>
  <c r="AE17" i="20" s="1"/>
  <c r="U17" i="20" a="1"/>
  <c r="U17" i="20" s="1"/>
  <c r="AF17" i="20" s="1" a="1"/>
  <c r="AF17" i="20" s="1"/>
  <c r="V17" i="20" a="1"/>
  <c r="V17" i="20" s="1"/>
  <c r="AG17" i="20" s="1" a="1"/>
  <c r="AG17" i="20" s="1"/>
  <c r="W17" i="20" a="1"/>
  <c r="W17" i="20" s="1"/>
  <c r="AH17" i="20" s="1" a="1"/>
  <c r="AH17" i="20" s="1"/>
  <c r="X17" i="20" a="1"/>
  <c r="X17" i="20" s="1"/>
  <c r="AI17" i="20" s="1" a="1"/>
  <c r="AI17" i="20" s="1"/>
  <c r="N18" i="20" a="1"/>
  <c r="N18" i="20" s="1"/>
  <c r="O18" i="20" a="1"/>
  <c r="O18" i="20" s="1"/>
  <c r="P18" i="20" a="1"/>
  <c r="P18" i="20" s="1"/>
  <c r="Q18" i="20" a="1"/>
  <c r="Q18" i="20" s="1"/>
  <c r="R18" i="20" a="1"/>
  <c r="R18" i="20" s="1"/>
  <c r="AC18" i="20" s="1" a="1"/>
  <c r="AC18" i="20" s="1"/>
  <c r="S18" i="20" a="1"/>
  <c r="S18" i="20" s="1"/>
  <c r="AD18" i="20" s="1" a="1"/>
  <c r="AD18" i="20" s="1"/>
  <c r="T18" i="20" a="1"/>
  <c r="T18" i="20" s="1"/>
  <c r="AE18" i="20" s="1" a="1"/>
  <c r="AE18" i="20" s="1"/>
  <c r="U18" i="20" a="1"/>
  <c r="U18" i="20" s="1"/>
  <c r="AF18" i="20" s="1" a="1"/>
  <c r="AF18" i="20" s="1"/>
  <c r="V18" i="20" a="1"/>
  <c r="V18" i="20" s="1"/>
  <c r="AG18" i="20" s="1" a="1"/>
  <c r="AG18" i="20" s="1"/>
  <c r="W18" i="20" a="1"/>
  <c r="W18" i="20" s="1"/>
  <c r="AH18" i="20" s="1" a="1"/>
  <c r="AH18" i="20" s="1"/>
  <c r="X18" i="20" a="1"/>
  <c r="X18" i="20" s="1"/>
  <c r="AI18" i="20" s="1" a="1"/>
  <c r="AI18" i="20" s="1"/>
  <c r="N19" i="20" a="1"/>
  <c r="N19" i="20" s="1"/>
  <c r="O19" i="20" a="1"/>
  <c r="O19" i="20" s="1"/>
  <c r="P19" i="20" a="1"/>
  <c r="P19" i="20" s="1"/>
  <c r="Q19" i="20" a="1"/>
  <c r="Q19" i="20" s="1"/>
  <c r="R19" i="20" a="1"/>
  <c r="R19" i="20" s="1"/>
  <c r="AC19" i="20" s="1" a="1"/>
  <c r="AC19" i="20" s="1"/>
  <c r="S19" i="20" a="1"/>
  <c r="S19" i="20" s="1"/>
  <c r="AD19" i="20" s="1" a="1"/>
  <c r="AD19" i="20" s="1"/>
  <c r="T19" i="20" a="1"/>
  <c r="T19" i="20" s="1"/>
  <c r="AE19" i="20" s="1" a="1"/>
  <c r="AE19" i="20" s="1"/>
  <c r="U19" i="20" a="1"/>
  <c r="U19" i="20" s="1"/>
  <c r="AF19" i="20" s="1" a="1"/>
  <c r="AF19" i="20" s="1"/>
  <c r="V19" i="20" a="1"/>
  <c r="V19" i="20" s="1"/>
  <c r="AG19" i="20" s="1" a="1"/>
  <c r="AG19" i="20" s="1"/>
  <c r="W19" i="20" a="1"/>
  <c r="W19" i="20" s="1"/>
  <c r="AH19" i="20" s="1" a="1"/>
  <c r="AH19" i="20" s="1"/>
  <c r="X19" i="20" a="1"/>
  <c r="X19" i="20" s="1"/>
  <c r="AI19" i="20" s="1" a="1"/>
  <c r="AI19" i="20" s="1"/>
  <c r="N20" i="20" a="1"/>
  <c r="N20" i="20" s="1"/>
  <c r="O20" i="20" a="1"/>
  <c r="O20" i="20" s="1"/>
  <c r="P20" i="20" a="1"/>
  <c r="P20" i="20" s="1"/>
  <c r="Q20" i="20" a="1"/>
  <c r="Q20" i="20" s="1"/>
  <c r="R20" i="20" a="1"/>
  <c r="R20" i="20" s="1"/>
  <c r="S20" i="20" a="1"/>
  <c r="S20" i="20" s="1"/>
  <c r="T20" i="20" a="1"/>
  <c r="T20" i="20" s="1"/>
  <c r="AE20" i="20" s="1" a="1"/>
  <c r="AE20" i="20" s="1"/>
  <c r="U20" i="20" a="1"/>
  <c r="U20" i="20" s="1"/>
  <c r="AF20" i="20" s="1" a="1"/>
  <c r="AF20" i="20" s="1"/>
  <c r="V20" i="20" a="1"/>
  <c r="V20" i="20" s="1"/>
  <c r="AG20" i="20" s="1" a="1"/>
  <c r="AG20" i="20" s="1"/>
  <c r="W20" i="20" a="1"/>
  <c r="W20" i="20" s="1"/>
  <c r="AH20" i="20" s="1" a="1"/>
  <c r="AH20" i="20" s="1"/>
  <c r="X20" i="20" a="1"/>
  <c r="X20" i="20" s="1"/>
  <c r="AI20" i="20" s="1" a="1"/>
  <c r="AI20" i="20" s="1"/>
  <c r="N24" i="20" a="1"/>
  <c r="N24" i="20" s="1"/>
  <c r="O24" i="20" a="1"/>
  <c r="O24" i="20" s="1"/>
  <c r="P24" i="20" a="1"/>
  <c r="P24" i="20" s="1"/>
  <c r="Q24" i="20" a="1"/>
  <c r="Q24" i="20" s="1"/>
  <c r="R24" i="20" a="1"/>
  <c r="R24" i="20" s="1"/>
  <c r="S24" i="20" a="1"/>
  <c r="S24" i="20" s="1"/>
  <c r="T24" i="20" a="1"/>
  <c r="T24" i="20" s="1"/>
  <c r="U24" i="20" a="1"/>
  <c r="U24" i="20" s="1"/>
  <c r="V24" i="20" a="1"/>
  <c r="V24" i="20" s="1"/>
  <c r="W24" i="20" a="1"/>
  <c r="W24" i="20" s="1"/>
  <c r="X24" i="20" a="1"/>
  <c r="X24" i="20" s="1"/>
  <c r="C27" i="4"/>
  <c r="N20" i="55" a="1"/>
  <c r="N20" i="55" s="1"/>
  <c r="O20" i="55" a="1"/>
  <c r="O20" i="55" s="1"/>
  <c r="P20" i="55" a="1"/>
  <c r="P20" i="55"/>
  <c r="AA20" i="55" s="1" a="1"/>
  <c r="AA20" i="55" s="1"/>
  <c r="Q20" i="55" a="1"/>
  <c r="Q20" i="55" s="1"/>
  <c r="AB20" i="55" s="1" a="1"/>
  <c r="AB20" i="55" s="1"/>
  <c r="R20" i="55" a="1"/>
  <c r="R20" i="55" s="1"/>
  <c r="AC20" i="55" s="1" a="1"/>
  <c r="AC20" i="55" s="1"/>
  <c r="S20" i="55" a="1"/>
  <c r="S20" i="55" s="1"/>
  <c r="AD20" i="55" s="1" a="1"/>
  <c r="AD20" i="55" s="1"/>
  <c r="T20" i="55" a="1"/>
  <c r="T20" i="55" s="1"/>
  <c r="AE20" i="55" s="1" a="1"/>
  <c r="AE20" i="55" s="1"/>
  <c r="U20" i="55" a="1"/>
  <c r="U20" i="55"/>
  <c r="AF20" i="55" s="1" a="1"/>
  <c r="AF20" i="55" s="1"/>
  <c r="V20" i="55" a="1"/>
  <c r="V20" i="55" s="1"/>
  <c r="AG20" i="55" s="1" a="1"/>
  <c r="AG20" i="55" s="1"/>
  <c r="W20" i="55" a="1"/>
  <c r="W20" i="55" s="1"/>
  <c r="AH20" i="55" s="1" a="1"/>
  <c r="AH20" i="55" s="1"/>
  <c r="X20" i="55" a="1"/>
  <c r="X20" i="55" s="1"/>
  <c r="AI20" i="55" s="1" a="1"/>
  <c r="AI20" i="55" s="1"/>
  <c r="N21" i="55" a="1"/>
  <c r="N21" i="55" s="1"/>
  <c r="O21" i="55" a="1"/>
  <c r="O21" i="55" s="1"/>
  <c r="P21" i="55" a="1"/>
  <c r="P21" i="55" s="1"/>
  <c r="AA21" i="55" s="1" a="1"/>
  <c r="AA21" i="55" s="1"/>
  <c r="Q21" i="55" a="1"/>
  <c r="Q21" i="55"/>
  <c r="AB21" i="55" s="1" a="1"/>
  <c r="AB21" i="55" s="1"/>
  <c r="R21" i="55" a="1"/>
  <c r="R21" i="55" s="1"/>
  <c r="AC21" i="55" s="1" a="1"/>
  <c r="AC21" i="55" s="1"/>
  <c r="S21" i="55" a="1"/>
  <c r="S21" i="55" s="1"/>
  <c r="AD21" i="55" s="1" a="1"/>
  <c r="AD21" i="55" s="1"/>
  <c r="T21" i="55" a="1"/>
  <c r="T21" i="55"/>
  <c r="AE21" i="55" s="1" a="1"/>
  <c r="AE21" i="55" s="1"/>
  <c r="U21" i="55" a="1"/>
  <c r="U21" i="55" s="1"/>
  <c r="AF21" i="55" s="1" a="1"/>
  <c r="AF21" i="55" s="1"/>
  <c r="V21" i="55" a="1"/>
  <c r="V21" i="55" s="1"/>
  <c r="AG21" i="55" s="1" a="1"/>
  <c r="AG21" i="55" s="1"/>
  <c r="W21" i="55" a="1"/>
  <c r="W21" i="55" s="1"/>
  <c r="AH21" i="55" s="1" a="1"/>
  <c r="AH21" i="55" s="1"/>
  <c r="X21" i="55" a="1"/>
  <c r="X21" i="55" s="1"/>
  <c r="AI21" i="55" s="1" a="1"/>
  <c r="AI21" i="55" s="1"/>
  <c r="N22" i="55" a="1"/>
  <c r="N22" i="55" s="1"/>
  <c r="O22" i="55" a="1"/>
  <c r="O22" i="55" s="1"/>
  <c r="P22" i="55" a="1"/>
  <c r="P22" i="55" s="1"/>
  <c r="AA22" i="55" s="1" a="1"/>
  <c r="AA22" i="55" s="1"/>
  <c r="Q22" i="55" a="1"/>
  <c r="Q22" i="55" s="1"/>
  <c r="AB22" i="55" s="1" a="1"/>
  <c r="AB22" i="55" s="1"/>
  <c r="R22" i="55" a="1"/>
  <c r="R22" i="55" s="1"/>
  <c r="AC22" i="55" s="1" a="1"/>
  <c r="AC22" i="55" s="1"/>
  <c r="S22" i="55" a="1"/>
  <c r="S22" i="55" s="1"/>
  <c r="AD22" i="55" s="1" a="1"/>
  <c r="AD22" i="55" s="1"/>
  <c r="T22" i="55" a="1"/>
  <c r="T22" i="55"/>
  <c r="AE22" i="55" s="1" a="1"/>
  <c r="AE22" i="55" s="1"/>
  <c r="U22" i="55" a="1"/>
  <c r="U22" i="55" s="1"/>
  <c r="AF22" i="55" s="1" a="1"/>
  <c r="AF22" i="55" s="1"/>
  <c r="V22" i="55" a="1"/>
  <c r="V22" i="55" s="1"/>
  <c r="AG22" i="55" s="1" a="1"/>
  <c r="AG22" i="55" s="1"/>
  <c r="W22" i="55" a="1"/>
  <c r="W22" i="55" s="1"/>
  <c r="AH22" i="55" s="1" a="1"/>
  <c r="AH22" i="55" s="1"/>
  <c r="X22" i="55" a="1"/>
  <c r="X22" i="55" s="1"/>
  <c r="AI22" i="55" s="1" a="1"/>
  <c r="AI22" i="55" s="1"/>
  <c r="N23" i="55" a="1"/>
  <c r="N23" i="55" s="1"/>
  <c r="O23" i="55" a="1"/>
  <c r="O23" i="55" s="1"/>
  <c r="P23" i="55" a="1"/>
  <c r="P23" i="55" s="1"/>
  <c r="AA23" i="55" s="1" a="1"/>
  <c r="AA23" i="55" s="1"/>
  <c r="Q23" i="55" a="1"/>
  <c r="Q23" i="55" s="1"/>
  <c r="AB23" i="55" s="1" a="1"/>
  <c r="AB23" i="55" s="1"/>
  <c r="R23" i="55" a="1"/>
  <c r="R23" i="55" s="1"/>
  <c r="AC23" i="55" s="1" a="1"/>
  <c r="AC23" i="55" s="1"/>
  <c r="S23" i="55" a="1"/>
  <c r="S23" i="55" s="1"/>
  <c r="AD23" i="55" s="1" a="1"/>
  <c r="AD23" i="55" s="1"/>
  <c r="T23" i="55" a="1"/>
  <c r="T23" i="55" s="1"/>
  <c r="AE23" i="55" s="1" a="1"/>
  <c r="AE23" i="55" s="1"/>
  <c r="U23" i="55" a="1"/>
  <c r="U23" i="55" s="1"/>
  <c r="AF23" i="55" s="1" a="1"/>
  <c r="AF23" i="55" s="1"/>
  <c r="V23" i="55" a="1"/>
  <c r="V23" i="55" s="1"/>
  <c r="AG23" i="55" s="1" a="1"/>
  <c r="AG23" i="55" s="1"/>
  <c r="W23" i="55" a="1"/>
  <c r="W23" i="55" s="1"/>
  <c r="AH23" i="55" s="1" a="1"/>
  <c r="AH23" i="55" s="1"/>
  <c r="X23" i="55" a="1"/>
  <c r="X23" i="55" s="1"/>
  <c r="AI23" i="55" s="1" a="1"/>
  <c r="AI23" i="55" s="1"/>
  <c r="N24" i="55" a="1"/>
  <c r="N24" i="55" s="1"/>
  <c r="O24" i="55" a="1"/>
  <c r="O24" i="55" s="1"/>
  <c r="P24" i="55" a="1"/>
  <c r="P24" i="55" s="1"/>
  <c r="AA24" i="55" s="1" a="1"/>
  <c r="AA24" i="55" s="1"/>
  <c r="Q24" i="55" a="1"/>
  <c r="Q24" i="55" s="1"/>
  <c r="AB24" i="55" s="1" a="1"/>
  <c r="AB24" i="55" s="1"/>
  <c r="R24" i="55" a="1"/>
  <c r="R24" i="55" s="1"/>
  <c r="AC24" i="55" s="1" a="1"/>
  <c r="AC24" i="55" s="1"/>
  <c r="S24" i="55" a="1"/>
  <c r="S24" i="55" s="1"/>
  <c r="AD24" i="55" s="1" a="1"/>
  <c r="AD24" i="55" s="1"/>
  <c r="T24" i="55" a="1"/>
  <c r="T24" i="55" s="1"/>
  <c r="AE24" i="55" s="1" a="1"/>
  <c r="AE24" i="55" s="1"/>
  <c r="U24" i="55" a="1"/>
  <c r="U24" i="55" s="1"/>
  <c r="AF24" i="55" s="1" a="1"/>
  <c r="AF24" i="55" s="1"/>
  <c r="V24" i="55" a="1"/>
  <c r="V24" i="55" s="1"/>
  <c r="AG24" i="55" s="1" a="1"/>
  <c r="AG24" i="55" s="1"/>
  <c r="W24" i="55" a="1"/>
  <c r="W24" i="55" s="1"/>
  <c r="AH24" i="55" s="1" a="1"/>
  <c r="AH24" i="55" s="1"/>
  <c r="X24" i="55" a="1"/>
  <c r="X24" i="55" s="1"/>
  <c r="AI24" i="55" s="1" a="1"/>
  <c r="AI24" i="55" s="1"/>
  <c r="N25" i="55" a="1"/>
  <c r="N25" i="55" s="1"/>
  <c r="O25" i="55" a="1"/>
  <c r="O25" i="55" s="1"/>
  <c r="P25" i="55" a="1"/>
  <c r="P25" i="55" s="1"/>
  <c r="AA25" i="55" s="1" a="1"/>
  <c r="AA25" i="55" s="1"/>
  <c r="Q25" i="55" a="1"/>
  <c r="Q25" i="55" s="1"/>
  <c r="AB25" i="55" s="1" a="1"/>
  <c r="AB25" i="55" s="1"/>
  <c r="R25" i="55" a="1"/>
  <c r="R25" i="55" s="1"/>
  <c r="AC25" i="55" s="1" a="1"/>
  <c r="AC25" i="55" s="1"/>
  <c r="S25" i="55" a="1"/>
  <c r="S25" i="55" s="1"/>
  <c r="AD25" i="55" s="1" a="1"/>
  <c r="AD25" i="55" s="1"/>
  <c r="T25" i="55" a="1"/>
  <c r="T25" i="55" s="1"/>
  <c r="AE25" i="55" s="1" a="1"/>
  <c r="AE25" i="55" s="1"/>
  <c r="U25" i="55" a="1"/>
  <c r="U25" i="55" s="1"/>
  <c r="AF25" i="55" s="1" a="1"/>
  <c r="AF25" i="55" s="1"/>
  <c r="V25" i="55" a="1"/>
  <c r="V25" i="55" s="1"/>
  <c r="AG25" i="55" s="1" a="1"/>
  <c r="AG25" i="55" s="1"/>
  <c r="W25" i="55" a="1"/>
  <c r="W25" i="55" s="1"/>
  <c r="AH25" i="55" s="1" a="1"/>
  <c r="AH25" i="55" s="1"/>
  <c r="X25" i="55" a="1"/>
  <c r="X25" i="55" s="1"/>
  <c r="AI25" i="55" s="1" a="1"/>
  <c r="AI25" i="55" s="1"/>
  <c r="N26" i="55" a="1"/>
  <c r="N26" i="55" s="1"/>
  <c r="O26" i="55" a="1"/>
  <c r="O26" i="55" s="1"/>
  <c r="P26" i="55" a="1"/>
  <c r="P26" i="55" s="1"/>
  <c r="AA26" i="55" s="1" a="1"/>
  <c r="AA26" i="55" s="1"/>
  <c r="Q26" i="55" a="1"/>
  <c r="Q26" i="55" s="1"/>
  <c r="AB26" i="55" s="1" a="1"/>
  <c r="AB26" i="55" s="1"/>
  <c r="R26" i="55" a="1"/>
  <c r="R26" i="55" s="1"/>
  <c r="AC26" i="55" s="1" a="1"/>
  <c r="AC26" i="55" s="1"/>
  <c r="S26" i="55" a="1"/>
  <c r="S26" i="55" s="1"/>
  <c r="AD26" i="55" s="1" a="1"/>
  <c r="AD26" i="55" s="1"/>
  <c r="T26" i="55" a="1"/>
  <c r="T26" i="55" s="1"/>
  <c r="AE26" i="55" s="1" a="1"/>
  <c r="AE26" i="55" s="1"/>
  <c r="U26" i="55" a="1"/>
  <c r="U26" i="55" s="1"/>
  <c r="AF26" i="55" s="1" a="1"/>
  <c r="AF26" i="55" s="1"/>
  <c r="V26" i="55" a="1"/>
  <c r="V26" i="55" s="1"/>
  <c r="AG26" i="55" s="1" a="1"/>
  <c r="AG26" i="55" s="1"/>
  <c r="W26" i="55" a="1"/>
  <c r="W26" i="55" s="1"/>
  <c r="AH26" i="55" s="1" a="1"/>
  <c r="AH26" i="55" s="1"/>
  <c r="X26" i="55" a="1"/>
  <c r="X26" i="55" s="1"/>
  <c r="AI26" i="55" s="1" a="1"/>
  <c r="AI26" i="55" s="1"/>
  <c r="N27" i="55" a="1"/>
  <c r="N27" i="55" s="1"/>
  <c r="O27" i="55" a="1"/>
  <c r="O27" i="55" s="1"/>
  <c r="P27" i="55" a="1"/>
  <c r="P27" i="55" s="1"/>
  <c r="AA27" i="55" s="1" a="1"/>
  <c r="AA27" i="55" s="1"/>
  <c r="Q27" i="55" a="1"/>
  <c r="Q27" i="55" s="1"/>
  <c r="AB27" i="55" s="1" a="1"/>
  <c r="AB27" i="55" s="1"/>
  <c r="R27" i="55" a="1"/>
  <c r="R27" i="55" s="1"/>
  <c r="AC27" i="55" s="1" a="1"/>
  <c r="AC27" i="55" s="1"/>
  <c r="S27" i="55" a="1"/>
  <c r="S27" i="55" s="1"/>
  <c r="AD27" i="55" s="1" a="1"/>
  <c r="AD27" i="55" s="1"/>
  <c r="T27" i="55" a="1"/>
  <c r="T27" i="55" s="1"/>
  <c r="AE27" i="55" s="1" a="1"/>
  <c r="AE27" i="55" s="1"/>
  <c r="U27" i="55" a="1"/>
  <c r="U27" i="55" s="1"/>
  <c r="AF27" i="55" s="1" a="1"/>
  <c r="AF27" i="55" s="1"/>
  <c r="V27" i="55" a="1"/>
  <c r="V27" i="55" s="1"/>
  <c r="AG27" i="55" s="1" a="1"/>
  <c r="AG27" i="55" s="1"/>
  <c r="W27" i="55" a="1"/>
  <c r="W27" i="55" s="1"/>
  <c r="AH27" i="55" s="1" a="1"/>
  <c r="AH27" i="55" s="1"/>
  <c r="X27" i="55" a="1"/>
  <c r="X27" i="55" s="1"/>
  <c r="AI27" i="55" s="1" a="1"/>
  <c r="AI27" i="55" s="1"/>
  <c r="N28" i="55" a="1"/>
  <c r="N28" i="55" s="1"/>
  <c r="O28" i="55" a="1"/>
  <c r="O28" i="55" s="1"/>
  <c r="P28" i="55" a="1"/>
  <c r="P28" i="55" s="1"/>
  <c r="AA28" i="55" s="1" a="1"/>
  <c r="AA28" i="55" s="1"/>
  <c r="Q28" i="55" a="1"/>
  <c r="Q28" i="55" s="1"/>
  <c r="AB28" i="55" s="1" a="1"/>
  <c r="AB28" i="55" s="1"/>
  <c r="R28" i="55" a="1"/>
  <c r="R28" i="55" s="1"/>
  <c r="AC28" i="55" s="1" a="1"/>
  <c r="AC28" i="55" s="1"/>
  <c r="S28" i="55" a="1"/>
  <c r="S28" i="55" s="1"/>
  <c r="AD28" i="55" s="1" a="1"/>
  <c r="AD28" i="55" s="1"/>
  <c r="T28" i="55" a="1"/>
  <c r="T28" i="55" s="1"/>
  <c r="AE28" i="55" s="1" a="1"/>
  <c r="AE28" i="55" s="1"/>
  <c r="U28" i="55" a="1"/>
  <c r="U28" i="55" s="1"/>
  <c r="AF28" i="55" s="1" a="1"/>
  <c r="AF28" i="55" s="1"/>
  <c r="V28" i="55" a="1"/>
  <c r="V28" i="55" s="1"/>
  <c r="AG28" i="55" s="1" a="1"/>
  <c r="AG28" i="55" s="1"/>
  <c r="W28" i="55" a="1"/>
  <c r="W28" i="55" s="1"/>
  <c r="AH28" i="55" s="1" a="1"/>
  <c r="AH28" i="55" s="1"/>
  <c r="X28" i="55" a="1"/>
  <c r="X28" i="55" s="1"/>
  <c r="AI28" i="55" s="1" a="1"/>
  <c r="AI28" i="55" s="1"/>
  <c r="N29" i="55" a="1"/>
  <c r="N29" i="55" s="1"/>
  <c r="O29" i="55" a="1"/>
  <c r="O29" i="55" s="1"/>
  <c r="P29" i="55" a="1"/>
  <c r="P29" i="55" s="1"/>
  <c r="AA29" i="55" s="1" a="1"/>
  <c r="AA29" i="55" s="1"/>
  <c r="Q29" i="55" a="1"/>
  <c r="Q29" i="55" s="1"/>
  <c r="AB29" i="55" s="1" a="1"/>
  <c r="AB29" i="55" s="1"/>
  <c r="R29" i="55" a="1"/>
  <c r="R29" i="55" s="1"/>
  <c r="AC29" i="55" s="1" a="1"/>
  <c r="AC29" i="55" s="1"/>
  <c r="S29" i="55" a="1"/>
  <c r="S29" i="55" s="1"/>
  <c r="AD29" i="55" s="1" a="1"/>
  <c r="AD29" i="55" s="1"/>
  <c r="T29" i="55" a="1"/>
  <c r="T29" i="55" s="1"/>
  <c r="AE29" i="55" s="1" a="1"/>
  <c r="AE29" i="55" s="1"/>
  <c r="U29" i="55" a="1"/>
  <c r="U29" i="55" s="1"/>
  <c r="AF29" i="55" s="1" a="1"/>
  <c r="AF29" i="55" s="1"/>
  <c r="V29" i="55" a="1"/>
  <c r="V29" i="55" s="1"/>
  <c r="AG29" i="55" s="1" a="1"/>
  <c r="AG29" i="55" s="1"/>
  <c r="W29" i="55" a="1"/>
  <c r="W29" i="55" s="1"/>
  <c r="AH29" i="55" s="1" a="1"/>
  <c r="AH29" i="55" s="1"/>
  <c r="X29" i="55" a="1"/>
  <c r="X29" i="55" s="1"/>
  <c r="AI29" i="55" s="1" a="1"/>
  <c r="AI29" i="55" s="1"/>
  <c r="N30" i="55" a="1"/>
  <c r="N30" i="55" s="1"/>
  <c r="O30" i="55" a="1"/>
  <c r="O30" i="55" s="1"/>
  <c r="P30" i="55" a="1"/>
  <c r="P30" i="55" s="1"/>
  <c r="AA30" i="55" s="1" a="1"/>
  <c r="AA30" i="55" s="1"/>
  <c r="Q30" i="55" a="1"/>
  <c r="Q30" i="55" s="1"/>
  <c r="AB30" i="55" s="1" a="1"/>
  <c r="AB30" i="55" s="1"/>
  <c r="R30" i="55" a="1"/>
  <c r="R30" i="55" s="1"/>
  <c r="AC30" i="55" s="1" a="1"/>
  <c r="AC30" i="55" s="1"/>
  <c r="S30" i="55" a="1"/>
  <c r="S30" i="55" s="1"/>
  <c r="AD30" i="55" s="1" a="1"/>
  <c r="AD30" i="55" s="1"/>
  <c r="T30" i="55" a="1"/>
  <c r="T30" i="55" s="1"/>
  <c r="AE30" i="55" s="1" a="1"/>
  <c r="AE30" i="55" s="1"/>
  <c r="U30" i="55" a="1"/>
  <c r="U30" i="55" s="1"/>
  <c r="AF30" i="55" s="1" a="1"/>
  <c r="AF30" i="55" s="1"/>
  <c r="V30" i="55" a="1"/>
  <c r="V30" i="55" s="1"/>
  <c r="AG30" i="55" s="1" a="1"/>
  <c r="AG30" i="55" s="1"/>
  <c r="W30" i="55" a="1"/>
  <c r="W30" i="55" s="1"/>
  <c r="AH30" i="55" s="1" a="1"/>
  <c r="AH30" i="55" s="1"/>
  <c r="X30" i="55" a="1"/>
  <c r="X30" i="55" s="1"/>
  <c r="AI30" i="55" s="1" a="1"/>
  <c r="AI30" i="55" s="1"/>
  <c r="N31" i="55" a="1"/>
  <c r="N31" i="55" s="1"/>
  <c r="O31" i="55" a="1"/>
  <c r="O31" i="55" s="1"/>
  <c r="P31" i="55" a="1"/>
  <c r="P31" i="55" s="1"/>
  <c r="AA31" i="55" s="1" a="1"/>
  <c r="AA31" i="55" s="1"/>
  <c r="Q31" i="55" a="1"/>
  <c r="Q31" i="55" s="1"/>
  <c r="AB31" i="55" s="1" a="1"/>
  <c r="AB31" i="55" s="1"/>
  <c r="R31" i="55" a="1"/>
  <c r="R31" i="55" s="1"/>
  <c r="AC31" i="55" s="1" a="1"/>
  <c r="AC31" i="55" s="1"/>
  <c r="S31" i="55" a="1"/>
  <c r="S31" i="55" s="1"/>
  <c r="AD31" i="55" s="1" a="1"/>
  <c r="AD31" i="55" s="1"/>
  <c r="T31" i="55" a="1"/>
  <c r="T31" i="55" s="1"/>
  <c r="AE31" i="55" s="1" a="1"/>
  <c r="AE31" i="55" s="1"/>
  <c r="U31" i="55" a="1"/>
  <c r="U31" i="55" s="1"/>
  <c r="AF31" i="55" s="1" a="1"/>
  <c r="AF31" i="55" s="1"/>
  <c r="V31" i="55" a="1"/>
  <c r="V31" i="55" s="1"/>
  <c r="AG31" i="55" s="1" a="1"/>
  <c r="AG31" i="55" s="1"/>
  <c r="W31" i="55" a="1"/>
  <c r="W31" i="55" s="1"/>
  <c r="AH31" i="55" s="1" a="1"/>
  <c r="AH31" i="55" s="1"/>
  <c r="X31" i="55" a="1"/>
  <c r="X31" i="55" s="1"/>
  <c r="AI31" i="55" s="1" a="1"/>
  <c r="AI31" i="55" s="1"/>
  <c r="N32" i="55" a="1"/>
  <c r="N32" i="55" s="1"/>
  <c r="O32" i="55" a="1"/>
  <c r="O32" i="55" s="1"/>
  <c r="P32" i="55" a="1"/>
  <c r="P32" i="55" s="1"/>
  <c r="AA32" i="55" s="1" a="1"/>
  <c r="AA32" i="55" s="1"/>
  <c r="Q32" i="55" a="1"/>
  <c r="Q32" i="55" s="1"/>
  <c r="AB32" i="55" s="1" a="1"/>
  <c r="AB32" i="55" s="1"/>
  <c r="R32" i="55" a="1"/>
  <c r="R32" i="55" s="1"/>
  <c r="AC32" i="55" s="1" a="1"/>
  <c r="AC32" i="55" s="1"/>
  <c r="S32" i="55" a="1"/>
  <c r="S32" i="55" s="1"/>
  <c r="AD32" i="55" s="1" a="1"/>
  <c r="AD32" i="55" s="1"/>
  <c r="T32" i="55" a="1"/>
  <c r="T32" i="55" s="1"/>
  <c r="AE32" i="55" s="1" a="1"/>
  <c r="AE32" i="55" s="1"/>
  <c r="U32" i="55" a="1"/>
  <c r="U32" i="55" s="1"/>
  <c r="AF32" i="55" s="1" a="1"/>
  <c r="AF32" i="55" s="1"/>
  <c r="V32" i="55" a="1"/>
  <c r="V32" i="55" s="1"/>
  <c r="AG32" i="55" s="1" a="1"/>
  <c r="AG32" i="55" s="1"/>
  <c r="W32" i="55" a="1"/>
  <c r="W32" i="55" s="1"/>
  <c r="AH32" i="55" s="1" a="1"/>
  <c r="AH32" i="55" s="1"/>
  <c r="X32" i="55" a="1"/>
  <c r="X32" i="55" s="1"/>
  <c r="AI32" i="55" s="1" a="1"/>
  <c r="AI32" i="55" s="1"/>
  <c r="N33" i="55" a="1"/>
  <c r="N33" i="55" s="1"/>
  <c r="O33" i="55" a="1"/>
  <c r="O33" i="55" s="1"/>
  <c r="P33" i="55" a="1"/>
  <c r="P33" i="55" s="1"/>
  <c r="AA33" i="55" s="1" a="1"/>
  <c r="AA33" i="55" s="1"/>
  <c r="Q33" i="55" a="1"/>
  <c r="Q33" i="55" s="1"/>
  <c r="AB33" i="55" s="1" a="1"/>
  <c r="AB33" i="55" s="1"/>
  <c r="R33" i="55" a="1"/>
  <c r="R33" i="55" s="1"/>
  <c r="AC33" i="55" s="1" a="1"/>
  <c r="AC33" i="55" s="1"/>
  <c r="S33" i="55" a="1"/>
  <c r="S33" i="55" s="1"/>
  <c r="AD33" i="55" s="1" a="1"/>
  <c r="AD33" i="55" s="1"/>
  <c r="T33" i="55" a="1"/>
  <c r="T33" i="55" s="1"/>
  <c r="AE33" i="55" s="1" a="1"/>
  <c r="AE33" i="55" s="1"/>
  <c r="U33" i="55" a="1"/>
  <c r="U33" i="55" s="1"/>
  <c r="AF33" i="55" s="1" a="1"/>
  <c r="AF33" i="55" s="1"/>
  <c r="V33" i="55" a="1"/>
  <c r="V33" i="55" s="1"/>
  <c r="AG33" i="55" s="1" a="1"/>
  <c r="AG33" i="55" s="1"/>
  <c r="W33" i="55" a="1"/>
  <c r="W33" i="55" s="1"/>
  <c r="AH33" i="55" s="1" a="1"/>
  <c r="AH33" i="55" s="1"/>
  <c r="X33" i="55" a="1"/>
  <c r="X33" i="55" s="1"/>
  <c r="AI33" i="55" s="1" a="1"/>
  <c r="AI33" i="55" s="1"/>
  <c r="N34" i="55" a="1"/>
  <c r="N34" i="55" s="1"/>
  <c r="O34" i="55" a="1"/>
  <c r="O34" i="55" s="1"/>
  <c r="P34" i="55" a="1"/>
  <c r="P34" i="55" s="1"/>
  <c r="AA34" i="55" s="1" a="1"/>
  <c r="AA34" i="55" s="1"/>
  <c r="Q34" i="55" a="1"/>
  <c r="Q34" i="55" s="1"/>
  <c r="AB34" i="55" s="1" a="1"/>
  <c r="AB34" i="55" s="1"/>
  <c r="R34" i="55" a="1"/>
  <c r="R34" i="55" s="1"/>
  <c r="AC34" i="55" s="1" a="1"/>
  <c r="AC34" i="55" s="1"/>
  <c r="S34" i="55" a="1"/>
  <c r="S34" i="55" s="1"/>
  <c r="AD34" i="55" s="1" a="1"/>
  <c r="AD34" i="55" s="1"/>
  <c r="T34" i="55" a="1"/>
  <c r="T34" i="55" s="1"/>
  <c r="AE34" i="55" s="1" a="1"/>
  <c r="AE34" i="55" s="1"/>
  <c r="U34" i="55" a="1"/>
  <c r="U34" i="55" s="1"/>
  <c r="AF34" i="55" s="1" a="1"/>
  <c r="AF34" i="55" s="1"/>
  <c r="V34" i="55" a="1"/>
  <c r="V34" i="55" s="1"/>
  <c r="AG34" i="55" s="1" a="1"/>
  <c r="AG34" i="55" s="1"/>
  <c r="W34" i="55" a="1"/>
  <c r="W34" i="55" s="1"/>
  <c r="AH34" i="55" s="1" a="1"/>
  <c r="AH34" i="55" s="1"/>
  <c r="X34" i="55" a="1"/>
  <c r="X34" i="55" s="1"/>
  <c r="AI34" i="55" s="1" a="1"/>
  <c r="AI34" i="55" s="1"/>
  <c r="N35" i="55" a="1"/>
  <c r="N35" i="55" s="1"/>
  <c r="O35" i="55" a="1"/>
  <c r="O35" i="55" s="1"/>
  <c r="P35" i="55" a="1"/>
  <c r="P35" i="55" s="1"/>
  <c r="AA35" i="55" s="1" a="1"/>
  <c r="AA35" i="55" s="1"/>
  <c r="Q35" i="55" a="1"/>
  <c r="Q35" i="55" s="1"/>
  <c r="AB35" i="55" s="1" a="1"/>
  <c r="AB35" i="55" s="1"/>
  <c r="R35" i="55" a="1"/>
  <c r="R35" i="55" s="1"/>
  <c r="AC35" i="55" s="1" a="1"/>
  <c r="AC35" i="55" s="1"/>
  <c r="S35" i="55" a="1"/>
  <c r="S35" i="55" s="1"/>
  <c r="AD35" i="55" s="1" a="1"/>
  <c r="AD35" i="55" s="1"/>
  <c r="T35" i="55" a="1"/>
  <c r="T35" i="55" s="1"/>
  <c r="AE35" i="55" s="1" a="1"/>
  <c r="AE35" i="55" s="1"/>
  <c r="U35" i="55" a="1"/>
  <c r="U35" i="55" s="1"/>
  <c r="AF35" i="55" s="1" a="1"/>
  <c r="AF35" i="55" s="1"/>
  <c r="V35" i="55" a="1"/>
  <c r="V35" i="55" s="1"/>
  <c r="AG35" i="55" s="1" a="1"/>
  <c r="AG35" i="55" s="1"/>
  <c r="W35" i="55" a="1"/>
  <c r="W35" i="55" s="1"/>
  <c r="AH35" i="55" s="1" a="1"/>
  <c r="AH35" i="55" s="1"/>
  <c r="X35" i="55" a="1"/>
  <c r="X35" i="55" s="1"/>
  <c r="AI35" i="55" s="1" a="1"/>
  <c r="AI35" i="55" s="1"/>
  <c r="N36" i="55" a="1"/>
  <c r="N36" i="55" s="1"/>
  <c r="O36" i="55" a="1"/>
  <c r="O36" i="55" s="1"/>
  <c r="P36" i="55" a="1"/>
  <c r="P36" i="55" s="1"/>
  <c r="AA36" i="55" s="1" a="1"/>
  <c r="AA36" i="55" s="1"/>
  <c r="Q36" i="55" a="1"/>
  <c r="Q36" i="55" s="1"/>
  <c r="AB36" i="55" s="1" a="1"/>
  <c r="AB36" i="55" s="1"/>
  <c r="R36" i="55" a="1"/>
  <c r="R36" i="55" s="1"/>
  <c r="AC36" i="55" s="1" a="1"/>
  <c r="AC36" i="55" s="1"/>
  <c r="S36" i="55" a="1"/>
  <c r="S36" i="55" s="1"/>
  <c r="AD36" i="55" s="1" a="1"/>
  <c r="AD36" i="55" s="1"/>
  <c r="T36" i="55" a="1"/>
  <c r="T36" i="55" s="1"/>
  <c r="AE36" i="55" s="1" a="1"/>
  <c r="AE36" i="55" s="1"/>
  <c r="U36" i="55" a="1"/>
  <c r="U36" i="55" s="1"/>
  <c r="AF36" i="55" s="1" a="1"/>
  <c r="AF36" i="55" s="1"/>
  <c r="V36" i="55" a="1"/>
  <c r="V36" i="55" s="1"/>
  <c r="AG36" i="55" s="1" a="1"/>
  <c r="AG36" i="55" s="1"/>
  <c r="W36" i="55" a="1"/>
  <c r="W36" i="55" s="1"/>
  <c r="AH36" i="55" s="1" a="1"/>
  <c r="AH36" i="55" s="1"/>
  <c r="X36" i="55" a="1"/>
  <c r="X36" i="55" s="1"/>
  <c r="AI36" i="55" s="1" a="1"/>
  <c r="AI36" i="55" s="1"/>
  <c r="N17" i="55" a="1"/>
  <c r="N17" i="55" s="1"/>
  <c r="O17" i="55" a="1"/>
  <c r="O17" i="55" s="1"/>
  <c r="P17" i="55" a="1"/>
  <c r="P17" i="55" s="1"/>
  <c r="AA17" i="55" s="1" a="1"/>
  <c r="AA17" i="55" s="1"/>
  <c r="Q17" i="55" a="1"/>
  <c r="Q17" i="55" s="1"/>
  <c r="AB17" i="55" s="1" a="1"/>
  <c r="AB17" i="55" s="1"/>
  <c r="R17" i="55" a="1"/>
  <c r="R17" i="55" s="1"/>
  <c r="AC17" i="55" s="1" a="1"/>
  <c r="AC17" i="55" s="1"/>
  <c r="S17" i="55" a="1"/>
  <c r="S17" i="55" s="1"/>
  <c r="AD17" i="55" s="1" a="1"/>
  <c r="AD17" i="55" s="1"/>
  <c r="T17" i="55" a="1"/>
  <c r="T17" i="55" s="1"/>
  <c r="AE17" i="55" s="1" a="1"/>
  <c r="AE17" i="55" s="1"/>
  <c r="U17" i="55" a="1"/>
  <c r="U17" i="55" s="1"/>
  <c r="AF17" i="55" s="1" a="1"/>
  <c r="AF17" i="55" s="1"/>
  <c r="V17" i="55" a="1"/>
  <c r="V17" i="55" s="1"/>
  <c r="AG17" i="55" s="1" a="1"/>
  <c r="AG17" i="55" s="1"/>
  <c r="W17" i="55" a="1"/>
  <c r="W17" i="55" s="1"/>
  <c r="AH17" i="55" s="1" a="1"/>
  <c r="AH17" i="55" s="1"/>
  <c r="X17" i="55" a="1"/>
  <c r="X17" i="55" s="1"/>
  <c r="AI17" i="55" s="1" a="1"/>
  <c r="AI17" i="55" s="1"/>
  <c r="N18" i="55" a="1"/>
  <c r="N18" i="55" s="1"/>
  <c r="O18" i="55" a="1"/>
  <c r="O18" i="55" s="1"/>
  <c r="P18" i="55" a="1"/>
  <c r="P18" i="55" s="1"/>
  <c r="AA18" i="55" s="1" a="1"/>
  <c r="AA18" i="55" s="1"/>
  <c r="Q18" i="55" a="1"/>
  <c r="Q18" i="55" s="1"/>
  <c r="AB18" i="55" s="1" a="1"/>
  <c r="AB18" i="55" s="1"/>
  <c r="R18" i="55" a="1"/>
  <c r="R18" i="55" s="1"/>
  <c r="AC18" i="55" s="1" a="1"/>
  <c r="AC18" i="55" s="1"/>
  <c r="S18" i="55" a="1"/>
  <c r="S18" i="55" s="1"/>
  <c r="AD18" i="55" s="1" a="1"/>
  <c r="AD18" i="55" s="1"/>
  <c r="T18" i="55" a="1"/>
  <c r="T18" i="55" s="1"/>
  <c r="AE18" i="55" s="1" a="1"/>
  <c r="AE18" i="55" s="1"/>
  <c r="U18" i="55" a="1"/>
  <c r="U18" i="55" s="1"/>
  <c r="AF18" i="55" s="1" a="1"/>
  <c r="AF18" i="55" s="1"/>
  <c r="V18" i="55" a="1"/>
  <c r="V18" i="55" s="1"/>
  <c r="AG18" i="55" s="1" a="1"/>
  <c r="AG18" i="55" s="1"/>
  <c r="W18" i="55" a="1"/>
  <c r="W18" i="55" s="1"/>
  <c r="AH18" i="55" s="1" a="1"/>
  <c r="AH18" i="55" s="1"/>
  <c r="X18" i="55" a="1"/>
  <c r="X18" i="55" s="1"/>
  <c r="AI18" i="55" s="1" a="1"/>
  <c r="AI18" i="55" s="1"/>
  <c r="N19" i="55" a="1"/>
  <c r="N19" i="55" s="1"/>
  <c r="O19" i="55" a="1"/>
  <c r="O19" i="55" s="1"/>
  <c r="P19" i="55" a="1"/>
  <c r="P19" i="55" s="1"/>
  <c r="AA19" i="55" s="1" a="1"/>
  <c r="AA19" i="55" s="1"/>
  <c r="Q19" i="55" a="1"/>
  <c r="Q19" i="55" s="1"/>
  <c r="AB19" i="55" s="1" a="1"/>
  <c r="AB19" i="55" s="1"/>
  <c r="R19" i="55" a="1"/>
  <c r="R19" i="55" s="1"/>
  <c r="AC19" i="55" s="1" a="1"/>
  <c r="AC19" i="55" s="1"/>
  <c r="S19" i="55" a="1"/>
  <c r="S19" i="55" s="1"/>
  <c r="AD19" i="55" s="1" a="1"/>
  <c r="AD19" i="55" s="1"/>
  <c r="T19" i="55" a="1"/>
  <c r="T19" i="55" s="1"/>
  <c r="AE19" i="55" s="1" a="1"/>
  <c r="AE19" i="55" s="1"/>
  <c r="U19" i="55" a="1"/>
  <c r="U19" i="55" s="1"/>
  <c r="AF19" i="55" s="1" a="1"/>
  <c r="AF19" i="55" s="1"/>
  <c r="V19" i="55" a="1"/>
  <c r="V19" i="55" s="1"/>
  <c r="AG19" i="55" s="1" a="1"/>
  <c r="AG19" i="55" s="1"/>
  <c r="W19" i="55" a="1"/>
  <c r="W19" i="55" s="1"/>
  <c r="AH19" i="55" s="1" a="1"/>
  <c r="AH19" i="55" s="1"/>
  <c r="X19" i="55" a="1"/>
  <c r="X19" i="55" s="1"/>
  <c r="AI19" i="55" s="1" a="1"/>
  <c r="AI19" i="55" s="1"/>
  <c r="O13" i="20" a="1"/>
  <c r="O13" i="20" s="1"/>
  <c r="P13" i="20" a="1"/>
  <c r="P13" i="20" s="1"/>
  <c r="F11" i="55"/>
  <c r="F11" i="54"/>
  <c r="F11" i="53"/>
  <c r="F11" i="52"/>
  <c r="F11" i="51"/>
  <c r="F11" i="50"/>
  <c r="F11" i="49"/>
  <c r="F11" i="48"/>
  <c r="F11" i="47"/>
  <c r="F11" i="46"/>
  <c r="G36" i="55" a="1"/>
  <c r="G36" i="55" s="1"/>
  <c r="G35" i="55" a="1"/>
  <c r="G35" i="55" s="1"/>
  <c r="G34" i="55" a="1"/>
  <c r="G34" i="55" s="1"/>
  <c r="G33" i="55" a="1"/>
  <c r="G33" i="55" s="1"/>
  <c r="G32" i="55" a="1"/>
  <c r="G32" i="55" s="1"/>
  <c r="G31" i="55" a="1"/>
  <c r="G31" i="55" s="1"/>
  <c r="G30" i="55" a="1"/>
  <c r="G30" i="55" s="1"/>
  <c r="G29" i="55" a="1"/>
  <c r="G29" i="55" s="1"/>
  <c r="G28" i="55" a="1"/>
  <c r="G28" i="55" s="1"/>
  <c r="G27" i="55" a="1"/>
  <c r="G27" i="55" s="1"/>
  <c r="G26" i="55" a="1"/>
  <c r="G26" i="55" s="1"/>
  <c r="G25" i="55" a="1"/>
  <c r="G25" i="55" s="1"/>
  <c r="G24" i="55" a="1"/>
  <c r="G24" i="55" s="1"/>
  <c r="G23" i="55" a="1"/>
  <c r="G23" i="55" s="1"/>
  <c r="G22" i="55" a="1"/>
  <c r="G22" i="55" s="1"/>
  <c r="G21" i="55" a="1"/>
  <c r="G21" i="55" s="1"/>
  <c r="G20" i="55" a="1"/>
  <c r="G20" i="55" s="1"/>
  <c r="G19" i="55" a="1"/>
  <c r="G19" i="55" s="1"/>
  <c r="G18" i="55" a="1"/>
  <c r="G18" i="55" s="1"/>
  <c r="G17" i="55" a="1"/>
  <c r="G17" i="55" s="1"/>
  <c r="X16" i="55" a="1"/>
  <c r="X16" i="55" s="1"/>
  <c r="AI16" i="55" s="1" a="1"/>
  <c r="AI16" i="55" s="1"/>
  <c r="W16" i="55" a="1"/>
  <c r="W16" i="55" s="1"/>
  <c r="AH16" i="55" s="1" a="1"/>
  <c r="AH16" i="55" s="1"/>
  <c r="V16" i="55" a="1"/>
  <c r="V16" i="55" s="1"/>
  <c r="AG16" i="55" s="1" a="1"/>
  <c r="AG16" i="55" s="1"/>
  <c r="U16" i="55" a="1"/>
  <c r="U16" i="55" s="1"/>
  <c r="AF16" i="55" s="1" a="1"/>
  <c r="AF16" i="55" s="1"/>
  <c r="T16" i="55" a="1"/>
  <c r="T16" i="55" s="1"/>
  <c r="AE16" i="55" s="1" a="1"/>
  <c r="AE16" i="55" s="1"/>
  <c r="S16" i="55" a="1"/>
  <c r="S16" i="55" s="1"/>
  <c r="AD16" i="55" s="1" a="1"/>
  <c r="AD16" i="55" s="1"/>
  <c r="R16" i="55" a="1"/>
  <c r="R16" i="55" s="1"/>
  <c r="AC16" i="55" s="1" a="1"/>
  <c r="AC16" i="55" s="1"/>
  <c r="Q16" i="55" a="1"/>
  <c r="Q16" i="55" s="1"/>
  <c r="AB16" i="55" s="1" a="1"/>
  <c r="AB16" i="55" s="1"/>
  <c r="P16" i="55" a="1"/>
  <c r="P16" i="55" s="1"/>
  <c r="AA16" i="55" s="1" a="1"/>
  <c r="AA16" i="55" s="1"/>
  <c r="O16" i="55" a="1"/>
  <c r="O16" i="55" s="1"/>
  <c r="N16" i="55" a="1"/>
  <c r="N16" i="55" s="1"/>
  <c r="G16" i="55" a="1"/>
  <c r="G16" i="55" s="1"/>
  <c r="X15" i="55" a="1"/>
  <c r="X15" i="55" s="1"/>
  <c r="AI15" i="55" s="1" a="1"/>
  <c r="AI15" i="55" s="1"/>
  <c r="W15" i="55" a="1"/>
  <c r="W15" i="55" s="1"/>
  <c r="AH15" i="55" s="1" a="1"/>
  <c r="AH15" i="55" s="1"/>
  <c r="V15" i="55" a="1"/>
  <c r="V15" i="55" s="1"/>
  <c r="AG15" i="55" s="1" a="1"/>
  <c r="AG15" i="55" s="1"/>
  <c r="U15" i="55" a="1"/>
  <c r="U15" i="55" s="1"/>
  <c r="AF15" i="55" s="1" a="1"/>
  <c r="AF15" i="55" s="1"/>
  <c r="T15" i="55" a="1"/>
  <c r="T15" i="55" s="1"/>
  <c r="AE15" i="55" s="1" a="1"/>
  <c r="AE15" i="55" s="1"/>
  <c r="S15" i="55" a="1"/>
  <c r="S15" i="55" s="1"/>
  <c r="AD15" i="55" s="1" a="1"/>
  <c r="AD15" i="55" s="1"/>
  <c r="R15" i="55" a="1"/>
  <c r="R15" i="55" s="1"/>
  <c r="AC15" i="55" s="1" a="1"/>
  <c r="AC15" i="55" s="1"/>
  <c r="Q15" i="55" a="1"/>
  <c r="Q15" i="55" s="1"/>
  <c r="AB15" i="55" s="1" a="1"/>
  <c r="AB15" i="55" s="1"/>
  <c r="P15" i="55" a="1"/>
  <c r="P15" i="55" s="1"/>
  <c r="AA15" i="55" s="1" a="1"/>
  <c r="AA15" i="55" s="1"/>
  <c r="O15" i="55" a="1"/>
  <c r="O15" i="55" s="1"/>
  <c r="N15" i="55" a="1"/>
  <c r="N15" i="55" s="1"/>
  <c r="G15" i="55" a="1"/>
  <c r="G15" i="55" s="1"/>
  <c r="X14" i="55" a="1"/>
  <c r="X14" i="55" s="1"/>
  <c r="AI14" i="55" s="1" a="1"/>
  <c r="AI14" i="55" s="1"/>
  <c r="W14" i="55" a="1"/>
  <c r="W14" i="55" s="1"/>
  <c r="AH14" i="55" s="1" a="1"/>
  <c r="AH14" i="55" s="1"/>
  <c r="V14" i="55" a="1"/>
  <c r="V14" i="55" s="1"/>
  <c r="AG14" i="55" s="1" a="1"/>
  <c r="AG14" i="55" s="1"/>
  <c r="U14" i="55" a="1"/>
  <c r="U14" i="55" s="1"/>
  <c r="AF14" i="55" s="1" a="1"/>
  <c r="AF14" i="55" s="1"/>
  <c r="T14" i="55" a="1"/>
  <c r="T14" i="55" s="1"/>
  <c r="AE14" i="55" s="1" a="1"/>
  <c r="AE14" i="55" s="1"/>
  <c r="S14" i="55" a="1"/>
  <c r="S14" i="55" s="1"/>
  <c r="AD14" i="55" s="1" a="1"/>
  <c r="AD14" i="55" s="1"/>
  <c r="R14" i="55" a="1"/>
  <c r="R14" i="55" s="1"/>
  <c r="AC14" i="55" s="1" a="1"/>
  <c r="AC14" i="55" s="1"/>
  <c r="Q14" i="55" a="1"/>
  <c r="Q14" i="55" s="1"/>
  <c r="AB14" i="55" s="1" a="1"/>
  <c r="AB14" i="55" s="1"/>
  <c r="P14" i="55" a="1"/>
  <c r="P14" i="55" s="1"/>
  <c r="AA14" i="55" s="1" a="1"/>
  <c r="AA14" i="55" s="1"/>
  <c r="O14" i="55" a="1"/>
  <c r="O14" i="55" s="1"/>
  <c r="N14" i="55" a="1"/>
  <c r="N14" i="55" s="1"/>
  <c r="G14" i="55" a="1"/>
  <c r="G14" i="55" s="1"/>
  <c r="X13" i="55" a="1"/>
  <c r="X13" i="55" s="1"/>
  <c r="AI13" i="55" s="1" a="1"/>
  <c r="AI13" i="55" s="1"/>
  <c r="W13" i="55" a="1"/>
  <c r="W13" i="55" s="1"/>
  <c r="AH13" i="55" s="1" a="1"/>
  <c r="AH13" i="55" s="1"/>
  <c r="V13" i="55" a="1"/>
  <c r="V13" i="55" s="1"/>
  <c r="AG13" i="55" s="1" a="1"/>
  <c r="AG13" i="55" s="1"/>
  <c r="U13" i="55" a="1"/>
  <c r="U13" i="55" s="1"/>
  <c r="AF13" i="55" s="1" a="1"/>
  <c r="AF13" i="55" s="1"/>
  <c r="T13" i="55" a="1"/>
  <c r="T13" i="55" s="1"/>
  <c r="AE13" i="55" s="1" a="1"/>
  <c r="AE13" i="55" s="1"/>
  <c r="S13" i="55" a="1"/>
  <c r="S13" i="55" s="1"/>
  <c r="AD13" i="55" s="1" a="1"/>
  <c r="AD13" i="55" s="1"/>
  <c r="R13" i="55" a="1"/>
  <c r="R13" i="55" s="1"/>
  <c r="AC13" i="55" s="1" a="1"/>
  <c r="AC13" i="55" s="1"/>
  <c r="Q13" i="55" a="1"/>
  <c r="Q13" i="55" s="1"/>
  <c r="AB13" i="55" s="1" a="1"/>
  <c r="AB13" i="55" s="1"/>
  <c r="P13" i="55" a="1"/>
  <c r="P13" i="55" s="1"/>
  <c r="AA13" i="55" s="1" a="1"/>
  <c r="AA13" i="55" s="1"/>
  <c r="O13" i="55" a="1"/>
  <c r="O13" i="55" s="1"/>
  <c r="N13" i="55" a="1"/>
  <c r="N13" i="55" s="1"/>
  <c r="G13" i="55" a="1"/>
  <c r="G13" i="55" s="1"/>
  <c r="G26" i="54" a="1"/>
  <c r="G26" i="54" s="1"/>
  <c r="G27" i="54" a="1"/>
  <c r="G27" i="54" s="1"/>
  <c r="G28" i="54" a="1"/>
  <c r="G28" i="54"/>
  <c r="G29" i="54" a="1"/>
  <c r="G29" i="54"/>
  <c r="G30" i="54" a="1"/>
  <c r="G30" i="54"/>
  <c r="G31" i="54" a="1"/>
  <c r="G31" i="54"/>
  <c r="G32" i="54" a="1"/>
  <c r="G32" i="54" s="1"/>
  <c r="G33" i="54" a="1"/>
  <c r="G33" i="54" s="1"/>
  <c r="G34" i="54" a="1"/>
  <c r="G34" i="54" s="1"/>
  <c r="G35" i="54" a="1"/>
  <c r="G35" i="54"/>
  <c r="G25" i="54" a="1"/>
  <c r="G25" i="54" s="1"/>
  <c r="G24" i="54" a="1"/>
  <c r="G24" i="54" s="1"/>
  <c r="G23" i="54" a="1"/>
  <c r="G23" i="54" s="1"/>
  <c r="G22" i="54" a="1"/>
  <c r="G22" i="54" s="1"/>
  <c r="G21" i="54" a="1"/>
  <c r="G21" i="54" s="1"/>
  <c r="G20" i="54" a="1"/>
  <c r="G20" i="54" s="1"/>
  <c r="G19" i="54" a="1"/>
  <c r="G19" i="54" s="1"/>
  <c r="G18" i="54" a="1"/>
  <c r="G18" i="54" s="1"/>
  <c r="G17" i="54" a="1"/>
  <c r="G17" i="54" s="1"/>
  <c r="G16" i="54" a="1"/>
  <c r="G16" i="54" s="1"/>
  <c r="G15" i="54" a="1"/>
  <c r="G15" i="54" s="1"/>
  <c r="G14" i="54" a="1"/>
  <c r="G14" i="54" s="1"/>
  <c r="X13" i="54" a="1"/>
  <c r="X13" i="54" s="1"/>
  <c r="AI13" i="54" s="1" a="1"/>
  <c r="AI13" i="54" s="1"/>
  <c r="W13" i="54" a="1"/>
  <c r="W13" i="54" s="1"/>
  <c r="AH13" i="54" s="1" a="1"/>
  <c r="AH13" i="54" s="1"/>
  <c r="V13" i="54" a="1"/>
  <c r="V13" i="54" s="1"/>
  <c r="AG13" i="54" s="1" a="1"/>
  <c r="AG13" i="54" s="1"/>
  <c r="U13" i="54" a="1"/>
  <c r="U13" i="54" s="1"/>
  <c r="AF13" i="54" s="1" a="1"/>
  <c r="AF13" i="54" s="1"/>
  <c r="T13" i="54" a="1"/>
  <c r="T13" i="54" s="1"/>
  <c r="AE13" i="54" s="1" a="1"/>
  <c r="AE13" i="54" s="1"/>
  <c r="S13" i="54" a="1"/>
  <c r="S13" i="54" s="1"/>
  <c r="AD13" i="54" s="1" a="1"/>
  <c r="AD13" i="54" s="1"/>
  <c r="R13" i="54" a="1"/>
  <c r="R13" i="54" s="1"/>
  <c r="AC13" i="54" s="1" a="1"/>
  <c r="AC13" i="54" s="1"/>
  <c r="Q13" i="54" a="1"/>
  <c r="Q13" i="54" s="1"/>
  <c r="AB13" i="54" s="1" a="1"/>
  <c r="AB13" i="54" s="1"/>
  <c r="P13" i="54" a="1"/>
  <c r="P13" i="54" s="1"/>
  <c r="O13" i="54" a="1"/>
  <c r="O13" i="54" s="1"/>
  <c r="N13" i="54" a="1"/>
  <c r="N13" i="54" s="1"/>
  <c r="G13" i="54" a="1"/>
  <c r="G13" i="54" s="1"/>
  <c r="G25" i="53" a="1"/>
  <c r="G25" i="53" s="1"/>
  <c r="G24" i="53" a="1"/>
  <c r="G24" i="53" s="1"/>
  <c r="G23" i="53" a="1"/>
  <c r="G23" i="53" s="1"/>
  <c r="G22" i="53" a="1"/>
  <c r="G22" i="53" s="1"/>
  <c r="G21" i="53" a="1"/>
  <c r="G21" i="53" s="1"/>
  <c r="G20" i="53" a="1"/>
  <c r="G20" i="53" s="1"/>
  <c r="G19" i="53" a="1"/>
  <c r="G19" i="53" s="1"/>
  <c r="G18" i="53" a="1"/>
  <c r="G18" i="53" s="1"/>
  <c r="G17" i="53" a="1"/>
  <c r="G17" i="53" s="1"/>
  <c r="G16" i="53" a="1"/>
  <c r="G16" i="53" s="1"/>
  <c r="G15" i="53" a="1"/>
  <c r="G15" i="53" s="1"/>
  <c r="G14" i="53" a="1"/>
  <c r="G14" i="53" s="1"/>
  <c r="X13" i="53" a="1"/>
  <c r="X13" i="53" s="1"/>
  <c r="AI13" i="53" s="1" a="1"/>
  <c r="AI13" i="53" s="1"/>
  <c r="W13" i="53" a="1"/>
  <c r="W13" i="53" s="1"/>
  <c r="AH13" i="53" s="1" a="1"/>
  <c r="AH13" i="53" s="1"/>
  <c r="V13" i="53" a="1"/>
  <c r="V13" i="53" s="1"/>
  <c r="AG13" i="53" s="1" a="1"/>
  <c r="AG13" i="53" s="1"/>
  <c r="U13" i="53" a="1"/>
  <c r="U13" i="53" s="1"/>
  <c r="AF13" i="53" s="1" a="1"/>
  <c r="AF13" i="53" s="1"/>
  <c r="T13" i="53" a="1"/>
  <c r="T13" i="53" s="1"/>
  <c r="AE13" i="53" s="1" a="1"/>
  <c r="AE13" i="53" s="1"/>
  <c r="S13" i="53" a="1"/>
  <c r="S13" i="53" s="1"/>
  <c r="AD13" i="53" s="1" a="1"/>
  <c r="AD13" i="53" s="1"/>
  <c r="R13" i="53" a="1"/>
  <c r="R13" i="53" s="1"/>
  <c r="AC13" i="53" s="1" a="1"/>
  <c r="AC13" i="53" s="1"/>
  <c r="Q13" i="53" a="1"/>
  <c r="Q13" i="53" s="1"/>
  <c r="AB13" i="53" s="1" a="1"/>
  <c r="AB13" i="53" s="1"/>
  <c r="P13" i="53" a="1"/>
  <c r="P13" i="53" s="1"/>
  <c r="AA13" i="53" s="1" a="1"/>
  <c r="AA13" i="53" s="1"/>
  <c r="O13" i="53" a="1"/>
  <c r="O13" i="53" s="1"/>
  <c r="N13" i="53" a="1"/>
  <c r="N13" i="53" s="1"/>
  <c r="G13" i="53" a="1"/>
  <c r="G13" i="53" s="1"/>
  <c r="G48" i="52" a="1"/>
  <c r="G48" i="52" s="1"/>
  <c r="G47" i="52" a="1"/>
  <c r="G47" i="52" s="1"/>
  <c r="G46" i="52" a="1"/>
  <c r="G46" i="52" s="1"/>
  <c r="G45" i="52" a="1"/>
  <c r="G45" i="52" s="1"/>
  <c r="G44" i="52" a="1"/>
  <c r="G44" i="52" s="1"/>
  <c r="G43" i="52" a="1"/>
  <c r="G43" i="52" s="1"/>
  <c r="G42" i="52" a="1"/>
  <c r="G42" i="52" s="1"/>
  <c r="G41" i="52" a="1"/>
  <c r="G41" i="52" s="1"/>
  <c r="G40" i="52" a="1"/>
  <c r="G40" i="52" s="1"/>
  <c r="G39" i="52" a="1"/>
  <c r="G39" i="52" s="1"/>
  <c r="G38" i="52" a="1"/>
  <c r="G38" i="52" s="1"/>
  <c r="G37" i="52" a="1"/>
  <c r="G37" i="52" s="1"/>
  <c r="G36" i="52" a="1"/>
  <c r="G36" i="52" s="1"/>
  <c r="G35" i="52" a="1"/>
  <c r="G35" i="52" s="1"/>
  <c r="G34" i="52" a="1"/>
  <c r="G34" i="52" s="1"/>
  <c r="G33" i="52" a="1"/>
  <c r="G33" i="52" s="1"/>
  <c r="G32" i="52" a="1"/>
  <c r="G32" i="52" s="1"/>
  <c r="G31" i="52"/>
  <c r="G31" i="52" a="1"/>
  <c r="G30" i="52" a="1"/>
  <c r="G30" i="52" s="1"/>
  <c r="G29" i="52" a="1"/>
  <c r="G29" i="52" s="1"/>
  <c r="G28" i="52" a="1"/>
  <c r="G28" i="52" s="1"/>
  <c r="G27" i="52" a="1"/>
  <c r="G27" i="52" s="1"/>
  <c r="G26" i="52" a="1"/>
  <c r="G26" i="52" s="1"/>
  <c r="G25" i="52" a="1"/>
  <c r="G25" i="52" s="1"/>
  <c r="G24" i="52" a="1"/>
  <c r="G24" i="52" s="1"/>
  <c r="G23" i="52" a="1"/>
  <c r="G23" i="52" s="1"/>
  <c r="G22" i="52" a="1"/>
  <c r="G22" i="52" s="1"/>
  <c r="G21" i="52" a="1"/>
  <c r="G21" i="52" s="1"/>
  <c r="G20" i="52" a="1"/>
  <c r="G20" i="52" s="1"/>
  <c r="G19" i="52" a="1"/>
  <c r="G19" i="52" s="1"/>
  <c r="G18" i="52" a="1"/>
  <c r="G18" i="52" s="1"/>
  <c r="G17" i="52" a="1"/>
  <c r="G17" i="52" s="1"/>
  <c r="G16" i="52" a="1"/>
  <c r="G16" i="52" s="1"/>
  <c r="G15" i="52" a="1"/>
  <c r="G15" i="52" s="1"/>
  <c r="G14" i="52" a="1"/>
  <c r="G14" i="52" s="1"/>
  <c r="X13" i="52" a="1"/>
  <c r="X13" i="52" s="1"/>
  <c r="AI13" i="52" s="1" a="1"/>
  <c r="AI13" i="52" s="1"/>
  <c r="W13" i="52" a="1"/>
  <c r="W13" i="52" s="1"/>
  <c r="AH13" i="52" s="1" a="1"/>
  <c r="AH13" i="52" s="1"/>
  <c r="V13" i="52" a="1"/>
  <c r="V13" i="52" s="1"/>
  <c r="AG13" i="52" s="1" a="1"/>
  <c r="AG13" i="52" s="1"/>
  <c r="U13" i="52" a="1"/>
  <c r="U13" i="52" s="1"/>
  <c r="AF13" i="52" s="1" a="1"/>
  <c r="AF13" i="52" s="1"/>
  <c r="T13" i="52" a="1"/>
  <c r="T13" i="52" s="1"/>
  <c r="AE13" i="52" s="1" a="1"/>
  <c r="AE13" i="52" s="1"/>
  <c r="S13" i="52" a="1"/>
  <c r="S13" i="52" s="1"/>
  <c r="AD13" i="52" s="1" a="1"/>
  <c r="AD13" i="52" s="1"/>
  <c r="R13" i="52" a="1"/>
  <c r="R13" i="52" s="1"/>
  <c r="AC13" i="52" s="1" a="1"/>
  <c r="AC13" i="52" s="1"/>
  <c r="Q13" i="52" a="1"/>
  <c r="Q13" i="52" s="1"/>
  <c r="AB13" i="52" s="1" a="1"/>
  <c r="AB13" i="52" s="1"/>
  <c r="P13" i="52" a="1"/>
  <c r="P13" i="52" s="1"/>
  <c r="O13" i="52" a="1"/>
  <c r="O13" i="52" s="1"/>
  <c r="N13" i="52" a="1"/>
  <c r="N13" i="52" s="1"/>
  <c r="G13" i="52" a="1"/>
  <c r="G13" i="52" s="1"/>
  <c r="G34" i="51" a="1"/>
  <c r="G34" i="51" s="1"/>
  <c r="G35" i="51" a="1"/>
  <c r="G35" i="51" s="1"/>
  <c r="G36" i="51" a="1"/>
  <c r="G36" i="51" s="1"/>
  <c r="G37" i="51" a="1"/>
  <c r="G37" i="51" s="1"/>
  <c r="G38" i="51" a="1"/>
  <c r="G38" i="51"/>
  <c r="G39" i="51" a="1"/>
  <c r="G39" i="51"/>
  <c r="G40" i="51" a="1"/>
  <c r="G40" i="51" s="1"/>
  <c r="G41" i="51" a="1"/>
  <c r="G41" i="51" s="1"/>
  <c r="G42" i="51" a="1"/>
  <c r="G42" i="51" s="1"/>
  <c r="G43" i="51" a="1"/>
  <c r="G43" i="51"/>
  <c r="G44" i="51" a="1"/>
  <c r="G44" i="51" s="1"/>
  <c r="G45" i="51" a="1"/>
  <c r="G45" i="51"/>
  <c r="G46" i="51" a="1"/>
  <c r="G46" i="51" s="1"/>
  <c r="G47" i="51" a="1"/>
  <c r="G47" i="51"/>
  <c r="G48" i="51" a="1"/>
  <c r="G48" i="51" s="1"/>
  <c r="G49" i="51" a="1"/>
  <c r="G49" i="51" s="1"/>
  <c r="G50" i="51" a="1"/>
  <c r="G50" i="51" s="1"/>
  <c r="G51" i="51" a="1"/>
  <c r="G51" i="51" s="1"/>
  <c r="G52" i="51" a="1"/>
  <c r="G52" i="51" s="1"/>
  <c r="G53" i="51" a="1"/>
  <c r="G53" i="51"/>
  <c r="G54" i="51" a="1"/>
  <c r="G54" i="51" s="1"/>
  <c r="G55" i="51" a="1"/>
  <c r="G55" i="51"/>
  <c r="G56" i="51" a="1"/>
  <c r="G56" i="51" s="1"/>
  <c r="G57" i="51" a="1"/>
  <c r="G57" i="51" s="1"/>
  <c r="G58" i="51" a="1"/>
  <c r="G58" i="51" s="1"/>
  <c r="G59" i="51" a="1"/>
  <c r="G59" i="51"/>
  <c r="G60" i="51" a="1"/>
  <c r="G60" i="51" s="1"/>
  <c r="G33" i="51" a="1"/>
  <c r="G33" i="51" s="1"/>
  <c r="G32" i="51" a="1"/>
  <c r="G32" i="51" s="1"/>
  <c r="G31" i="51" a="1"/>
  <c r="G31" i="51" s="1"/>
  <c r="G30" i="51" a="1"/>
  <c r="G30" i="51" s="1"/>
  <c r="G29" i="51"/>
  <c r="G29" i="51" a="1"/>
  <c r="G28" i="51" a="1"/>
  <c r="G28" i="51" s="1"/>
  <c r="G27" i="51" a="1"/>
  <c r="G27" i="51" s="1"/>
  <c r="G26" i="51" a="1"/>
  <c r="G26" i="51" s="1"/>
  <c r="G25" i="51" a="1"/>
  <c r="G25" i="51" s="1"/>
  <c r="G24" i="51" a="1"/>
  <c r="G24" i="51" s="1"/>
  <c r="G23" i="51" a="1"/>
  <c r="G23" i="51" s="1"/>
  <c r="G22" i="51" a="1"/>
  <c r="G22" i="51" s="1"/>
  <c r="G21" i="51" a="1"/>
  <c r="G21" i="51" s="1"/>
  <c r="G20" i="51" a="1"/>
  <c r="G20" i="51" s="1"/>
  <c r="G19" i="51" a="1"/>
  <c r="G19" i="51" s="1"/>
  <c r="G18" i="51" a="1"/>
  <c r="G18" i="51" s="1"/>
  <c r="G17" i="51" a="1"/>
  <c r="G17" i="51" s="1"/>
  <c r="G16" i="51"/>
  <c r="G16" i="51" a="1"/>
  <c r="G15" i="51" a="1"/>
  <c r="G15" i="51" s="1"/>
  <c r="G14" i="51" a="1"/>
  <c r="G14" i="51" s="1"/>
  <c r="X13" i="51" a="1"/>
  <c r="X13" i="51" s="1"/>
  <c r="AI13" i="51" s="1" a="1"/>
  <c r="AI13" i="51" s="1"/>
  <c r="W13" i="51" a="1"/>
  <c r="W13" i="51" s="1"/>
  <c r="AH13" i="51" s="1" a="1"/>
  <c r="AH13" i="51" s="1"/>
  <c r="V13" i="51" a="1"/>
  <c r="V13" i="51" s="1"/>
  <c r="AG13" i="51" s="1" a="1"/>
  <c r="AG13" i="51" s="1"/>
  <c r="U13" i="51" a="1"/>
  <c r="U13" i="51" s="1"/>
  <c r="AF13" i="51" s="1" a="1"/>
  <c r="AF13" i="51" s="1"/>
  <c r="T13" i="51" a="1"/>
  <c r="T13" i="51" s="1"/>
  <c r="AE13" i="51" s="1" a="1"/>
  <c r="AE13" i="51" s="1"/>
  <c r="S13" i="51" a="1"/>
  <c r="S13" i="51" s="1"/>
  <c r="AD13" i="51" s="1" a="1"/>
  <c r="AD13" i="51" s="1"/>
  <c r="R13" i="51" a="1"/>
  <c r="R13" i="51" s="1"/>
  <c r="Q13" i="51" a="1"/>
  <c r="Q13" i="51" s="1"/>
  <c r="P13" i="51" a="1"/>
  <c r="P13" i="51" s="1"/>
  <c r="O13" i="51" a="1"/>
  <c r="O13" i="51" s="1"/>
  <c r="N13" i="51" a="1"/>
  <c r="N13" i="51" s="1"/>
  <c r="G13" i="51" a="1"/>
  <c r="G13" i="51" s="1"/>
  <c r="G33" i="50"/>
  <c r="G33" i="50" a="1"/>
  <c r="G32" i="50" a="1"/>
  <c r="G32" i="50" s="1"/>
  <c r="G31" i="50" a="1"/>
  <c r="G31" i="50" s="1"/>
  <c r="G30" i="50" a="1"/>
  <c r="G30" i="50" s="1"/>
  <c r="G29" i="50" a="1"/>
  <c r="G29" i="50" s="1"/>
  <c r="G28" i="50" a="1"/>
  <c r="G28" i="50" s="1"/>
  <c r="G27" i="50" a="1"/>
  <c r="G27" i="50" s="1"/>
  <c r="G26" i="50" a="1"/>
  <c r="G26" i="50" s="1"/>
  <c r="G25" i="50" a="1"/>
  <c r="G25" i="50" s="1"/>
  <c r="G24" i="50" a="1"/>
  <c r="G24" i="50" s="1"/>
  <c r="G23" i="50" a="1"/>
  <c r="G23" i="50" s="1"/>
  <c r="G22" i="50" a="1"/>
  <c r="G22" i="50" s="1"/>
  <c r="G21" i="50" a="1"/>
  <c r="G21" i="50" s="1"/>
  <c r="G20" i="50" a="1"/>
  <c r="G20" i="50" s="1"/>
  <c r="G19" i="50" a="1"/>
  <c r="G19" i="50" s="1"/>
  <c r="G18" i="50" a="1"/>
  <c r="G18" i="50" s="1"/>
  <c r="G17" i="50" a="1"/>
  <c r="G17" i="50" s="1"/>
  <c r="G16" i="50" a="1"/>
  <c r="G16" i="50" s="1"/>
  <c r="G15" i="50" a="1"/>
  <c r="G15" i="50" s="1"/>
  <c r="G14" i="50" a="1"/>
  <c r="G14" i="50" s="1"/>
  <c r="X13" i="50" a="1"/>
  <c r="X13" i="50" s="1"/>
  <c r="AI13" i="50" s="1" a="1"/>
  <c r="AI13" i="50" s="1"/>
  <c r="W13" i="50" a="1"/>
  <c r="W13" i="50" s="1"/>
  <c r="AH13" i="50" s="1" a="1"/>
  <c r="AH13" i="50" s="1"/>
  <c r="V13" i="50" a="1"/>
  <c r="V13" i="50" s="1"/>
  <c r="AG13" i="50" s="1" a="1"/>
  <c r="AG13" i="50" s="1"/>
  <c r="U13" i="50" a="1"/>
  <c r="U13" i="50" s="1"/>
  <c r="AF13" i="50" s="1" a="1"/>
  <c r="AF13" i="50" s="1"/>
  <c r="T13" i="50" a="1"/>
  <c r="T13" i="50" s="1"/>
  <c r="AE13" i="50" s="1" a="1"/>
  <c r="AE13" i="50" s="1"/>
  <c r="S13" i="50" a="1"/>
  <c r="S13" i="50" s="1"/>
  <c r="AD13" i="50" s="1" a="1"/>
  <c r="AD13" i="50" s="1"/>
  <c r="R13" i="50" a="1"/>
  <c r="R13" i="50" s="1"/>
  <c r="Q13" i="50" a="1"/>
  <c r="Q13" i="50" s="1"/>
  <c r="P13" i="50" a="1"/>
  <c r="P13" i="50" s="1"/>
  <c r="O13" i="50" a="1"/>
  <c r="O13" i="50" s="1"/>
  <c r="N13" i="50" a="1"/>
  <c r="N13" i="50" s="1"/>
  <c r="G13" i="50" a="1"/>
  <c r="G13" i="50" s="1"/>
  <c r="Y24" i="55" l="1" a="1"/>
  <c r="Y24" i="55" s="1"/>
  <c r="Y26" i="55" a="1"/>
  <c r="Y26" i="55" s="1"/>
  <c r="Z36" i="55" a="1"/>
  <c r="Z36" i="55" s="1"/>
  <c r="Z32" i="55" a="1"/>
  <c r="Z32" i="55" s="1"/>
  <c r="Y32" i="55" a="1"/>
  <c r="Y32" i="55" s="1"/>
  <c r="Z21" i="55" a="1"/>
  <c r="Z21" i="55" s="1"/>
  <c r="Z33" i="50" a="1"/>
  <c r="Z33" i="50" s="1"/>
  <c r="Z15" i="50" a="1"/>
  <c r="Z15" i="50" s="1"/>
  <c r="AC17" i="50" a="1"/>
  <c r="AC17" i="50" s="1"/>
  <c r="AB16" i="50" a="1"/>
  <c r="AB16" i="50" s="1"/>
  <c r="AC24" i="50" a="1"/>
  <c r="AC24" i="50" s="1"/>
  <c r="Z18" i="50" a="1"/>
  <c r="Z18" i="50" s="1"/>
  <c r="AC30" i="50" a="1"/>
  <c r="AC30" i="50" s="1"/>
  <c r="AA23" i="50" a="1"/>
  <c r="AA23" i="50" s="1"/>
  <c r="AC27" i="49" a="1"/>
  <c r="AC27" i="49" s="1"/>
  <c r="AB17" i="49" a="1"/>
  <c r="AB17" i="49" s="1"/>
  <c r="AC35" i="49" a="1"/>
  <c r="AC35" i="49" s="1"/>
  <c r="AB28" i="49" a="1"/>
  <c r="AB28" i="49" s="1"/>
  <c r="Z27" i="49" a="1"/>
  <c r="Z27" i="49" s="1"/>
  <c r="AA28" i="49" a="1"/>
  <c r="AA28" i="49" s="1"/>
  <c r="AA36" i="49" a="1"/>
  <c r="AA36" i="49" s="1"/>
  <c r="AB20" i="49" a="1"/>
  <c r="AB20" i="49" s="1"/>
  <c r="Z37" i="49" a="1"/>
  <c r="Z37" i="49" s="1"/>
  <c r="Z45" i="49" a="1"/>
  <c r="Z45" i="49" s="1"/>
  <c r="AB39" i="49" a="1"/>
  <c r="AB39" i="49" s="1"/>
  <c r="Z20" i="49" a="1"/>
  <c r="Z20" i="49" s="1"/>
  <c r="AB26" i="49" a="1"/>
  <c r="AB26" i="49" s="1"/>
  <c r="AB18" i="49" a="1"/>
  <c r="AB18" i="49" s="1"/>
  <c r="AA14" i="49" a="1"/>
  <c r="AA14" i="49" s="1"/>
  <c r="AB33" i="49" a="1"/>
  <c r="AB33" i="49" s="1"/>
  <c r="AA33" i="49" a="1"/>
  <c r="AA33" i="49" s="1"/>
  <c r="AA22" i="49" a="1"/>
  <c r="AA22" i="49" s="1"/>
  <c r="AC28" i="47" a="1"/>
  <c r="AC28" i="47" s="1"/>
  <c r="AA47" i="47" a="1"/>
  <c r="AA47" i="47" s="1"/>
  <c r="AC65" i="47" a="1"/>
  <c r="AC65" i="47" s="1"/>
  <c r="Z47" i="47" a="1"/>
  <c r="Z47" i="47" s="1"/>
  <c r="AC29" i="47" a="1"/>
  <c r="AC29" i="47" s="1"/>
  <c r="AB51" i="47" a="1"/>
  <c r="AB51" i="47" s="1"/>
  <c r="AA49" i="47" a="1"/>
  <c r="AA49" i="47" s="1"/>
  <c r="AB47" i="47" a="1"/>
  <c r="AB47" i="47" s="1"/>
  <c r="AC44" i="47" a="1"/>
  <c r="AC44" i="47" s="1"/>
  <c r="Z19" i="47" a="1"/>
  <c r="Z19" i="47" s="1"/>
  <c r="AC70" i="47" a="1"/>
  <c r="AC70" i="47" s="1"/>
  <c r="Z60" i="47" a="1"/>
  <c r="Z60" i="47" s="1"/>
  <c r="AA27" i="47" a="1"/>
  <c r="AA27" i="47" s="1"/>
  <c r="Z28" i="47" a="1"/>
  <c r="Z28" i="47" s="1"/>
  <c r="AA29" i="47" a="1"/>
  <c r="AA29" i="47" s="1"/>
  <c r="AC50" i="47" a="1"/>
  <c r="AC50" i="47" s="1"/>
  <c r="AB43" i="47" a="1"/>
  <c r="AB43" i="47" s="1"/>
  <c r="AC36" i="47" a="1"/>
  <c r="AC36" i="47" s="1"/>
  <c r="AC34" i="47" a="1"/>
  <c r="AC34" i="47" s="1"/>
  <c r="AA30" i="47" a="1"/>
  <c r="AA30" i="47" s="1"/>
  <c r="AC39" i="47" a="1"/>
  <c r="AC39" i="47" s="1"/>
  <c r="AB59" i="47" a="1"/>
  <c r="AB59" i="47" s="1"/>
  <c r="AC21" i="47" a="1"/>
  <c r="AC21" i="47" s="1"/>
  <c r="AC27" i="47" a="1"/>
  <c r="AC27" i="47" s="1"/>
  <c r="AC61" i="47" a="1"/>
  <c r="AC61" i="47" s="1"/>
  <c r="AA69" i="47" a="1"/>
  <c r="AA69" i="47" s="1"/>
  <c r="Z67" i="47" a="1"/>
  <c r="Z67" i="47" s="1"/>
  <c r="AB38" i="47" a="1"/>
  <c r="AB38" i="47" s="1"/>
  <c r="AA65" i="47" a="1"/>
  <c r="AA65" i="47" s="1"/>
  <c r="AA41" i="47" a="1"/>
  <c r="AA41" i="47" s="1"/>
  <c r="AA68" i="47" a="1"/>
  <c r="AA68" i="47" s="1"/>
  <c r="Z18" i="48" a="1"/>
  <c r="Z18" i="48" s="1"/>
  <c r="AC49" i="48" a="1"/>
  <c r="AC49" i="48" s="1"/>
  <c r="AC27" i="48" a="1"/>
  <c r="AC27" i="48" s="1"/>
  <c r="AA39" i="48" a="1"/>
  <c r="AA39" i="48" s="1"/>
  <c r="AC50" i="48" a="1"/>
  <c r="AC50" i="48" s="1"/>
  <c r="AB49" i="48" a="1"/>
  <c r="AB49" i="48" s="1"/>
  <c r="Z34" i="48" a="1"/>
  <c r="Z34" i="48" s="1"/>
  <c r="Z30" i="48" a="1"/>
  <c r="Z30" i="48" s="1"/>
  <c r="AC35" i="48" a="1"/>
  <c r="AC35" i="48" s="1"/>
  <c r="Z41" i="48" a="1"/>
  <c r="Z41" i="48" s="1"/>
  <c r="Z25" i="48" a="1"/>
  <c r="Z25" i="48" s="1"/>
  <c r="AA21" i="48" a="1"/>
  <c r="AA21" i="48" s="1"/>
  <c r="Z51" i="48" a="1"/>
  <c r="Z51" i="48" s="1"/>
  <c r="AA51" i="48" a="1"/>
  <c r="AA51" i="48" s="1"/>
  <c r="AB17" i="48" a="1"/>
  <c r="AB17" i="48" s="1"/>
  <c r="AA43" i="48" a="1"/>
  <c r="AA43" i="48" s="1"/>
  <c r="AB52" i="48" a="1"/>
  <c r="AB52" i="48" s="1"/>
  <c r="AB51" i="48" a="1"/>
  <c r="AB51" i="48" s="1"/>
  <c r="Z42" i="48" a="1"/>
  <c r="Z42" i="48" s="1"/>
  <c r="AA36" i="48" a="1"/>
  <c r="AA36" i="48" s="1"/>
  <c r="Z17" i="48" a="1"/>
  <c r="Z17" i="48" s="1"/>
  <c r="AB54" i="48" a="1"/>
  <c r="AB54" i="48" s="1"/>
  <c r="AB31" i="48" a="1"/>
  <c r="AB31" i="48" s="1"/>
  <c r="Z21" i="48" a="1"/>
  <c r="Z21" i="48" s="1"/>
  <c r="Z27" i="48" a="1"/>
  <c r="Z27" i="48" s="1"/>
  <c r="AB23" i="48" a="1"/>
  <c r="AB23" i="48" s="1"/>
  <c r="AC47" i="48" a="1"/>
  <c r="AC47" i="48" s="1"/>
  <c r="AB19" i="48" a="1"/>
  <c r="AB19" i="48" s="1"/>
  <c r="Z39" i="48" a="1"/>
  <c r="Z39" i="48" s="1"/>
  <c r="M115" i="56"/>
  <c r="AD115" i="56" a="1"/>
  <c r="AD115" i="56" s="1"/>
  <c r="AC115" i="56" a="1"/>
  <c r="AC115" i="56" s="1"/>
  <c r="AB115" i="56" a="1"/>
  <c r="AB115" i="56" s="1"/>
  <c r="AA115" i="56" a="1"/>
  <c r="AA115" i="56" s="1"/>
  <c r="Z115" i="56" a="1"/>
  <c r="Z115" i="56" s="1"/>
  <c r="M114" i="56"/>
  <c r="Z114" i="56" a="1"/>
  <c r="Z114" i="56" s="1"/>
  <c r="AD114" i="56" a="1"/>
  <c r="AD114" i="56" s="1"/>
  <c r="AC114" i="56" a="1"/>
  <c r="AC114" i="56" s="1"/>
  <c r="AB114" i="56" a="1"/>
  <c r="AB114" i="56" s="1"/>
  <c r="AA114" i="56" a="1"/>
  <c r="AA114" i="56" s="1"/>
  <c r="Z101" i="56" a="1"/>
  <c r="Z101" i="56" s="1"/>
  <c r="M101" i="56"/>
  <c r="AA101" i="56" a="1"/>
  <c r="AA101" i="56" s="1"/>
  <c r="AC101" i="56" a="1"/>
  <c r="AC101" i="56" s="1"/>
  <c r="AB101" i="56" a="1"/>
  <c r="AB101" i="56" s="1"/>
  <c r="AD101" i="56" a="1"/>
  <c r="AD101" i="56" s="1"/>
  <c r="Z107" i="56" a="1"/>
  <c r="Z107" i="56" s="1"/>
  <c r="M107" i="56"/>
  <c r="AB107" i="56" a="1"/>
  <c r="AB107" i="56" s="1"/>
  <c r="Z109" i="56" a="1"/>
  <c r="Z109" i="56" s="1"/>
  <c r="AD109" i="56" a="1"/>
  <c r="AD109" i="56" s="1"/>
  <c r="M109" i="56"/>
  <c r="K98" i="56" a="1"/>
  <c r="K98" i="56" s="1"/>
  <c r="AB110" i="56" a="1"/>
  <c r="AB110" i="56" s="1"/>
  <c r="AD107" i="56" a="1"/>
  <c r="AD107" i="56" s="1"/>
  <c r="AD92" i="56" a="1"/>
  <c r="AD92" i="56" s="1"/>
  <c r="M92" i="56"/>
  <c r="AC107" i="56" a="1"/>
  <c r="AC107" i="56" s="1"/>
  <c r="Z94" i="56" a="1"/>
  <c r="Z94" i="56" s="1"/>
  <c r="AC106" i="56" a="1"/>
  <c r="AC106" i="56" s="1"/>
  <c r="AB106" i="56" a="1"/>
  <c r="AB106" i="56" s="1"/>
  <c r="AD106" i="56" a="1"/>
  <c r="AD106" i="56" s="1"/>
  <c r="AA106" i="56" a="1"/>
  <c r="AA106" i="56" s="1"/>
  <c r="Z106" i="56" a="1"/>
  <c r="Z106" i="56" s="1"/>
  <c r="AD110" i="56" a="1"/>
  <c r="AD110" i="56" s="1"/>
  <c r="Z110" i="56" a="1"/>
  <c r="Z110" i="56" s="1"/>
  <c r="AC110" i="56" a="1"/>
  <c r="AC110" i="56" s="1"/>
  <c r="M110" i="56"/>
  <c r="AA94" i="56" a="1"/>
  <c r="AA94" i="56" s="1"/>
  <c r="AC94" i="56" a="1"/>
  <c r="AC94" i="56" s="1"/>
  <c r="AD94" i="56" a="1"/>
  <c r="AD94" i="56" s="1"/>
  <c r="M94" i="56"/>
  <c r="AC109" i="56" a="1"/>
  <c r="AC109" i="56" s="1"/>
  <c r="AB109" i="56" a="1"/>
  <c r="AB109" i="56" s="1"/>
  <c r="Z92" i="56" a="1"/>
  <c r="Z92" i="56" s="1"/>
  <c r="AC92" i="56" a="1"/>
  <c r="AC92" i="56" s="1"/>
  <c r="AB92" i="56" a="1"/>
  <c r="AB92" i="56" s="1"/>
  <c r="M74" i="56"/>
  <c r="AB74" i="56" a="1"/>
  <c r="AB74" i="56" s="1"/>
  <c r="AD74" i="56" a="1"/>
  <c r="AD74" i="56" s="1"/>
  <c r="Z74" i="56" a="1"/>
  <c r="Z74" i="56" s="1"/>
  <c r="AA74" i="56" a="1"/>
  <c r="AA74" i="56" s="1"/>
  <c r="AC74" i="56" a="1"/>
  <c r="AC74" i="56" s="1"/>
  <c r="M85" i="56"/>
  <c r="AA85" i="56" a="1"/>
  <c r="AA85" i="56" s="1"/>
  <c r="Z85" i="56" a="1"/>
  <c r="Z85" i="56" s="1"/>
  <c r="AC85" i="56" a="1"/>
  <c r="AC85" i="56" s="1"/>
  <c r="AD85" i="56" a="1"/>
  <c r="AD85" i="56" s="1"/>
  <c r="AB85" i="56" a="1"/>
  <c r="AB85" i="56" s="1"/>
  <c r="M81" i="56"/>
  <c r="AA81" i="56" a="1"/>
  <c r="AA81" i="56" s="1"/>
  <c r="AC81" i="56" a="1"/>
  <c r="AC81" i="56" s="1"/>
  <c r="Z81" i="56" a="1"/>
  <c r="Z81" i="56" s="1"/>
  <c r="AD81" i="56" a="1"/>
  <c r="AD81" i="56" s="1"/>
  <c r="AB81" i="56" a="1"/>
  <c r="AB81" i="56" s="1"/>
  <c r="M99" i="56"/>
  <c r="AB99" i="56" a="1"/>
  <c r="AB99" i="56" s="1"/>
  <c r="AA99" i="56" a="1"/>
  <c r="AA99" i="56" s="1"/>
  <c r="AC99" i="56" a="1"/>
  <c r="AC99" i="56" s="1"/>
  <c r="AD99" i="56" a="1"/>
  <c r="AD99" i="56" s="1"/>
  <c r="Z99" i="56" a="1"/>
  <c r="Z99" i="56" s="1"/>
  <c r="M88" i="56"/>
  <c r="AB88" i="56" a="1"/>
  <c r="AB88" i="56" s="1"/>
  <c r="AD88" i="56" a="1"/>
  <c r="AD88" i="56" s="1"/>
  <c r="Z88" i="56" a="1"/>
  <c r="Z88" i="56" s="1"/>
  <c r="AA88" i="56" a="1"/>
  <c r="AA88" i="56" s="1"/>
  <c r="AC88" i="56" a="1"/>
  <c r="AC88" i="56" s="1"/>
  <c r="M77" i="56"/>
  <c r="AC77" i="56" a="1"/>
  <c r="AC77" i="56" s="1"/>
  <c r="Z77" i="56" a="1"/>
  <c r="Z77" i="56" s="1"/>
  <c r="AA77" i="56" a="1"/>
  <c r="AA77" i="56" s="1"/>
  <c r="AB77" i="56" a="1"/>
  <c r="AB77" i="56" s="1"/>
  <c r="AD77" i="56" a="1"/>
  <c r="AD77" i="56" s="1"/>
  <c r="M80" i="56"/>
  <c r="AD80" i="56" a="1"/>
  <c r="AD80" i="56" s="1"/>
  <c r="AC80" i="56" a="1"/>
  <c r="AC80" i="56" s="1"/>
  <c r="AB80" i="56" a="1"/>
  <c r="AB80" i="56" s="1"/>
  <c r="Z80" i="56" a="1"/>
  <c r="Z80" i="56" s="1"/>
  <c r="AA80" i="56" a="1"/>
  <c r="AA80" i="56" s="1"/>
  <c r="M113" i="56"/>
  <c r="Z113" i="56" a="1"/>
  <c r="Z113" i="56" s="1"/>
  <c r="AD113" i="56" a="1"/>
  <c r="AD113" i="56" s="1"/>
  <c r="AA113" i="56" a="1"/>
  <c r="AA113" i="56" s="1"/>
  <c r="AB113" i="56" a="1"/>
  <c r="AB113" i="56" s="1"/>
  <c r="AC113" i="56" a="1"/>
  <c r="AC113" i="56" s="1"/>
  <c r="M79" i="56"/>
  <c r="AB79" i="56" a="1"/>
  <c r="AB79" i="56" s="1"/>
  <c r="AD79" i="56" a="1"/>
  <c r="AD79" i="56" s="1"/>
  <c r="AA79" i="56" a="1"/>
  <c r="AA79" i="56" s="1"/>
  <c r="AC79" i="56" a="1"/>
  <c r="AC79" i="56" s="1"/>
  <c r="Z79" i="56" a="1"/>
  <c r="Z79" i="56" s="1"/>
  <c r="M112" i="56"/>
  <c r="AD112" i="56" a="1"/>
  <c r="AD112" i="56" s="1"/>
  <c r="AB112" i="56" a="1"/>
  <c r="AB112" i="56" s="1"/>
  <c r="Z112" i="56" a="1"/>
  <c r="Z112" i="56" s="1"/>
  <c r="AC112" i="56" a="1"/>
  <c r="AC112" i="56" s="1"/>
  <c r="AA112" i="56" a="1"/>
  <c r="AA112" i="56" s="1"/>
  <c r="M71" i="56"/>
  <c r="AD71" i="56" a="1"/>
  <c r="AD71" i="56" s="1"/>
  <c r="AB71" i="56" a="1"/>
  <c r="AB71" i="56" s="1"/>
  <c r="AA71" i="56" a="1"/>
  <c r="AA71" i="56" s="1"/>
  <c r="Z71" i="56" a="1"/>
  <c r="Z71" i="56" s="1"/>
  <c r="AC71" i="56" a="1"/>
  <c r="AC71" i="56" s="1"/>
  <c r="M104" i="56"/>
  <c r="AD104" i="56" a="1"/>
  <c r="AD104" i="56" s="1"/>
  <c r="AA104" i="56" a="1"/>
  <c r="AA104" i="56" s="1"/>
  <c r="Z104" i="56" a="1"/>
  <c r="Z104" i="56" s="1"/>
  <c r="AC104" i="56" a="1"/>
  <c r="AC104" i="56" s="1"/>
  <c r="AB104" i="56" a="1"/>
  <c r="AB104" i="56" s="1"/>
  <c r="M83" i="56"/>
  <c r="AD83" i="56" a="1"/>
  <c r="AD83" i="56" s="1"/>
  <c r="AB83" i="56" a="1"/>
  <c r="AB83" i="56" s="1"/>
  <c r="AC83" i="56" a="1"/>
  <c r="AC83" i="56" s="1"/>
  <c r="AA83" i="56" a="1"/>
  <c r="AA83" i="56" s="1"/>
  <c r="Z83" i="56" a="1"/>
  <c r="Z83" i="56" s="1"/>
  <c r="M95" i="56"/>
  <c r="AB95" i="56" a="1"/>
  <c r="AB95" i="56" s="1"/>
  <c r="Z95" i="56" a="1"/>
  <c r="Z95" i="56" s="1"/>
  <c r="AD95" i="56" a="1"/>
  <c r="AD95" i="56" s="1"/>
  <c r="AA95" i="56" a="1"/>
  <c r="AA95" i="56" s="1"/>
  <c r="AC95" i="56" a="1"/>
  <c r="AC95" i="56" s="1"/>
  <c r="M90" i="56"/>
  <c r="Z90" i="56" a="1"/>
  <c r="Z90" i="56" s="1"/>
  <c r="AA90" i="56" a="1"/>
  <c r="AA90" i="56" s="1"/>
  <c r="AC90" i="56" a="1"/>
  <c r="AC90" i="56" s="1"/>
  <c r="AD90" i="56" a="1"/>
  <c r="AD90" i="56" s="1"/>
  <c r="AB90" i="56" a="1"/>
  <c r="AB90" i="56" s="1"/>
  <c r="M86" i="56"/>
  <c r="Z86" i="56" a="1"/>
  <c r="Z86" i="56" s="1"/>
  <c r="AD86" i="56" a="1"/>
  <c r="AD86" i="56" s="1"/>
  <c r="AB86" i="56" a="1"/>
  <c r="AB86" i="56" s="1"/>
  <c r="AC86" i="56" a="1"/>
  <c r="AC86" i="56" s="1"/>
  <c r="AA86" i="56" a="1"/>
  <c r="AA86" i="56" s="1"/>
  <c r="M69" i="56"/>
  <c r="AD69" i="56" a="1"/>
  <c r="AD69" i="56" s="1"/>
  <c r="AA69" i="56" a="1"/>
  <c r="AA69" i="56" s="1"/>
  <c r="AC69" i="56" a="1"/>
  <c r="AC69" i="56" s="1"/>
  <c r="Z69" i="56" a="1"/>
  <c r="Z69" i="56" s="1"/>
  <c r="AB69" i="56" a="1"/>
  <c r="AB69" i="56" s="1"/>
  <c r="M87" i="56"/>
  <c r="AC87" i="56" a="1"/>
  <c r="AC87" i="56" s="1"/>
  <c r="AA87" i="56" a="1"/>
  <c r="AA87" i="56" s="1"/>
  <c r="AB87" i="56" a="1"/>
  <c r="AB87" i="56" s="1"/>
  <c r="AD87" i="56" a="1"/>
  <c r="AD87" i="56" s="1"/>
  <c r="Z87" i="56" a="1"/>
  <c r="Z87" i="56" s="1"/>
  <c r="M100" i="56"/>
  <c r="AA100" i="56" a="1"/>
  <c r="AA100" i="56" s="1"/>
  <c r="AC100" i="56" a="1"/>
  <c r="AC100" i="56" s="1"/>
  <c r="AD100" i="56" a="1"/>
  <c r="AD100" i="56" s="1"/>
  <c r="Z100" i="56" a="1"/>
  <c r="Z100" i="56" s="1"/>
  <c r="AB100" i="56" a="1"/>
  <c r="AB100" i="56" s="1"/>
  <c r="M103" i="56"/>
  <c r="AA103" i="56" a="1"/>
  <c r="AA103" i="56" s="1"/>
  <c r="AD103" i="56" a="1"/>
  <c r="AD103" i="56" s="1"/>
  <c r="AB103" i="56" a="1"/>
  <c r="AB103" i="56" s="1"/>
  <c r="AC103" i="56" a="1"/>
  <c r="AC103" i="56" s="1"/>
  <c r="Z103" i="56" a="1"/>
  <c r="Z103" i="56" s="1"/>
  <c r="M72" i="56"/>
  <c r="AB72" i="56" a="1"/>
  <c r="AB72" i="56" s="1"/>
  <c r="Z72" i="56" a="1"/>
  <c r="Z72" i="56" s="1"/>
  <c r="AC72" i="56" a="1"/>
  <c r="AC72" i="56" s="1"/>
  <c r="AA72" i="56" a="1"/>
  <c r="AA72" i="56" s="1"/>
  <c r="AD72" i="56" a="1"/>
  <c r="AD72" i="56" s="1"/>
  <c r="M97" i="56"/>
  <c r="AD97" i="56" a="1"/>
  <c r="AD97" i="56" s="1"/>
  <c r="AC97" i="56" a="1"/>
  <c r="AC97" i="56" s="1"/>
  <c r="Z97" i="56" a="1"/>
  <c r="Z97" i="56" s="1"/>
  <c r="AB97" i="56" a="1"/>
  <c r="AB97" i="56" s="1"/>
  <c r="AA97" i="56" a="1"/>
  <c r="AA97" i="56" s="1"/>
  <c r="M78" i="56"/>
  <c r="AC78" i="56" a="1"/>
  <c r="AC78" i="56" s="1"/>
  <c r="AB78" i="56" a="1"/>
  <c r="AB78" i="56" s="1"/>
  <c r="AD78" i="56" a="1"/>
  <c r="AD78" i="56" s="1"/>
  <c r="AA78" i="56" a="1"/>
  <c r="AA78" i="56" s="1"/>
  <c r="Z78" i="56" a="1"/>
  <c r="Z78" i="56" s="1"/>
  <c r="M105" i="56"/>
  <c r="AC105" i="56" a="1"/>
  <c r="AC105" i="56" s="1"/>
  <c r="AA105" i="56" a="1"/>
  <c r="AA105" i="56" s="1"/>
  <c r="AB105" i="56" a="1"/>
  <c r="AB105" i="56" s="1"/>
  <c r="Z105" i="56" a="1"/>
  <c r="Z105" i="56" s="1"/>
  <c r="AD105" i="56" a="1"/>
  <c r="AD105" i="56" s="1"/>
  <c r="M75" i="56"/>
  <c r="AA75" i="56" a="1"/>
  <c r="AA75" i="56" s="1"/>
  <c r="AB75" i="56" a="1"/>
  <c r="AB75" i="56" s="1"/>
  <c r="AD75" i="56" a="1"/>
  <c r="AD75" i="56" s="1"/>
  <c r="AC75" i="56" a="1"/>
  <c r="AC75" i="56" s="1"/>
  <c r="Z75" i="56" a="1"/>
  <c r="Z75" i="56" s="1"/>
  <c r="M96" i="56"/>
  <c r="Z96" i="56" a="1"/>
  <c r="Z96" i="56" s="1"/>
  <c r="AA96" i="56" a="1"/>
  <c r="AA96" i="56" s="1"/>
  <c r="AC96" i="56" a="1"/>
  <c r="AC96" i="56" s="1"/>
  <c r="AB96" i="56" a="1"/>
  <c r="AB96" i="56" s="1"/>
  <c r="AD96" i="56" a="1"/>
  <c r="AD96" i="56" s="1"/>
  <c r="M93" i="56"/>
  <c r="AB93" i="56" a="1"/>
  <c r="AB93" i="56" s="1"/>
  <c r="Z93" i="56" a="1"/>
  <c r="Z93" i="56" s="1"/>
  <c r="AD93" i="56" a="1"/>
  <c r="AD93" i="56" s="1"/>
  <c r="AA93" i="56" a="1"/>
  <c r="AA93" i="56" s="1"/>
  <c r="AC93" i="56" a="1"/>
  <c r="AC93" i="56" s="1"/>
  <c r="M84" i="56"/>
  <c r="AC84" i="56" a="1"/>
  <c r="AC84" i="56" s="1"/>
  <c r="Z84" i="56" a="1"/>
  <c r="Z84" i="56" s="1"/>
  <c r="AD84" i="56" a="1"/>
  <c r="AD84" i="56" s="1"/>
  <c r="AB84" i="56" a="1"/>
  <c r="AB84" i="56" s="1"/>
  <c r="AA84" i="56" a="1"/>
  <c r="AA84" i="56" s="1"/>
  <c r="M89" i="56"/>
  <c r="AC89" i="56" a="1"/>
  <c r="AC89" i="56" s="1"/>
  <c r="AD89" i="56" a="1"/>
  <c r="AD89" i="56" s="1"/>
  <c r="AB89" i="56" a="1"/>
  <c r="AB89" i="56" s="1"/>
  <c r="Z89" i="56" a="1"/>
  <c r="Z89" i="56" s="1"/>
  <c r="AA89" i="56" a="1"/>
  <c r="AA89" i="56" s="1"/>
  <c r="M70" i="56"/>
  <c r="AA70" i="56" a="1"/>
  <c r="AA70" i="56" s="1"/>
  <c r="AD70" i="56" a="1"/>
  <c r="AD70" i="56" s="1"/>
  <c r="AB70" i="56" a="1"/>
  <c r="AB70" i="56" s="1"/>
  <c r="AC70" i="56" a="1"/>
  <c r="AC70" i="56" s="1"/>
  <c r="Z70" i="56" a="1"/>
  <c r="Z70" i="56" s="1"/>
  <c r="M111" i="56"/>
  <c r="AB111" i="56" a="1"/>
  <c r="AB111" i="56" s="1"/>
  <c r="Z111" i="56" a="1"/>
  <c r="Z111" i="56" s="1"/>
  <c r="AA111" i="56" a="1"/>
  <c r="AA111" i="56" s="1"/>
  <c r="AD111" i="56" a="1"/>
  <c r="AD111" i="56" s="1"/>
  <c r="AC111" i="56" a="1"/>
  <c r="AC111" i="56" s="1"/>
  <c r="M73" i="56"/>
  <c r="AC73" i="56" a="1"/>
  <c r="AC73" i="56" s="1"/>
  <c r="AB73" i="56" a="1"/>
  <c r="AB73" i="56" s="1"/>
  <c r="Z73" i="56" a="1"/>
  <c r="Z73" i="56" s="1"/>
  <c r="AD73" i="56" a="1"/>
  <c r="AD73" i="56" s="1"/>
  <c r="AA73" i="56" a="1"/>
  <c r="AA73" i="56" s="1"/>
  <c r="M91" i="56"/>
  <c r="Z91" i="56" a="1"/>
  <c r="Z91" i="56" s="1"/>
  <c r="AB91" i="56" a="1"/>
  <c r="AB91" i="56" s="1"/>
  <c r="AD91" i="56" a="1"/>
  <c r="AD91" i="56" s="1"/>
  <c r="AA91" i="56" a="1"/>
  <c r="AA91" i="56" s="1"/>
  <c r="AC91" i="56" a="1"/>
  <c r="AC91" i="56" s="1"/>
  <c r="M76" i="56"/>
  <c r="Z76" i="56" a="1"/>
  <c r="Z76" i="56" s="1"/>
  <c r="AD76" i="56" a="1"/>
  <c r="AD76" i="56" s="1"/>
  <c r="AB76" i="56" a="1"/>
  <c r="AB76" i="56" s="1"/>
  <c r="AC76" i="56" a="1"/>
  <c r="AC76" i="56" s="1"/>
  <c r="AA76" i="56" a="1"/>
  <c r="AA76" i="56" s="1"/>
  <c r="M82" i="56"/>
  <c r="AB82" i="56" a="1"/>
  <c r="AB82" i="56" s="1"/>
  <c r="Z82" i="56" a="1"/>
  <c r="Z82" i="56" s="1"/>
  <c r="AC82" i="56" a="1"/>
  <c r="AC82" i="56" s="1"/>
  <c r="AA82" i="56" a="1"/>
  <c r="AA82" i="56" s="1"/>
  <c r="AD82" i="56" a="1"/>
  <c r="AD82" i="56" s="1"/>
  <c r="M102" i="56"/>
  <c r="AA102" i="56" a="1"/>
  <c r="AA102" i="56" s="1"/>
  <c r="AD102" i="56" a="1"/>
  <c r="AD102" i="56" s="1"/>
  <c r="AB102" i="56" a="1"/>
  <c r="AB102" i="56" s="1"/>
  <c r="AC102" i="56" a="1"/>
  <c r="AC102" i="56" s="1"/>
  <c r="Z102" i="56" a="1"/>
  <c r="Z102" i="56" s="1"/>
  <c r="M108" i="56"/>
  <c r="AA108" i="56" a="1"/>
  <c r="AA108" i="56" s="1"/>
  <c r="AB108" i="56" a="1"/>
  <c r="AB108" i="56" s="1"/>
  <c r="AD108" i="56" a="1"/>
  <c r="AD108" i="56" s="1"/>
  <c r="AC108" i="56" a="1"/>
  <c r="AC108" i="56" s="1"/>
  <c r="Z108" i="56" a="1"/>
  <c r="Z108" i="56" s="1"/>
  <c r="AD67" i="56" a="1"/>
  <c r="AD67" i="56" s="1"/>
  <c r="Z67" i="56" a="1"/>
  <c r="Z67" i="56" s="1"/>
  <c r="AC67" i="56" a="1"/>
  <c r="AC67" i="56" s="1"/>
  <c r="AB67" i="56" a="1"/>
  <c r="AB67" i="56" s="1"/>
  <c r="Z63" i="56" a="1"/>
  <c r="Z63" i="56" s="1"/>
  <c r="AA67" i="56" a="1"/>
  <c r="AA67" i="56" s="1"/>
  <c r="AD63" i="56" a="1"/>
  <c r="AD63" i="56" s="1"/>
  <c r="AB63" i="56" a="1"/>
  <c r="AB63" i="56" s="1"/>
  <c r="M68" i="56"/>
  <c r="AB68" i="56" a="1"/>
  <c r="AB68" i="56" s="1"/>
  <c r="Z68" i="56" a="1"/>
  <c r="Z68" i="56" s="1"/>
  <c r="AC68" i="56" a="1"/>
  <c r="AC68" i="56" s="1"/>
  <c r="AD68" i="56" a="1"/>
  <c r="AD68" i="56" s="1"/>
  <c r="AA68" i="56" a="1"/>
  <c r="AA68" i="56" s="1"/>
  <c r="AA63" i="56" a="1"/>
  <c r="AA63" i="56" s="1"/>
  <c r="AC63" i="56" a="1"/>
  <c r="AC63" i="56" s="1"/>
  <c r="M66" i="56"/>
  <c r="AC66" i="56" a="1"/>
  <c r="AC66" i="56" s="1"/>
  <c r="Z66" i="56" a="1"/>
  <c r="Z66" i="56" s="1"/>
  <c r="AD66" i="56" a="1"/>
  <c r="AD66" i="56" s="1"/>
  <c r="AB66" i="56" a="1"/>
  <c r="AB66" i="56" s="1"/>
  <c r="AA66" i="56" a="1"/>
  <c r="AA66" i="56" s="1"/>
  <c r="M65" i="56"/>
  <c r="AC65" i="56" a="1"/>
  <c r="AC65" i="56" s="1"/>
  <c r="AB65" i="56" a="1"/>
  <c r="AB65" i="56" s="1"/>
  <c r="AA65" i="56" a="1"/>
  <c r="AA65" i="56" s="1"/>
  <c r="AD65" i="56" a="1"/>
  <c r="AD65" i="56" s="1"/>
  <c r="Z65" i="56" a="1"/>
  <c r="Z65" i="56" s="1"/>
  <c r="AC52" i="56" a="1"/>
  <c r="AC52" i="56" s="1"/>
  <c r="AA52" i="56" a="1"/>
  <c r="AA52" i="56" s="1"/>
  <c r="AD52" i="56" a="1"/>
  <c r="AD52" i="56" s="1"/>
  <c r="M64" i="56"/>
  <c r="AD64" i="56" a="1"/>
  <c r="AD64" i="56" s="1"/>
  <c r="AC64" i="56" a="1"/>
  <c r="AC64" i="56" s="1"/>
  <c r="AA64" i="56" a="1"/>
  <c r="AA64" i="56" s="1"/>
  <c r="AB64" i="56" a="1"/>
  <c r="AB64" i="56" s="1"/>
  <c r="Z64" i="56" a="1"/>
  <c r="Z64" i="56" s="1"/>
  <c r="Z52" i="56" a="1"/>
  <c r="Z52" i="56" s="1"/>
  <c r="M62" i="56"/>
  <c r="AB62" i="56" a="1"/>
  <c r="AB62" i="56" s="1"/>
  <c r="AD62" i="56" a="1"/>
  <c r="AD62" i="56" s="1"/>
  <c r="AA62" i="56" a="1"/>
  <c r="AA62" i="56" s="1"/>
  <c r="AC62" i="56" a="1"/>
  <c r="AC62" i="56" s="1"/>
  <c r="Z62" i="56" a="1"/>
  <c r="Z62" i="56" s="1"/>
  <c r="M61" i="56"/>
  <c r="Z61" i="56" a="1"/>
  <c r="Z61" i="56" s="1"/>
  <c r="AC61" i="56" a="1"/>
  <c r="AC61" i="56" s="1"/>
  <c r="AD61" i="56" a="1"/>
  <c r="AD61" i="56" s="1"/>
  <c r="AB61" i="56" a="1"/>
  <c r="AB61" i="56" s="1"/>
  <c r="AA61" i="56" a="1"/>
  <c r="AA61" i="56" s="1"/>
  <c r="M60" i="56"/>
  <c r="Z60" i="56" a="1"/>
  <c r="Z60" i="56" s="1"/>
  <c r="AD60" i="56" a="1"/>
  <c r="AD60" i="56" s="1"/>
  <c r="AA60" i="56" a="1"/>
  <c r="AA60" i="56" s="1"/>
  <c r="AC60" i="56" a="1"/>
  <c r="AC60" i="56" s="1"/>
  <c r="AB60" i="56" a="1"/>
  <c r="AB60" i="56" s="1"/>
  <c r="AB52" i="56" a="1"/>
  <c r="AB52" i="56" s="1"/>
  <c r="M59" i="56"/>
  <c r="AB59" i="56" a="1"/>
  <c r="AB59" i="56" s="1"/>
  <c r="AD59" i="56" a="1"/>
  <c r="AD59" i="56" s="1"/>
  <c r="AA59" i="56" a="1"/>
  <c r="AA59" i="56" s="1"/>
  <c r="Z59" i="56" a="1"/>
  <c r="Z59" i="56" s="1"/>
  <c r="AC59" i="56" a="1"/>
  <c r="AC59" i="56" s="1"/>
  <c r="M58" i="56"/>
  <c r="Z58" i="56" a="1"/>
  <c r="Z58" i="56" s="1"/>
  <c r="AD58" i="56" a="1"/>
  <c r="AD58" i="56" s="1"/>
  <c r="AC58" i="56" a="1"/>
  <c r="AC58" i="56" s="1"/>
  <c r="AB58" i="56" a="1"/>
  <c r="AB58" i="56" s="1"/>
  <c r="AA58" i="56" a="1"/>
  <c r="AA58" i="56" s="1"/>
  <c r="M57" i="56"/>
  <c r="AA57" i="56" a="1"/>
  <c r="AA57" i="56" s="1"/>
  <c r="AB57" i="56" a="1"/>
  <c r="AB57" i="56" s="1"/>
  <c r="AC57" i="56" a="1"/>
  <c r="AC57" i="56" s="1"/>
  <c r="AD57" i="56" a="1"/>
  <c r="AD57" i="56" s="1"/>
  <c r="Z57" i="56" a="1"/>
  <c r="Z57" i="56" s="1"/>
  <c r="M56" i="56"/>
  <c r="AC56" i="56" a="1"/>
  <c r="AC56" i="56" s="1"/>
  <c r="AA56" i="56" a="1"/>
  <c r="AA56" i="56" s="1"/>
  <c r="AD56" i="56" a="1"/>
  <c r="AD56" i="56" s="1"/>
  <c r="AB56" i="56" a="1"/>
  <c r="AB56" i="56" s="1"/>
  <c r="Z56" i="56" a="1"/>
  <c r="Z56" i="56" s="1"/>
  <c r="M55" i="56"/>
  <c r="AC55" i="56" a="1"/>
  <c r="AC55" i="56" s="1"/>
  <c r="AD55" i="56" a="1"/>
  <c r="AD55" i="56" s="1"/>
  <c r="Z55" i="56" a="1"/>
  <c r="Z55" i="56" s="1"/>
  <c r="AB55" i="56" a="1"/>
  <c r="AB55" i="56" s="1"/>
  <c r="AA55" i="56" a="1"/>
  <c r="AA55" i="56" s="1"/>
  <c r="M54" i="56"/>
  <c r="Z54" i="56" a="1"/>
  <c r="Z54" i="56" s="1"/>
  <c r="AB54" i="56" a="1"/>
  <c r="AB54" i="56" s="1"/>
  <c r="AD54" i="56" a="1"/>
  <c r="AD54" i="56" s="1"/>
  <c r="AC54" i="56" a="1"/>
  <c r="AC54" i="56" s="1"/>
  <c r="AA54" i="56" a="1"/>
  <c r="AA54" i="56" s="1"/>
  <c r="M53" i="56"/>
  <c r="AD53" i="56" a="1"/>
  <c r="AD53" i="56" s="1"/>
  <c r="AC53" i="56" a="1"/>
  <c r="AC53" i="56" s="1"/>
  <c r="AB53" i="56" a="1"/>
  <c r="AB53" i="56" s="1"/>
  <c r="AA53" i="56" a="1"/>
  <c r="AA53" i="56" s="1"/>
  <c r="Z53" i="56" a="1"/>
  <c r="Z53" i="56" s="1"/>
  <c r="AD44" i="56" a="1"/>
  <c r="AD44" i="56" s="1"/>
  <c r="AB44" i="56" a="1"/>
  <c r="AB44" i="56" s="1"/>
  <c r="AC44" i="56" a="1"/>
  <c r="AC44" i="56" s="1"/>
  <c r="M51" i="56"/>
  <c r="AB51" i="56" a="1"/>
  <c r="AB51" i="56" s="1"/>
  <c r="AD51" i="56" a="1"/>
  <c r="AD51" i="56" s="1"/>
  <c r="AC51" i="56" a="1"/>
  <c r="AC51" i="56" s="1"/>
  <c r="AA51" i="56" a="1"/>
  <c r="AA51" i="56" s="1"/>
  <c r="Z51" i="56" a="1"/>
  <c r="Z51" i="56" s="1"/>
  <c r="AA44" i="56" a="1"/>
  <c r="AA44" i="56" s="1"/>
  <c r="Z44" i="56" a="1"/>
  <c r="Z44" i="56" s="1"/>
  <c r="M50" i="56"/>
  <c r="AC50" i="56" a="1"/>
  <c r="AC50" i="56" s="1"/>
  <c r="AB50" i="56" a="1"/>
  <c r="AB50" i="56" s="1"/>
  <c r="Z50" i="56" a="1"/>
  <c r="Z50" i="56" s="1"/>
  <c r="AD50" i="56" a="1"/>
  <c r="AD50" i="56" s="1"/>
  <c r="AA50" i="56" a="1"/>
  <c r="AA50" i="56" s="1"/>
  <c r="M49" i="56"/>
  <c r="AB49" i="56" a="1"/>
  <c r="AB49" i="56" s="1"/>
  <c r="AD49" i="56" a="1"/>
  <c r="AD49" i="56" s="1"/>
  <c r="AA49" i="56" a="1"/>
  <c r="AA49" i="56" s="1"/>
  <c r="AC49" i="56" a="1"/>
  <c r="AC49" i="56" s="1"/>
  <c r="Z49" i="56" a="1"/>
  <c r="Z49" i="56" s="1"/>
  <c r="M36" i="56"/>
  <c r="M45" i="56"/>
  <c r="AA45" i="56" a="1"/>
  <c r="AA45" i="56" s="1"/>
  <c r="AD45" i="56" a="1"/>
  <c r="AD45" i="56" s="1"/>
  <c r="AC45" i="56" a="1"/>
  <c r="AC45" i="56" s="1"/>
  <c r="Z45" i="56" a="1"/>
  <c r="Z45" i="56" s="1"/>
  <c r="AB45" i="56" a="1"/>
  <c r="AB45" i="56" s="1"/>
  <c r="AA32" i="56" a="1"/>
  <c r="AA32" i="56" s="1"/>
  <c r="M46" i="56"/>
  <c r="AC46" i="56" a="1"/>
  <c r="AC46" i="56" s="1"/>
  <c r="AB46" i="56" a="1"/>
  <c r="AB46" i="56" s="1"/>
  <c r="AA46" i="56" a="1"/>
  <c r="AA46" i="56" s="1"/>
  <c r="Z46" i="56" a="1"/>
  <c r="Z46" i="56" s="1"/>
  <c r="AD46" i="56" a="1"/>
  <c r="AD46" i="56" s="1"/>
  <c r="AB13" i="56" a="1"/>
  <c r="AB13" i="56" s="1"/>
  <c r="AD32" i="56" a="1"/>
  <c r="AD32" i="56" s="1"/>
  <c r="AB32" i="56" a="1"/>
  <c r="AB32" i="56" s="1"/>
  <c r="M47" i="56"/>
  <c r="AD47" i="56" a="1"/>
  <c r="AD47" i="56" s="1"/>
  <c r="Z47" i="56" a="1"/>
  <c r="Z47" i="56" s="1"/>
  <c r="AC47" i="56" a="1"/>
  <c r="AC47" i="56" s="1"/>
  <c r="AB47" i="56" a="1"/>
  <c r="AB47" i="56" s="1"/>
  <c r="AA47" i="56" a="1"/>
  <c r="AA47" i="56" s="1"/>
  <c r="AC32" i="56" a="1"/>
  <c r="AC32" i="56" s="1"/>
  <c r="AC41" i="56" a="1"/>
  <c r="AC41" i="56" s="1"/>
  <c r="M41" i="56"/>
  <c r="M32" i="56"/>
  <c r="AC30" i="56" a="1"/>
  <c r="AC30" i="56" s="1"/>
  <c r="AB41" i="56" a="1"/>
  <c r="AB41" i="56" s="1"/>
  <c r="Z41" i="56" a="1"/>
  <c r="Z41" i="56" s="1"/>
  <c r="AA41" i="56" a="1"/>
  <c r="AA41" i="56" s="1"/>
  <c r="M13" i="56"/>
  <c r="AD13" i="56" a="1"/>
  <c r="AD13" i="56" s="1"/>
  <c r="AA13" i="56" a="1"/>
  <c r="AA13" i="56" s="1"/>
  <c r="AC13" i="56" a="1"/>
  <c r="AC13" i="56" s="1"/>
  <c r="M48" i="56"/>
  <c r="AA48" i="56" a="1"/>
  <c r="AA48" i="56" s="1"/>
  <c r="AC48" i="56" a="1"/>
  <c r="AC48" i="56" s="1"/>
  <c r="AB48" i="56" a="1"/>
  <c r="AB48" i="56" s="1"/>
  <c r="AD48" i="56" a="1"/>
  <c r="AD48" i="56" s="1"/>
  <c r="Z48" i="56" a="1"/>
  <c r="Z48" i="56" s="1"/>
  <c r="AB36" i="56" a="1"/>
  <c r="AB36" i="56" s="1"/>
  <c r="AC36" i="56" a="1"/>
  <c r="AC36" i="56" s="1"/>
  <c r="AB30" i="56" a="1"/>
  <c r="AB30" i="56" s="1"/>
  <c r="AA30" i="56" a="1"/>
  <c r="AA30" i="56" s="1"/>
  <c r="AD30" i="56" a="1"/>
  <c r="AD30" i="56" s="1"/>
  <c r="M30" i="56"/>
  <c r="AA36" i="56" a="1"/>
  <c r="AA36" i="56" s="1"/>
  <c r="AD36" i="56" a="1"/>
  <c r="AD36" i="56" s="1"/>
  <c r="I11" i="56"/>
  <c r="M43" i="56"/>
  <c r="AA43" i="56" a="1"/>
  <c r="AA43" i="56" s="1"/>
  <c r="AC43" i="56" a="1"/>
  <c r="AC43" i="56" s="1"/>
  <c r="AB43" i="56" a="1"/>
  <c r="AB43" i="56" s="1"/>
  <c r="AD43" i="56" a="1"/>
  <c r="AD43" i="56" s="1"/>
  <c r="Z43" i="56" a="1"/>
  <c r="Z43" i="56" s="1"/>
  <c r="M22" i="56"/>
  <c r="AC22" i="56" a="1"/>
  <c r="AC22" i="56" s="1"/>
  <c r="Z22" i="56" a="1"/>
  <c r="Z22" i="56" s="1"/>
  <c r="AD22" i="56" a="1"/>
  <c r="AD22" i="56" s="1"/>
  <c r="AB22" i="56" a="1"/>
  <c r="AB22" i="56" s="1"/>
  <c r="AA22" i="56" a="1"/>
  <c r="AA22" i="56" s="1"/>
  <c r="M19" i="56"/>
  <c r="AC19" i="56" a="1"/>
  <c r="AC19" i="56" s="1"/>
  <c r="AB19" i="56" a="1"/>
  <c r="AB19" i="56" s="1"/>
  <c r="AA19" i="56" a="1"/>
  <c r="AA19" i="56" s="1"/>
  <c r="Z19" i="56" a="1"/>
  <c r="Z19" i="56" s="1"/>
  <c r="AD19" i="56" a="1"/>
  <c r="AD19" i="56" s="1"/>
  <c r="M35" i="56"/>
  <c r="AB35" i="56" a="1"/>
  <c r="AB35" i="56" s="1"/>
  <c r="AD35" i="56" a="1"/>
  <c r="AD35" i="56" s="1"/>
  <c r="Z35" i="56" a="1"/>
  <c r="Z35" i="56" s="1"/>
  <c r="AC35" i="56" a="1"/>
  <c r="AC35" i="56" s="1"/>
  <c r="AA35" i="56" a="1"/>
  <c r="AA35" i="56" s="1"/>
  <c r="AD17" i="56" a="1"/>
  <c r="AD17" i="56" s="1"/>
  <c r="Z17" i="56" a="1"/>
  <c r="Z17" i="56" s="1"/>
  <c r="M17" i="56"/>
  <c r="AB17" i="56" a="1"/>
  <c r="AB17" i="56" s="1"/>
  <c r="AA17" i="56" a="1"/>
  <c r="AA17" i="56" s="1"/>
  <c r="AC17" i="56" a="1"/>
  <c r="AC17" i="56" s="1"/>
  <c r="M23" i="56"/>
  <c r="AD23" i="56" a="1"/>
  <c r="AD23" i="56" s="1"/>
  <c r="AC23" i="56" a="1"/>
  <c r="AC23" i="56" s="1"/>
  <c r="AA23" i="56" a="1"/>
  <c r="AA23" i="56" s="1"/>
  <c r="Z23" i="56" a="1"/>
  <c r="Z23" i="56" s="1"/>
  <c r="AB23" i="56" a="1"/>
  <c r="AB23" i="56" s="1"/>
  <c r="M20" i="56"/>
  <c r="AB20" i="56" a="1"/>
  <c r="AB20" i="56" s="1"/>
  <c r="Z20" i="56" a="1"/>
  <c r="Z20" i="56" s="1"/>
  <c r="AC20" i="56" a="1"/>
  <c r="AC20" i="56" s="1"/>
  <c r="AD20" i="56" a="1"/>
  <c r="AD20" i="56" s="1"/>
  <c r="AA20" i="56" a="1"/>
  <c r="AA20" i="56" s="1"/>
  <c r="M29" i="56"/>
  <c r="AD29" i="56" a="1"/>
  <c r="AD29" i="56" s="1"/>
  <c r="AC29" i="56" a="1"/>
  <c r="AC29" i="56" s="1"/>
  <c r="AB29" i="56" a="1"/>
  <c r="AB29" i="56" s="1"/>
  <c r="AA29" i="56" a="1"/>
  <c r="AA29" i="56" s="1"/>
  <c r="Z29" i="56" a="1"/>
  <c r="Z29" i="56" s="1"/>
  <c r="AD33" i="56" a="1"/>
  <c r="AD33" i="56" s="1"/>
  <c r="M33" i="56"/>
  <c r="AA33" i="56" a="1"/>
  <c r="AA33" i="56" s="1"/>
  <c r="Z33" i="56" a="1"/>
  <c r="Z33" i="56" s="1"/>
  <c r="AC33" i="56" a="1"/>
  <c r="AC33" i="56" s="1"/>
  <c r="AB33" i="56" a="1"/>
  <c r="AB33" i="56" s="1"/>
  <c r="M28" i="56"/>
  <c r="AD28" i="56" a="1"/>
  <c r="AD28" i="56" s="1"/>
  <c r="AB28" i="56" a="1"/>
  <c r="AB28" i="56" s="1"/>
  <c r="AA28" i="56" a="1"/>
  <c r="AA28" i="56" s="1"/>
  <c r="AC28" i="56" a="1"/>
  <c r="AC28" i="56" s="1"/>
  <c r="Z28" i="56" a="1"/>
  <c r="Z28" i="56" s="1"/>
  <c r="AA14" i="56" a="1"/>
  <c r="AA14" i="56" s="1"/>
  <c r="AB14" i="56" a="1"/>
  <c r="AB14" i="56" s="1"/>
  <c r="M14" i="56"/>
  <c r="AD14" i="56" a="1"/>
  <c r="AD14" i="56" s="1"/>
  <c r="Z14" i="56" a="1"/>
  <c r="Z14" i="56" s="1"/>
  <c r="AC14" i="56" a="1"/>
  <c r="AC14" i="56" s="1"/>
  <c r="AA24" i="56" a="1"/>
  <c r="AA24" i="56" s="1"/>
  <c r="M24" i="56"/>
  <c r="AD24" i="56" a="1"/>
  <c r="AD24" i="56" s="1"/>
  <c r="AC24" i="56" a="1"/>
  <c r="AC24" i="56" s="1"/>
  <c r="Z24" i="56" a="1"/>
  <c r="Z24" i="56" s="1"/>
  <c r="AB24" i="56" a="1"/>
  <c r="AB24" i="56" s="1"/>
  <c r="AD15" i="56" a="1"/>
  <c r="AD15" i="56" s="1"/>
  <c r="M15" i="56"/>
  <c r="AC15" i="56" a="1"/>
  <c r="AC15" i="56" s="1"/>
  <c r="AB15" i="56" a="1"/>
  <c r="AB15" i="56" s="1"/>
  <c r="Z15" i="56" a="1"/>
  <c r="Z15" i="56" s="1"/>
  <c r="AA15" i="56" a="1"/>
  <c r="AA15" i="56" s="1"/>
  <c r="AA25" i="56" a="1"/>
  <c r="AA25" i="56" s="1"/>
  <c r="M25" i="56"/>
  <c r="Z25" i="56" a="1"/>
  <c r="Z25" i="56" s="1"/>
  <c r="AB25" i="56" a="1"/>
  <c r="AB25" i="56" s="1"/>
  <c r="AC25" i="56" a="1"/>
  <c r="AC25" i="56" s="1"/>
  <c r="AD25" i="56" a="1"/>
  <c r="AD25" i="56" s="1"/>
  <c r="M27" i="56"/>
  <c r="AC27" i="56" a="1"/>
  <c r="AC27" i="56" s="1"/>
  <c r="AA27" i="56" a="1"/>
  <c r="AA27" i="56" s="1"/>
  <c r="AB27" i="56" a="1"/>
  <c r="AB27" i="56" s="1"/>
  <c r="Z27" i="56" a="1"/>
  <c r="Z27" i="56" s="1"/>
  <c r="AD27" i="56" a="1"/>
  <c r="AD27" i="56" s="1"/>
  <c r="AD18" i="56" a="1"/>
  <c r="AD18" i="56" s="1"/>
  <c r="AC18" i="56" a="1"/>
  <c r="AC18" i="56" s="1"/>
  <c r="AB18" i="56" a="1"/>
  <c r="AB18" i="56" s="1"/>
  <c r="M18" i="56"/>
  <c r="Z18" i="56" a="1"/>
  <c r="Z18" i="56" s="1"/>
  <c r="AA18" i="56" a="1"/>
  <c r="AA18" i="56" s="1"/>
  <c r="M39" i="56"/>
  <c r="Z39" i="56" a="1"/>
  <c r="Z39" i="56" s="1"/>
  <c r="AA39" i="56" a="1"/>
  <c r="AA39" i="56" s="1"/>
  <c r="AB39" i="56" a="1"/>
  <c r="AB39" i="56" s="1"/>
  <c r="AC39" i="56" a="1"/>
  <c r="AC39" i="56" s="1"/>
  <c r="AD39" i="56" a="1"/>
  <c r="AD39" i="56" s="1"/>
  <c r="M26" i="56"/>
  <c r="AD26" i="56" a="1"/>
  <c r="AD26" i="56" s="1"/>
  <c r="AA26" i="56" a="1"/>
  <c r="AA26" i="56" s="1"/>
  <c r="AC26" i="56" a="1"/>
  <c r="AC26" i="56" s="1"/>
  <c r="AB26" i="56" a="1"/>
  <c r="AB26" i="56" s="1"/>
  <c r="Z26" i="56" a="1"/>
  <c r="Z26" i="56" s="1"/>
  <c r="M34" i="56"/>
  <c r="Z34" i="56" a="1"/>
  <c r="Z34" i="56" s="1"/>
  <c r="AB34" i="56" a="1"/>
  <c r="AB34" i="56" s="1"/>
  <c r="AA34" i="56" a="1"/>
  <c r="AA34" i="56" s="1"/>
  <c r="AD34" i="56" a="1"/>
  <c r="AD34" i="56" s="1"/>
  <c r="AC34" i="56" a="1"/>
  <c r="AC34" i="56" s="1"/>
  <c r="AC42" i="56" a="1"/>
  <c r="AC42" i="56" s="1"/>
  <c r="AA42" i="56" a="1"/>
  <c r="AA42" i="56" s="1"/>
  <c r="M42" i="56"/>
  <c r="AB42" i="56" a="1"/>
  <c r="AB42" i="56" s="1"/>
  <c r="Z42" i="56" a="1"/>
  <c r="Z42" i="56" s="1"/>
  <c r="AD42" i="56" a="1"/>
  <c r="AD42" i="56" s="1"/>
  <c r="AA37" i="56" a="1"/>
  <c r="AA37" i="56" s="1"/>
  <c r="M37" i="56"/>
  <c r="Z37" i="56" a="1"/>
  <c r="Z37" i="56" s="1"/>
  <c r="AC37" i="56" a="1"/>
  <c r="AC37" i="56" s="1"/>
  <c r="AD37" i="56" a="1"/>
  <c r="AD37" i="56" s="1"/>
  <c r="AB37" i="56" a="1"/>
  <c r="AB37" i="56" s="1"/>
  <c r="M38" i="56"/>
  <c r="AD38" i="56" a="1"/>
  <c r="AD38" i="56" s="1"/>
  <c r="AC38" i="56" a="1"/>
  <c r="AC38" i="56" s="1"/>
  <c r="AA38" i="56" a="1"/>
  <c r="AA38" i="56" s="1"/>
  <c r="AB38" i="56" a="1"/>
  <c r="AB38" i="56" s="1"/>
  <c r="Z38" i="56" a="1"/>
  <c r="Z38" i="56" s="1"/>
  <c r="M40" i="56"/>
  <c r="AC40" i="56" a="1"/>
  <c r="AC40" i="56" s="1"/>
  <c r="Z40" i="56" a="1"/>
  <c r="Z40" i="56" s="1"/>
  <c r="AA40" i="56" a="1"/>
  <c r="AA40" i="56" s="1"/>
  <c r="AB40" i="56" a="1"/>
  <c r="AB40" i="56" s="1"/>
  <c r="AD40" i="56" a="1"/>
  <c r="AD40" i="56" s="1"/>
  <c r="M31" i="56"/>
  <c r="AD31" i="56" a="1"/>
  <c r="AD31" i="56" s="1"/>
  <c r="AB31" i="56" a="1"/>
  <c r="AB31" i="56" s="1"/>
  <c r="Z31" i="56" a="1"/>
  <c r="Z31" i="56" s="1"/>
  <c r="AC31" i="56" a="1"/>
  <c r="AC31" i="56" s="1"/>
  <c r="AA31" i="56" a="1"/>
  <c r="AA31" i="56" s="1"/>
  <c r="M16" i="56"/>
  <c r="AB16" i="56" a="1"/>
  <c r="AB16" i="56" s="1"/>
  <c r="Z16" i="56" a="1"/>
  <c r="Z16" i="56" s="1"/>
  <c r="AA16" i="56" a="1"/>
  <c r="AA16" i="56" s="1"/>
  <c r="AC16" i="56" a="1"/>
  <c r="AC16" i="56" s="1"/>
  <c r="AD16" i="56" a="1"/>
  <c r="AD16" i="56" s="1"/>
  <c r="AB21" i="56" a="1"/>
  <c r="AB21" i="56" s="1"/>
  <c r="M21" i="56"/>
  <c r="AA21" i="56" a="1"/>
  <c r="AA21" i="56" s="1"/>
  <c r="Z21" i="56" a="1"/>
  <c r="Z21" i="56" s="1"/>
  <c r="AD21" i="56" a="1"/>
  <c r="AD21" i="56" s="1"/>
  <c r="AC21" i="56" a="1"/>
  <c r="AC21" i="56" s="1"/>
  <c r="AA22" i="20" a="1"/>
  <c r="AA22" i="20" s="1"/>
  <c r="AA35" i="54" a="1"/>
  <c r="AA35" i="54" s="1"/>
  <c r="Z32" i="54" a="1"/>
  <c r="Z32" i="54" s="1"/>
  <c r="Z34" i="54" a="1"/>
  <c r="Z34" i="54" s="1"/>
  <c r="AA33" i="54" a="1"/>
  <c r="AA33" i="54" s="1"/>
  <c r="AA32" i="54" a="1"/>
  <c r="AA32" i="54" s="1"/>
  <c r="AA34" i="54" a="1"/>
  <c r="AA34" i="54" s="1"/>
  <c r="Z33" i="54" a="1"/>
  <c r="Z33" i="54" s="1"/>
  <c r="Z35" i="54" a="1"/>
  <c r="Z35" i="54" s="1"/>
  <c r="AA30" i="54" a="1"/>
  <c r="AA30" i="54" s="1"/>
  <c r="AA28" i="54" a="1"/>
  <c r="AA28" i="54" s="1"/>
  <c r="AA31" i="54" a="1"/>
  <c r="AA31" i="54" s="1"/>
  <c r="Z30" i="54" a="1"/>
  <c r="Z30" i="54" s="1"/>
  <c r="AA29" i="54" a="1"/>
  <c r="AA29" i="54" s="1"/>
  <c r="Z29" i="54" a="1"/>
  <c r="Z29" i="54" s="1"/>
  <c r="Z31" i="54" a="1"/>
  <c r="Z31" i="54" s="1"/>
  <c r="Z28" i="54" a="1"/>
  <c r="Z28" i="54" s="1"/>
  <c r="AA26" i="54" a="1"/>
  <c r="AA26" i="54" s="1"/>
  <c r="AA25" i="54" a="1"/>
  <c r="AA25" i="54" s="1"/>
  <c r="AA27" i="54" a="1"/>
  <c r="AA27" i="54" s="1"/>
  <c r="Z26" i="54" a="1"/>
  <c r="Z26" i="54" s="1"/>
  <c r="Z25" i="54" a="1"/>
  <c r="Z25" i="54" s="1"/>
  <c r="AA24" i="54" a="1"/>
  <c r="AA24" i="54" s="1"/>
  <c r="Z24" i="54" a="1"/>
  <c r="Z24" i="54" s="1"/>
  <c r="Z23" i="54" a="1"/>
  <c r="Z23" i="54" s="1"/>
  <c r="Y33" i="54" a="1"/>
  <c r="Y33" i="54" s="1"/>
  <c r="Y35" i="54" a="1"/>
  <c r="Y35" i="54" s="1"/>
  <c r="Y21" i="54" a="1"/>
  <c r="Y21" i="54" s="1"/>
  <c r="Z15" i="54" a="1"/>
  <c r="Z15" i="54" s="1"/>
  <c r="Y30" i="54" a="1"/>
  <c r="Y30" i="54" s="1"/>
  <c r="Y32" i="54" a="1"/>
  <c r="Y32" i="54" s="1"/>
  <c r="AA15" i="54" a="1"/>
  <c r="AA15" i="54" s="1"/>
  <c r="Z21" i="54" a="1"/>
  <c r="Z21" i="54" s="1"/>
  <c r="AC35" i="54" a="1"/>
  <c r="AC35" i="54" s="1"/>
  <c r="Y26" i="54" a="1"/>
  <c r="Y26" i="54" s="1"/>
  <c r="Y15" i="54" a="1"/>
  <c r="Y15" i="54" s="1"/>
  <c r="Y20" i="54" a="1"/>
  <c r="Y20" i="54" s="1"/>
  <c r="AA16" i="54" a="1"/>
  <c r="AA16" i="54" s="1"/>
  <c r="Y24" i="54" a="1"/>
  <c r="Y24" i="54" s="1"/>
  <c r="Z22" i="54" a="1"/>
  <c r="Z22" i="54" s="1"/>
  <c r="AA22" i="54" a="1"/>
  <c r="AA22" i="54" s="1"/>
  <c r="Z16" i="54" a="1"/>
  <c r="Z16" i="54" s="1"/>
  <c r="AB14" i="54" a="1"/>
  <c r="AB14" i="54" s="1"/>
  <c r="Y14" i="54" a="1"/>
  <c r="Y14" i="54" s="1"/>
  <c r="Z18" i="54" a="1"/>
  <c r="Z18" i="54" s="1"/>
  <c r="AA18" i="54" a="1"/>
  <c r="AA18" i="54" s="1"/>
  <c r="Y18" i="54" a="1"/>
  <c r="Y18" i="54" s="1"/>
  <c r="AA19" i="54" a="1"/>
  <c r="AA19" i="54" s="1"/>
  <c r="Y17" i="54" a="1"/>
  <c r="Y17" i="54" s="1"/>
  <c r="Y27" i="54" a="1"/>
  <c r="Y27" i="54" s="1"/>
  <c r="Z27" i="54" a="1"/>
  <c r="Z27" i="54" s="1"/>
  <c r="Y23" i="54" a="1"/>
  <c r="Y23" i="54" s="1"/>
  <c r="AA21" i="54" a="1"/>
  <c r="AA21" i="54" s="1"/>
  <c r="Z19" i="54" a="1"/>
  <c r="Z19" i="54" s="1"/>
  <c r="Y31" i="54" a="1"/>
  <c r="Y31" i="54" s="1"/>
  <c r="Y19" i="54" a="1"/>
  <c r="Y19" i="54" s="1"/>
  <c r="Y34" i="54" a="1"/>
  <c r="Y34" i="54" s="1"/>
  <c r="Y29" i="54" a="1"/>
  <c r="Y29" i="54" s="1"/>
  <c r="Y25" i="54" a="1"/>
  <c r="Y25" i="54" s="1"/>
  <c r="AA17" i="54" a="1"/>
  <c r="AA17" i="54" s="1"/>
  <c r="Y28" i="54" a="1"/>
  <c r="Y28" i="54" s="1"/>
  <c r="Z17" i="54" a="1"/>
  <c r="Z17" i="54" s="1"/>
  <c r="AA20" i="54" a="1"/>
  <c r="AA20" i="54" s="1"/>
  <c r="AA14" i="54" a="1"/>
  <c r="AA14" i="54" s="1"/>
  <c r="Z20" i="54" a="1"/>
  <c r="Z20" i="54" s="1"/>
  <c r="Y16" i="54" a="1"/>
  <c r="Y16" i="54" s="1"/>
  <c r="Z14" i="54" a="1"/>
  <c r="Z14" i="54" s="1"/>
  <c r="Y22" i="54" a="1"/>
  <c r="Y22" i="54" s="1"/>
  <c r="AC15" i="53" a="1"/>
  <c r="AC15" i="53" s="1"/>
  <c r="AD20" i="53" a="1"/>
  <c r="AD20" i="53" s="1"/>
  <c r="AB28" i="52" a="1"/>
  <c r="AB28" i="52" s="1"/>
  <c r="AC46" i="52" a="1"/>
  <c r="AC46" i="52" s="1"/>
  <c r="Z35" i="52" a="1"/>
  <c r="Z35" i="52" s="1"/>
  <c r="AC22" i="52" a="1"/>
  <c r="AC22" i="52" s="1"/>
  <c r="AA20" i="52" a="1"/>
  <c r="AA20" i="52" s="1"/>
  <c r="AC14" i="52" a="1"/>
  <c r="AC14" i="52" s="1"/>
  <c r="AD53" i="51" a="1"/>
  <c r="AD53" i="51" s="1"/>
  <c r="AD27" i="51" a="1"/>
  <c r="AD27" i="51" s="1"/>
  <c r="AD38" i="51" a="1"/>
  <c r="AD38" i="51" s="1"/>
  <c r="AD50" i="51" a="1"/>
  <c r="AD50" i="51" s="1"/>
  <c r="AA24" i="50" a="1"/>
  <c r="AA24" i="50" s="1"/>
  <c r="AA22" i="50" a="1"/>
  <c r="AA22" i="50" s="1"/>
  <c r="AA21" i="50" a="1"/>
  <c r="AA21" i="50" s="1"/>
  <c r="AA32" i="50" a="1"/>
  <c r="AA32" i="50" s="1"/>
  <c r="AC29" i="50" a="1"/>
  <c r="AC29" i="50" s="1"/>
  <c r="Z16" i="50" a="1"/>
  <c r="Z16" i="50" s="1"/>
  <c r="AB29" i="50" a="1"/>
  <c r="AB29" i="50" s="1"/>
  <c r="AB26" i="50" a="1"/>
  <c r="AB26" i="50" s="1"/>
  <c r="AB33" i="50" a="1"/>
  <c r="AB33" i="50" s="1"/>
  <c r="AB25" i="50" a="1"/>
  <c r="AB25" i="50" s="1"/>
  <c r="Z21" i="50" a="1"/>
  <c r="Z21" i="50" s="1"/>
  <c r="AA15" i="50" a="1"/>
  <c r="AA15" i="50" s="1"/>
  <c r="Z17" i="50" a="1"/>
  <c r="Z17" i="50" s="1"/>
  <c r="AB13" i="50" a="1"/>
  <c r="AB13" i="50" s="1"/>
  <c r="AC33" i="50" a="1"/>
  <c r="AC33" i="50" s="1"/>
  <c r="Z27" i="50" a="1"/>
  <c r="Z27" i="50" s="1"/>
  <c r="AB21" i="50" a="1"/>
  <c r="AB21" i="50" s="1"/>
  <c r="AC15" i="50" a="1"/>
  <c r="AC15" i="50" s="1"/>
  <c r="AC25" i="50" a="1"/>
  <c r="AC25" i="50" s="1"/>
  <c r="AC20" i="50" a="1"/>
  <c r="AC20" i="50" s="1"/>
  <c r="AB15" i="50" a="1"/>
  <c r="AB15" i="50" s="1"/>
  <c r="AA33" i="50" a="1"/>
  <c r="AA33" i="50" s="1"/>
  <c r="AA29" i="50" a="1"/>
  <c r="AA29" i="50" s="1"/>
  <c r="AA26" i="50" a="1"/>
  <c r="AA26" i="50" s="1"/>
  <c r="AA25" i="50" a="1"/>
  <c r="AA25" i="50" s="1"/>
  <c r="AC19" i="50" a="1"/>
  <c r="AC19" i="50" s="1"/>
  <c r="AB17" i="50" a="1"/>
  <c r="AB17" i="50" s="1"/>
  <c r="AA16" i="50" a="1"/>
  <c r="AA16" i="50" s="1"/>
  <c r="AC28" i="50" a="1"/>
  <c r="AC28" i="50" s="1"/>
  <c r="Z25" i="50" a="1"/>
  <c r="Z25" i="50" s="1"/>
  <c r="AB14" i="50" a="1"/>
  <c r="AB14" i="50" s="1"/>
  <c r="AB23" i="50" a="1"/>
  <c r="AB23" i="50" s="1"/>
  <c r="Z20" i="50" a="1"/>
  <c r="Z20" i="50" s="1"/>
  <c r="AC22" i="50" a="1"/>
  <c r="AC22" i="50" s="1"/>
  <c r="Z19" i="50" a="1"/>
  <c r="Z19" i="50" s="1"/>
  <c r="AC18" i="50" a="1"/>
  <c r="AC18" i="50" s="1"/>
  <c r="Z28" i="50" a="1"/>
  <c r="Z28" i="50" s="1"/>
  <c r="AA17" i="50" a="1"/>
  <c r="AA17" i="50" s="1"/>
  <c r="AC31" i="50" a="1"/>
  <c r="AC31" i="50" s="1"/>
  <c r="AA20" i="50" a="1"/>
  <c r="AA20" i="50" s="1"/>
  <c r="AB32" i="50" a="1"/>
  <c r="AB32" i="50" s="1"/>
  <c r="AA31" i="50" a="1"/>
  <c r="AA31" i="50" s="1"/>
  <c r="AA28" i="50" a="1"/>
  <c r="AA28" i="50" s="1"/>
  <c r="Z24" i="50" a="1"/>
  <c r="Z24" i="50" s="1"/>
  <c r="AB22" i="50" a="1"/>
  <c r="AB22" i="50" s="1"/>
  <c r="AB18" i="50" a="1"/>
  <c r="AB18" i="50" s="1"/>
  <c r="Z14" i="50" a="1"/>
  <c r="Z14" i="50" s="1"/>
  <c r="AA30" i="50" a="1"/>
  <c r="AA30" i="50" s="1"/>
  <c r="AC27" i="50" a="1"/>
  <c r="AC27" i="50" s="1"/>
  <c r="AB27" i="50" a="1"/>
  <c r="AB27" i="50" s="1"/>
  <c r="Z22" i="50" a="1"/>
  <c r="Z22" i="50" s="1"/>
  <c r="AA27" i="50" a="1"/>
  <c r="AA27" i="50" s="1"/>
  <c r="AC21" i="50" a="1"/>
  <c r="AC21" i="50" s="1"/>
  <c r="AC32" i="50" a="1"/>
  <c r="AC32" i="50" s="1"/>
  <c r="Z29" i="50" a="1"/>
  <c r="Z29" i="50" s="1"/>
  <c r="Z26" i="50" a="1"/>
  <c r="Z26" i="50" s="1"/>
  <c r="AC23" i="50" a="1"/>
  <c r="AC23" i="50" s="1"/>
  <c r="AB19" i="50" a="1"/>
  <c r="AB19" i="50" s="1"/>
  <c r="AB31" i="50" a="1"/>
  <c r="AB31" i="50" s="1"/>
  <c r="AB28" i="50" a="1"/>
  <c r="AB28" i="50" s="1"/>
  <c r="AB24" i="50" a="1"/>
  <c r="AB24" i="50" s="1"/>
  <c r="AA19" i="50" a="1"/>
  <c r="AA19" i="50" s="1"/>
  <c r="AA14" i="50" a="1"/>
  <c r="AA14" i="50" s="1"/>
  <c r="Z32" i="50" a="1"/>
  <c r="Z32" i="50" s="1"/>
  <c r="Z31" i="50" a="1"/>
  <c r="Z31" i="50" s="1"/>
  <c r="AB30" i="50" a="1"/>
  <c r="AB30" i="50" s="1"/>
  <c r="Z23" i="50" a="1"/>
  <c r="Z23" i="50" s="1"/>
  <c r="AA18" i="50" a="1"/>
  <c r="AA18" i="50" s="1"/>
  <c r="AC16" i="50" a="1"/>
  <c r="AC16" i="50" s="1"/>
  <c r="Y21" i="50" a="1"/>
  <c r="Y21" i="50" s="1"/>
  <c r="Y18" i="50" a="1"/>
  <c r="Y18" i="50" s="1"/>
  <c r="Y24" i="50" a="1"/>
  <c r="Y24" i="50" s="1"/>
  <c r="AC13" i="50" a="1"/>
  <c r="AC13" i="50" s="1"/>
  <c r="Y29" i="50" a="1"/>
  <c r="Y29" i="50" s="1"/>
  <c r="Y30" i="50" a="1"/>
  <c r="Y30" i="50" s="1"/>
  <c r="Y15" i="50" a="1"/>
  <c r="Y15" i="50" s="1"/>
  <c r="Z13" i="50" a="1"/>
  <c r="Z13" i="50" s="1"/>
  <c r="Y32" i="50" a="1"/>
  <c r="Y32" i="50" s="1"/>
  <c r="AA13" i="50" a="1"/>
  <c r="AA13" i="50" s="1"/>
  <c r="Y17" i="50" a="1"/>
  <c r="Y17" i="50" s="1"/>
  <c r="Y27" i="50" a="1"/>
  <c r="Y27" i="50" s="1"/>
  <c r="AC26" i="50" a="1"/>
  <c r="AC26" i="50" s="1"/>
  <c r="Y26" i="50" a="1"/>
  <c r="Y26" i="50" s="1"/>
  <c r="Y33" i="50" a="1"/>
  <c r="Y33" i="50" s="1"/>
  <c r="Y14" i="50" a="1"/>
  <c r="Y14" i="50" s="1"/>
  <c r="AC14" i="50" a="1"/>
  <c r="AC14" i="50" s="1"/>
  <c r="AB20" i="50" a="1"/>
  <c r="AB20" i="50" s="1"/>
  <c r="Y20" i="50" a="1"/>
  <c r="Y20" i="50" s="1"/>
  <c r="Y16" i="50" a="1"/>
  <c r="Y16" i="50" s="1"/>
  <c r="Y23" i="50" a="1"/>
  <c r="Y23" i="50" s="1"/>
  <c r="Y22" i="50" a="1"/>
  <c r="Y22" i="50" s="1"/>
  <c r="Y28" i="50" a="1"/>
  <c r="Y28" i="50" s="1"/>
  <c r="Y25" i="50" a="1"/>
  <c r="Y25" i="50" s="1"/>
  <c r="Y31" i="50" a="1"/>
  <c r="Y31" i="50" s="1"/>
  <c r="Z30" i="50" a="1"/>
  <c r="Z30" i="50" s="1"/>
  <c r="Y19" i="50" a="1"/>
  <c r="Y19" i="50" s="1"/>
  <c r="AC43" i="49" a="1"/>
  <c r="AC43" i="49" s="1"/>
  <c r="AC15" i="49" a="1"/>
  <c r="AC15" i="49" s="1"/>
  <c r="AB29" i="49" a="1"/>
  <c r="AB29" i="49" s="1"/>
  <c r="AA42" i="49" a="1"/>
  <c r="AA42" i="49" s="1"/>
  <c r="AA41" i="49" a="1"/>
  <c r="AA41" i="49" s="1"/>
  <c r="Z29" i="49" a="1"/>
  <c r="Z29" i="49" s="1"/>
  <c r="AB42" i="49" a="1"/>
  <c r="AB42" i="49" s="1"/>
  <c r="Z42" i="49" a="1"/>
  <c r="Z42" i="49" s="1"/>
  <c r="AC25" i="49" a="1"/>
  <c r="AC25" i="49" s="1"/>
  <c r="Z17" i="49" a="1"/>
  <c r="Z17" i="49" s="1"/>
  <c r="AC46" i="49" a="1"/>
  <c r="AC46" i="49" s="1"/>
  <c r="AC33" i="49" a="1"/>
  <c r="AC33" i="49" s="1"/>
  <c r="Z36" i="49" a="1"/>
  <c r="Z36" i="49" s="1"/>
  <c r="AB35" i="49" a="1"/>
  <c r="AB35" i="49" s="1"/>
  <c r="AB43" i="49" a="1"/>
  <c r="AB43" i="49" s="1"/>
  <c r="AA38" i="49" a="1"/>
  <c r="AA38" i="49" s="1"/>
  <c r="Z26" i="49" a="1"/>
  <c r="Z26" i="49" s="1"/>
  <c r="AA20" i="49" a="1"/>
  <c r="AA20" i="49" s="1"/>
  <c r="AA15" i="49" a="1"/>
  <c r="AA15" i="49" s="1"/>
  <c r="Z46" i="49" a="1"/>
  <c r="Z46" i="49" s="1"/>
  <c r="Z38" i="49" a="1"/>
  <c r="Z38" i="49" s="1"/>
  <c r="AC30" i="49" a="1"/>
  <c r="AC30" i="49" s="1"/>
  <c r="Z15" i="49" a="1"/>
  <c r="Z15" i="49" s="1"/>
  <c r="AB45" i="49" a="1"/>
  <c r="AB45" i="49" s="1"/>
  <c r="Z40" i="49" a="1"/>
  <c r="Z40" i="49" s="1"/>
  <c r="AB23" i="49" a="1"/>
  <c r="AB23" i="49" s="1"/>
  <c r="AC14" i="49" a="1"/>
  <c r="AC14" i="49" s="1"/>
  <c r="Z24" i="49" a="1"/>
  <c r="Z24" i="49" s="1"/>
  <c r="AA23" i="49" a="1"/>
  <c r="AA23" i="49" s="1"/>
  <c r="AC21" i="49" a="1"/>
  <c r="AC21" i="49" s="1"/>
  <c r="AB41" i="49" a="1"/>
  <c r="AB41" i="49" s="1"/>
  <c r="AC31" i="49" a="1"/>
  <c r="AC31" i="49" s="1"/>
  <c r="AB46" i="49" a="1"/>
  <c r="AB46" i="49" s="1"/>
  <c r="Z32" i="49" a="1"/>
  <c r="Z32" i="49" s="1"/>
  <c r="AA26" i="49" a="1"/>
  <c r="AA26" i="49" s="1"/>
  <c r="AA46" i="49" a="1"/>
  <c r="AA46" i="49" s="1"/>
  <c r="AB40" i="49" a="1"/>
  <c r="AB40" i="49" s="1"/>
  <c r="AA35" i="49" a="1"/>
  <c r="AA35" i="49" s="1"/>
  <c r="Z16" i="49" a="1"/>
  <c r="Z16" i="49" s="1"/>
  <c r="Z35" i="49" a="1"/>
  <c r="Z35" i="49" s="1"/>
  <c r="AB25" i="49" a="1"/>
  <c r="AB25" i="49" s="1"/>
  <c r="AB19" i="49" a="1"/>
  <c r="AB19" i="49" s="1"/>
  <c r="AA45" i="49" a="1"/>
  <c r="AA45" i="49" s="1"/>
  <c r="AA34" i="49" a="1"/>
  <c r="AA34" i="49" s="1"/>
  <c r="AC22" i="49" a="1"/>
  <c r="AC22" i="49" s="1"/>
  <c r="Z19" i="49" a="1"/>
  <c r="Z19" i="49" s="1"/>
  <c r="AC44" i="49" a="1"/>
  <c r="AC44" i="49" s="1"/>
  <c r="AC39" i="49" a="1"/>
  <c r="AC39" i="49" s="1"/>
  <c r="AC36" i="49" a="1"/>
  <c r="AC36" i="49" s="1"/>
  <c r="Z23" i="49" a="1"/>
  <c r="Z23" i="49" s="1"/>
  <c r="AB21" i="49" a="1"/>
  <c r="AB21" i="49" s="1"/>
  <c r="AA18" i="49" a="1"/>
  <c r="AA18" i="49" s="1"/>
  <c r="AB14" i="49" a="1"/>
  <c r="AB14" i="49" s="1"/>
  <c r="AC38" i="49" a="1"/>
  <c r="AC38" i="49" s="1"/>
  <c r="AB27" i="49" a="1"/>
  <c r="AB27" i="49" s="1"/>
  <c r="AB38" i="49" a="1"/>
  <c r="AB38" i="49" s="1"/>
  <c r="AB15" i="49" a="1"/>
  <c r="AB15" i="49" s="1"/>
  <c r="AA40" i="49" a="1"/>
  <c r="AA40" i="49" s="1"/>
  <c r="AB24" i="49" a="1"/>
  <c r="AB24" i="49" s="1"/>
  <c r="AA19" i="49" a="1"/>
  <c r="AA19" i="49" s="1"/>
  <c r="AC42" i="49" a="1"/>
  <c r="AC42" i="49" s="1"/>
  <c r="AB37" i="49" a="1"/>
  <c r="AB37" i="49" s="1"/>
  <c r="Z34" i="49" a="1"/>
  <c r="Z34" i="49" s="1"/>
  <c r="AB44" i="49" a="1"/>
  <c r="AB44" i="49" s="1"/>
  <c r="AB36" i="49" a="1"/>
  <c r="AB36" i="49" s="1"/>
  <c r="Z33" i="49" a="1"/>
  <c r="Z33" i="49" s="1"/>
  <c r="Z18" i="49" a="1"/>
  <c r="Z18" i="49" s="1"/>
  <c r="AA39" i="49" a="1"/>
  <c r="AA39" i="49" s="1"/>
  <c r="AC40" i="49" a="1"/>
  <c r="AC40" i="49" s="1"/>
  <c r="AC34" i="49" a="1"/>
  <c r="AC34" i="49" s="1"/>
  <c r="AA16" i="49" a="1"/>
  <c r="AA16" i="49" s="1"/>
  <c r="AA31" i="49" a="1"/>
  <c r="AA31" i="49" s="1"/>
  <c r="AC45" i="49" a="1"/>
  <c r="AC45" i="49" s="1"/>
  <c r="Z41" i="49" a="1"/>
  <c r="Z41" i="49" s="1"/>
  <c r="AC24" i="49" a="1"/>
  <c r="AC24" i="49" s="1"/>
  <c r="Z31" i="49" a="1"/>
  <c r="Z31" i="49" s="1"/>
  <c r="AB30" i="49" a="1"/>
  <c r="AB30" i="49" s="1"/>
  <c r="Z28" i="49" a="1"/>
  <c r="Z28" i="49" s="1"/>
  <c r="AB22" i="49" a="1"/>
  <c r="AB22" i="49" s="1"/>
  <c r="AA44" i="49" a="1"/>
  <c r="AA44" i="49" s="1"/>
  <c r="AC32" i="49" a="1"/>
  <c r="AC32" i="49" s="1"/>
  <c r="AC26" i="49" a="1"/>
  <c r="AC26" i="49" s="1"/>
  <c r="AC17" i="49" a="1"/>
  <c r="AC17" i="49" s="1"/>
  <c r="Z14" i="49" a="1"/>
  <c r="Z14" i="49" s="1"/>
  <c r="AA32" i="49" a="1"/>
  <c r="AA32" i="49" s="1"/>
  <c r="AB31" i="49" a="1"/>
  <c r="AB31" i="49" s="1"/>
  <c r="AC28" i="49" a="1"/>
  <c r="AC28" i="49" s="1"/>
  <c r="AA17" i="49" a="1"/>
  <c r="AA17" i="49" s="1"/>
  <c r="AA43" i="49" a="1"/>
  <c r="AA43" i="49" s="1"/>
  <c r="AC19" i="49" a="1"/>
  <c r="AC19" i="49" s="1"/>
  <c r="Z43" i="49" a="1"/>
  <c r="Z43" i="49" s="1"/>
  <c r="AB34" i="49" a="1"/>
  <c r="AB34" i="49" s="1"/>
  <c r="AC37" i="49" a="1"/>
  <c r="AC37" i="49" s="1"/>
  <c r="AA25" i="49" a="1"/>
  <c r="AA25" i="49" s="1"/>
  <c r="AC23" i="49" a="1"/>
  <c r="AC23" i="49" s="1"/>
  <c r="AA24" i="49" a="1"/>
  <c r="AA24" i="49" s="1"/>
  <c r="AA37" i="49" a="1"/>
  <c r="AA37" i="49" s="1"/>
  <c r="AA30" i="49" a="1"/>
  <c r="AA30" i="49" s="1"/>
  <c r="AC18" i="49" a="1"/>
  <c r="AC18" i="49" s="1"/>
  <c r="Z44" i="49" a="1"/>
  <c r="Z44" i="49" s="1"/>
  <c r="AC41" i="49" a="1"/>
  <c r="AC41" i="49" s="1"/>
  <c r="AB32" i="49" a="1"/>
  <c r="AB32" i="49" s="1"/>
  <c r="AA29" i="49" a="1"/>
  <c r="AA29" i="49" s="1"/>
  <c r="AA27" i="49" a="1"/>
  <c r="AA27" i="49" s="1"/>
  <c r="Z21" i="49" a="1"/>
  <c r="Z21" i="49" s="1"/>
  <c r="AC20" i="49" a="1"/>
  <c r="AC20" i="49" s="1"/>
  <c r="AC16" i="49" a="1"/>
  <c r="AC16" i="49" s="1"/>
  <c r="Y45" i="49" a="1"/>
  <c r="Y45" i="49" s="1"/>
  <c r="Y21" i="49" a="1"/>
  <c r="Y21" i="49" s="1"/>
  <c r="Y46" i="49" a="1"/>
  <c r="Y46" i="49" s="1"/>
  <c r="Y26" i="49" a="1"/>
  <c r="Y26" i="49" s="1"/>
  <c r="AA21" i="49" a="1"/>
  <c r="AA21" i="49" s="1"/>
  <c r="Y39" i="49" a="1"/>
  <c r="Y39" i="49" s="1"/>
  <c r="Y33" i="49" a="1"/>
  <c r="Y33" i="49" s="1"/>
  <c r="AC29" i="49" a="1"/>
  <c r="AC29" i="49" s="1"/>
  <c r="Y29" i="49" a="1"/>
  <c r="Y29" i="49" s="1"/>
  <c r="Y40" i="49" a="1"/>
  <c r="Y40" i="49" s="1"/>
  <c r="Y24" i="49" a="1"/>
  <c r="Y24" i="49" s="1"/>
  <c r="Y43" i="49" a="1"/>
  <c r="Y43" i="49" s="1"/>
  <c r="Y34" i="49" a="1"/>
  <c r="Y34" i="49" s="1"/>
  <c r="Y42" i="49" a="1"/>
  <c r="Y42" i="49" s="1"/>
  <c r="AD42" i="49" a="1"/>
  <c r="AD42" i="49" s="1"/>
  <c r="Y38" i="49" a="1"/>
  <c r="Y38" i="49" s="1"/>
  <c r="Z25" i="49" a="1"/>
  <c r="Z25" i="49" s="1"/>
  <c r="Y25" i="49" a="1"/>
  <c r="Y25" i="49" s="1"/>
  <c r="AB16" i="49" a="1"/>
  <c r="AB16" i="49" s="1"/>
  <c r="Y16" i="49" a="1"/>
  <c r="Y16" i="49" s="1"/>
  <c r="Y31" i="49" a="1"/>
  <c r="Y31" i="49" s="1"/>
  <c r="Z30" i="49" a="1"/>
  <c r="Z30" i="49" s="1"/>
  <c r="Y30" i="49" a="1"/>
  <c r="Y30" i="49" s="1"/>
  <c r="Y22" i="49" a="1"/>
  <c r="Y22" i="49" s="1"/>
  <c r="Z39" i="49" a="1"/>
  <c r="Z39" i="49" s="1"/>
  <c r="Y37" i="49" a="1"/>
  <c r="Y37" i="49" s="1"/>
  <c r="Y44" i="49" a="1"/>
  <c r="Y44" i="49" s="1"/>
  <c r="Y28" i="49" a="1"/>
  <c r="Y28" i="49" s="1"/>
  <c r="Y41" i="49" a="1"/>
  <c r="Y41" i="49" s="1"/>
  <c r="Y36" i="49" a="1"/>
  <c r="Y36" i="49" s="1"/>
  <c r="Y32" i="49" a="1"/>
  <c r="Y32" i="49" s="1"/>
  <c r="Y23" i="49" a="1"/>
  <c r="Y23" i="49" s="1"/>
  <c r="Y19" i="49" a="1"/>
  <c r="Y19" i="49" s="1"/>
  <c r="Y18" i="49" a="1"/>
  <c r="Y18" i="49" s="1"/>
  <c r="Y20" i="49" a="1"/>
  <c r="Y20" i="49" s="1"/>
  <c r="Y15" i="49" a="1"/>
  <c r="Y15" i="49" s="1"/>
  <c r="Y17" i="49" a="1"/>
  <c r="Y17" i="49" s="1"/>
  <c r="Y35" i="49" a="1"/>
  <c r="Y35" i="49" s="1"/>
  <c r="Y27" i="49" a="1"/>
  <c r="Y27" i="49" s="1"/>
  <c r="Z22" i="49" a="1"/>
  <c r="Z22" i="49" s="1"/>
  <c r="Y14" i="49" a="1"/>
  <c r="Y14" i="49" s="1"/>
  <c r="AA22" i="48" a="1"/>
  <c r="AA22" i="48" s="1"/>
  <c r="Z22" i="48" a="1"/>
  <c r="Z22" i="48" s="1"/>
  <c r="AA37" i="48" a="1"/>
  <c r="AA37" i="48" s="1"/>
  <c r="Z19" i="48" a="1"/>
  <c r="Z19" i="48" s="1"/>
  <c r="Z43" i="48" a="1"/>
  <c r="Z43" i="48" s="1"/>
  <c r="Z48" i="48" a="1"/>
  <c r="Z48" i="48" s="1"/>
  <c r="AA48" i="48" a="1"/>
  <c r="AA48" i="48" s="1"/>
  <c r="AB48" i="48" a="1"/>
  <c r="AB48" i="48" s="1"/>
  <c r="AD44" i="48" a="1"/>
  <c r="AD44" i="48" s="1"/>
  <c r="AC44" i="48" a="1"/>
  <c r="AC44" i="48" s="1"/>
  <c r="Z31" i="48" a="1"/>
  <c r="Z31" i="48" s="1"/>
  <c r="AB14" i="48" a="1"/>
  <c r="AB14" i="48" s="1"/>
  <c r="Z14" i="48" a="1"/>
  <c r="Z14" i="48" s="1"/>
  <c r="AA31" i="48" a="1"/>
  <c r="AA31" i="48" s="1"/>
  <c r="AB44" i="48" a="1"/>
  <c r="AB44" i="48" s="1"/>
  <c r="AC38" i="48" a="1"/>
  <c r="AC38" i="48" s="1"/>
  <c r="AC29" i="48" a="1"/>
  <c r="AC29" i="48" s="1"/>
  <c r="AA50" i="48" a="1"/>
  <c r="AA50" i="48" s="1"/>
  <c r="AB35" i="48" a="1"/>
  <c r="AB35" i="48" s="1"/>
  <c r="AA40" i="48" a="1"/>
  <c r="AA40" i="48" s="1"/>
  <c r="AC33" i="48" a="1"/>
  <c r="AC33" i="48" s="1"/>
  <c r="AB26" i="48" a="1"/>
  <c r="AB26" i="48" s="1"/>
  <c r="AC16" i="48" a="1"/>
  <c r="AC16" i="48" s="1"/>
  <c r="AA34" i="48" a="1"/>
  <c r="AA34" i="48" s="1"/>
  <c r="Z29" i="48" a="1"/>
  <c r="Z29" i="48" s="1"/>
  <c r="AB21" i="48" a="1"/>
  <c r="AB21" i="48" s="1"/>
  <c r="AA17" i="48" a="1"/>
  <c r="AA17" i="48" s="1"/>
  <c r="AB53" i="48" a="1"/>
  <c r="AB53" i="48" s="1"/>
  <c r="AB42" i="48" a="1"/>
  <c r="AB42" i="48" s="1"/>
  <c r="AA28" i="48" a="1"/>
  <c r="AA28" i="48" s="1"/>
  <c r="AC14" i="48" a="1"/>
  <c r="AC14" i="48" s="1"/>
  <c r="AC51" i="48" a="1"/>
  <c r="AC51" i="48" s="1"/>
  <c r="AB45" i="48" a="1"/>
  <c r="AB45" i="48" s="1"/>
  <c r="AA42" i="48" a="1"/>
  <c r="AA42" i="48" s="1"/>
  <c r="AA53" i="48" a="1"/>
  <c r="AA53" i="48" s="1"/>
  <c r="AA45" i="48" a="1"/>
  <c r="AA45" i="48" s="1"/>
  <c r="AC43" i="48" a="1"/>
  <c r="AC43" i="48" s="1"/>
  <c r="AB39" i="48" a="1"/>
  <c r="AB39" i="48" s="1"/>
  <c r="Z38" i="48" a="1"/>
  <c r="Z38" i="48" s="1"/>
  <c r="AC31" i="48" a="1"/>
  <c r="AC31" i="48" s="1"/>
  <c r="AA24" i="48" a="1"/>
  <c r="AA24" i="48" s="1"/>
  <c r="AA52" i="48" a="1"/>
  <c r="AA52" i="48" s="1"/>
  <c r="AC34" i="48" a="1"/>
  <c r="AC34" i="48" s="1"/>
  <c r="Z52" i="48" a="1"/>
  <c r="Z52" i="48" s="1"/>
  <c r="AC32" i="48" a="1"/>
  <c r="AC32" i="48" s="1"/>
  <c r="AC21" i="48" a="1"/>
  <c r="AC21" i="48" s="1"/>
  <c r="AC48" i="48" a="1"/>
  <c r="AC48" i="48" s="1"/>
  <c r="AC20" i="48" a="1"/>
  <c r="AC20" i="48" s="1"/>
  <c r="AC15" i="48" a="1"/>
  <c r="AC15" i="48" s="1"/>
  <c r="AB46" i="48" a="1"/>
  <c r="AB46" i="48" s="1"/>
  <c r="AB38" i="48" a="1"/>
  <c r="AB38" i="48" s="1"/>
  <c r="AA33" i="48" a="1"/>
  <c r="AA33" i="48" s="1"/>
  <c r="Z26" i="48" a="1"/>
  <c r="Z26" i="48" s="1"/>
  <c r="Z33" i="48" a="1"/>
  <c r="Z33" i="48" s="1"/>
  <c r="AA15" i="48" a="1"/>
  <c r="AA15" i="48" s="1"/>
  <c r="AB24" i="48" a="1"/>
  <c r="AB24" i="48" s="1"/>
  <c r="AC19" i="48" a="1"/>
  <c r="AC19" i="48" s="1"/>
  <c r="Z15" i="48" a="1"/>
  <c r="Z15" i="48" s="1"/>
  <c r="AA49" i="48" a="1"/>
  <c r="AA49" i="48" s="1"/>
  <c r="Z45" i="48" a="1"/>
  <c r="Z45" i="48" s="1"/>
  <c r="Z24" i="48" a="1"/>
  <c r="Z24" i="48" s="1"/>
  <c r="AC41" i="48" a="1"/>
  <c r="AC41" i="48" s="1"/>
  <c r="AA54" i="48" a="1"/>
  <c r="AA54" i="48" s="1"/>
  <c r="Z37" i="48" a="1"/>
  <c r="Z37" i="48" s="1"/>
  <c r="Z54" i="48" a="1"/>
  <c r="Z54" i="48" s="1"/>
  <c r="AC28" i="48" a="1"/>
  <c r="AC28" i="48" s="1"/>
  <c r="Z50" i="48" a="1"/>
  <c r="Z50" i="48" s="1"/>
  <c r="AB32" i="48" a="1"/>
  <c r="AB32" i="48" s="1"/>
  <c r="AA26" i="48" a="1"/>
  <c r="AA26" i="48" s="1"/>
  <c r="AC53" i="48" a="1"/>
  <c r="AC53" i="48" s="1"/>
  <c r="AB25" i="48" a="1"/>
  <c r="AB25" i="48" s="1"/>
  <c r="AC24" i="48" a="1"/>
  <c r="AC24" i="48" s="1"/>
  <c r="Z46" i="48" a="1"/>
  <c r="Z46" i="48" s="1"/>
  <c r="AC39" i="48" a="1"/>
  <c r="AC39" i="48" s="1"/>
  <c r="AC23" i="48" a="1"/>
  <c r="AC23" i="48" s="1"/>
  <c r="AC54" i="48" a="1"/>
  <c r="AC54" i="48" s="1"/>
  <c r="Z53" i="48" a="1"/>
  <c r="Z53" i="48" s="1"/>
  <c r="Z49" i="48" a="1"/>
  <c r="Z49" i="48" s="1"/>
  <c r="AB43" i="48" a="1"/>
  <c r="AB43" i="48" s="1"/>
  <c r="AC37" i="48" a="1"/>
  <c r="AC37" i="48" s="1"/>
  <c r="AC30" i="48" a="1"/>
  <c r="AC30" i="48" s="1"/>
  <c r="AC22" i="48" a="1"/>
  <c r="AC22" i="48" s="1"/>
  <c r="AA19" i="48" a="1"/>
  <c r="AA19" i="48" s="1"/>
  <c r="AC18" i="48" a="1"/>
  <c r="AC18" i="48" s="1"/>
  <c r="AA14" i="48" a="1"/>
  <c r="AA14" i="48" s="1"/>
  <c r="AB50" i="48" a="1"/>
  <c r="AB50" i="48" s="1"/>
  <c r="AC40" i="48" a="1"/>
  <c r="AC40" i="48" s="1"/>
  <c r="AA27" i="48" a="1"/>
  <c r="AA27" i="48" s="1"/>
  <c r="AB40" i="48" a="1"/>
  <c r="AB40" i="48" s="1"/>
  <c r="Z36" i="48" a="1"/>
  <c r="Z36" i="48" s="1"/>
  <c r="AC17" i="48" a="1"/>
  <c r="AC17" i="48" s="1"/>
  <c r="Z47" i="48" a="1"/>
  <c r="Z47" i="48" s="1"/>
  <c r="AA35" i="48" a="1"/>
  <c r="AA35" i="48" s="1"/>
  <c r="AA29" i="48" a="1"/>
  <c r="AA29" i="48" s="1"/>
  <c r="AC46" i="48" a="1"/>
  <c r="AC46" i="48" s="1"/>
  <c r="Z40" i="48" a="1"/>
  <c r="Z40" i="48" s="1"/>
  <c r="Z35" i="48" a="1"/>
  <c r="Z35" i="48" s="1"/>
  <c r="AB28" i="48" a="1"/>
  <c r="AB28" i="48" s="1"/>
  <c r="AB16" i="48" a="1"/>
  <c r="AB16" i="48" s="1"/>
  <c r="AC45" i="48" a="1"/>
  <c r="AC45" i="48" s="1"/>
  <c r="AC42" i="48" a="1"/>
  <c r="AC42" i="48" s="1"/>
  <c r="AA32" i="48" a="1"/>
  <c r="AA32" i="48" s="1"/>
  <c r="AB20" i="48" a="1"/>
  <c r="AB20" i="48" s="1"/>
  <c r="AB15" i="48" a="1"/>
  <c r="AB15" i="48" s="1"/>
  <c r="AA46" i="48" a="1"/>
  <c r="AA46" i="48" s="1"/>
  <c r="AA38" i="48" a="1"/>
  <c r="AA38" i="48" s="1"/>
  <c r="Z32" i="48" a="1"/>
  <c r="Z32" i="48" s="1"/>
  <c r="Z16" i="48" a="1"/>
  <c r="Z16" i="48" s="1"/>
  <c r="Z28" i="48" a="1"/>
  <c r="Z28" i="48" s="1"/>
  <c r="AB41" i="48" a="1"/>
  <c r="AB41" i="48" s="1"/>
  <c r="AB37" i="48" a="1"/>
  <c r="AB37" i="48" s="1"/>
  <c r="AC36" i="48" a="1"/>
  <c r="AC36" i="48" s="1"/>
  <c r="AB30" i="48" a="1"/>
  <c r="AB30" i="48" s="1"/>
  <c r="AA23" i="48" a="1"/>
  <c r="AA23" i="48" s="1"/>
  <c r="AB22" i="48" a="1"/>
  <c r="AB22" i="48" s="1"/>
  <c r="AB18" i="48" a="1"/>
  <c r="AB18" i="48" s="1"/>
  <c r="AB47" i="48" a="1"/>
  <c r="AB47" i="48" s="1"/>
  <c r="AC26" i="48" a="1"/>
  <c r="AC26" i="48" s="1"/>
  <c r="AA47" i="48" a="1"/>
  <c r="AA47" i="48" s="1"/>
  <c r="AB29" i="48" a="1"/>
  <c r="AB29" i="48" s="1"/>
  <c r="AA44" i="48" a="1"/>
  <c r="AA44" i="48" s="1"/>
  <c r="AB33" i="48" a="1"/>
  <c r="AB33" i="48" s="1"/>
  <c r="AC25" i="48" a="1"/>
  <c r="AC25" i="48" s="1"/>
  <c r="Z44" i="48" a="1"/>
  <c r="Z44" i="48" s="1"/>
  <c r="AA25" i="48" a="1"/>
  <c r="AA25" i="48" s="1"/>
  <c r="AA20" i="48" a="1"/>
  <c r="AA20" i="48" s="1"/>
  <c r="AC52" i="48" a="1"/>
  <c r="AC52" i="48" s="1"/>
  <c r="AA41" i="48" a="1"/>
  <c r="AA41" i="48" s="1"/>
  <c r="AB36" i="48" a="1"/>
  <c r="AB36" i="48" s="1"/>
  <c r="AA30" i="48" a="1"/>
  <c r="AA30" i="48" s="1"/>
  <c r="AB27" i="48" a="1"/>
  <c r="AB27" i="48" s="1"/>
  <c r="Z23" i="48" a="1"/>
  <c r="Z23" i="48" s="1"/>
  <c r="AA18" i="48" a="1"/>
  <c r="AA18" i="48" s="1"/>
  <c r="Y51" i="48" a="1"/>
  <c r="Y51" i="48" s="1"/>
  <c r="Y40" i="48" a="1"/>
  <c r="Y40" i="48" s="1"/>
  <c r="Y33" i="48" a="1"/>
  <c r="Y33" i="48" s="1"/>
  <c r="Y53" i="48" a="1"/>
  <c r="Y53" i="48" s="1"/>
  <c r="Y22" i="48" a="1"/>
  <c r="Y22" i="48" s="1"/>
  <c r="Y18" i="48" a="1"/>
  <c r="Y18" i="48" s="1"/>
  <c r="Y42" i="48" a="1"/>
  <c r="Y42" i="48" s="1"/>
  <c r="Y47" i="48" a="1"/>
  <c r="Y47" i="48" s="1"/>
  <c r="AA16" i="48" a="1"/>
  <c r="AA16" i="48" s="1"/>
  <c r="Y16" i="48" a="1"/>
  <c r="Y16" i="48" s="1"/>
  <c r="Y50" i="48" a="1"/>
  <c r="Y50" i="48" s="1"/>
  <c r="Y34" i="48" a="1"/>
  <c r="Y34" i="48" s="1"/>
  <c r="AB34" i="48" a="1"/>
  <c r="AB34" i="48" s="1"/>
  <c r="Y39" i="48" a="1"/>
  <c r="Y39" i="48" s="1"/>
  <c r="Y45" i="48" a="1"/>
  <c r="Y45" i="48" s="1"/>
  <c r="Y36" i="48" a="1"/>
  <c r="Y36" i="48" s="1"/>
  <c r="Y28" i="48" a="1"/>
  <c r="Y28" i="48" s="1"/>
  <c r="Y21" i="48" a="1"/>
  <c r="Y21" i="48" s="1"/>
  <c r="Y19" i="48" a="1"/>
  <c r="Y19" i="48" s="1"/>
  <c r="Y17" i="48" a="1"/>
  <c r="Y17" i="48" s="1"/>
  <c r="Y46" i="48" a="1"/>
  <c r="Y46" i="48" s="1"/>
  <c r="Y44" i="48" a="1"/>
  <c r="Y44" i="48" s="1"/>
  <c r="Y38" i="48" a="1"/>
  <c r="Y38" i="48" s="1"/>
  <c r="Y37" i="48" a="1"/>
  <c r="Y37" i="48" s="1"/>
  <c r="Y32" i="48" a="1"/>
  <c r="Y32" i="48" s="1"/>
  <c r="Y24" i="48" a="1"/>
  <c r="Y24" i="48" s="1"/>
  <c r="Y14" i="48" a="1"/>
  <c r="Y14" i="48" s="1"/>
  <c r="Y41" i="48" a="1"/>
  <c r="Y41" i="48" s="1"/>
  <c r="Y25" i="48" a="1"/>
  <c r="Y25" i="48" s="1"/>
  <c r="Y43" i="48" a="1"/>
  <c r="Y43" i="48" s="1"/>
  <c r="Y35" i="48" a="1"/>
  <c r="Y35" i="48" s="1"/>
  <c r="Z20" i="48" a="1"/>
  <c r="Z20" i="48" s="1"/>
  <c r="Y20" i="48" a="1"/>
  <c r="Y20" i="48" s="1"/>
  <c r="Y54" i="48" a="1"/>
  <c r="Y54" i="48" s="1"/>
  <c r="Y48" i="48" a="1"/>
  <c r="Y48" i="48" s="1"/>
  <c r="Y27" i="48" a="1"/>
  <c r="Y27" i="48" s="1"/>
  <c r="Y30" i="48" a="1"/>
  <c r="Y30" i="48" s="1"/>
  <c r="Y52" i="48" a="1"/>
  <c r="Y52" i="48" s="1"/>
  <c r="Y23" i="48" a="1"/>
  <c r="Y23" i="48" s="1"/>
  <c r="Y29" i="48" a="1"/>
  <c r="Y29" i="48" s="1"/>
  <c r="Y49" i="48" a="1"/>
  <c r="Y49" i="48" s="1"/>
  <c r="Y26" i="48" a="1"/>
  <c r="Y26" i="48" s="1"/>
  <c r="Y15" i="48" a="1"/>
  <c r="Y15" i="48" s="1"/>
  <c r="Y31" i="48" a="1"/>
  <c r="Y31" i="48" s="1"/>
  <c r="AC58" i="47" a="1"/>
  <c r="AC58" i="47" s="1"/>
  <c r="AB58" i="47" a="1"/>
  <c r="AB58" i="47" s="1"/>
  <c r="Z43" i="47" a="1"/>
  <c r="Z43" i="47" s="1"/>
  <c r="AC24" i="47" a="1"/>
  <c r="AC24" i="47" s="1"/>
  <c r="AA57" i="47" a="1"/>
  <c r="AA57" i="47" s="1"/>
  <c r="AA42" i="47" a="1"/>
  <c r="AA42" i="47" s="1"/>
  <c r="AA25" i="47" a="1"/>
  <c r="AA25" i="47" s="1"/>
  <c r="AB24" i="47" a="1"/>
  <c r="AB24" i="47" s="1"/>
  <c r="AB14" i="47" a="1"/>
  <c r="AB14" i="47" s="1"/>
  <c r="Z52" i="47" a="1"/>
  <c r="Z52" i="47" s="1"/>
  <c r="AB52" i="47" a="1"/>
  <c r="AB52" i="47" s="1"/>
  <c r="AA52" i="47" a="1"/>
  <c r="AA52" i="47" s="1"/>
  <c r="Z69" i="47" a="1"/>
  <c r="Z69" i="47" s="1"/>
  <c r="AF54" i="47" a="1"/>
  <c r="AF54" i="47" s="1"/>
  <c r="Z54" i="47" a="1"/>
  <c r="Z54" i="47" s="1"/>
  <c r="AC42" i="47" a="1"/>
  <c r="AC42" i="47" s="1"/>
  <c r="AC40" i="47" a="1"/>
  <c r="AC40" i="47" s="1"/>
  <c r="AB22" i="47" a="1"/>
  <c r="AB22" i="47" s="1"/>
  <c r="AA14" i="47" a="1"/>
  <c r="AA14" i="47" s="1"/>
  <c r="Z38" i="47" a="1"/>
  <c r="Z38" i="47" s="1"/>
  <c r="AC69" i="47" a="1"/>
  <c r="AC69" i="47" s="1"/>
  <c r="Z64" i="47" a="1"/>
  <c r="Z64" i="47" s="1"/>
  <c r="Z48" i="47" a="1"/>
  <c r="Z48" i="47" s="1"/>
  <c r="AA48" i="47" a="1"/>
  <c r="AA48" i="47" s="1"/>
  <c r="AB42" i="47" a="1"/>
  <c r="AB42" i="47" s="1"/>
  <c r="AB32" i="47" a="1"/>
  <c r="AB32" i="47" s="1"/>
  <c r="AC18" i="47" a="1"/>
  <c r="AC18" i="47" s="1"/>
  <c r="AA38" i="47" a="1"/>
  <c r="AA38" i="47" s="1"/>
  <c r="AC62" i="47" a="1"/>
  <c r="AC62" i="47" s="1"/>
  <c r="AA60" i="47" a="1"/>
  <c r="AA60" i="47" s="1"/>
  <c r="AC55" i="47" a="1"/>
  <c r="AC55" i="47" s="1"/>
  <c r="AA21" i="47" a="1"/>
  <c r="AA21" i="47" s="1"/>
  <c r="Z14" i="47" a="1"/>
  <c r="Z14" i="47" s="1"/>
  <c r="AB70" i="47" a="1"/>
  <c r="AB70" i="47" s="1"/>
  <c r="AA63" i="47" a="1"/>
  <c r="AA63" i="47" s="1"/>
  <c r="AA32" i="47" a="1"/>
  <c r="AA32" i="47" s="1"/>
  <c r="Z23" i="47" a="1"/>
  <c r="Z23" i="47" s="1"/>
  <c r="AB19" i="47" a="1"/>
  <c r="AB19" i="47" s="1"/>
  <c r="AA54" i="47" a="1"/>
  <c r="AA54" i="47" s="1"/>
  <c r="AA51" i="47" a="1"/>
  <c r="AA51" i="47" s="1"/>
  <c r="AB37" i="47" a="1"/>
  <c r="AB37" i="47" s="1"/>
  <c r="AB46" i="47" a="1"/>
  <c r="AB46" i="47" s="1"/>
  <c r="AB66" i="47" a="1"/>
  <c r="AB66" i="47" s="1"/>
  <c r="AB63" i="47" a="1"/>
  <c r="AB63" i="47" s="1"/>
  <c r="AC57" i="47" a="1"/>
  <c r="AC57" i="47" s="1"/>
  <c r="Z37" i="47" a="1"/>
  <c r="Z37" i="47" s="1"/>
  <c r="Z32" i="47" a="1"/>
  <c r="Z32" i="47" s="1"/>
  <c r="AB26" i="47" a="1"/>
  <c r="AB26" i="47" s="1"/>
  <c r="AB23" i="47" a="1"/>
  <c r="AB23" i="47" s="1"/>
  <c r="AC16" i="47" a="1"/>
  <c r="AC16" i="47" s="1"/>
  <c r="AB68" i="47" a="1"/>
  <c r="AB68" i="47" s="1"/>
  <c r="AA66" i="47" a="1"/>
  <c r="AA66" i="47" s="1"/>
  <c r="Z61" i="47" a="1"/>
  <c r="Z61" i="47" s="1"/>
  <c r="AD59" i="47" a="1"/>
  <c r="AD59" i="47" s="1"/>
  <c r="AB57" i="47" a="1"/>
  <c r="AB57" i="47" s="1"/>
  <c r="AC48" i="47" a="1"/>
  <c r="AC48" i="47" s="1"/>
  <c r="Z46" i="47" a="1"/>
  <c r="Z46" i="47" s="1"/>
  <c r="Z39" i="47" a="1"/>
  <c r="Z39" i="47" s="1"/>
  <c r="Z34" i="47" a="1"/>
  <c r="Z34" i="47" s="1"/>
  <c r="AC33" i="47" a="1"/>
  <c r="AC33" i="47" s="1"/>
  <c r="Z31" i="47" a="1"/>
  <c r="Z31" i="47" s="1"/>
  <c r="AA28" i="47" a="1"/>
  <c r="AA28" i="47" s="1"/>
  <c r="AA26" i="47" a="1"/>
  <c r="AA26" i="47" s="1"/>
  <c r="AC22" i="47" a="1"/>
  <c r="AC22" i="47" s="1"/>
  <c r="Z20" i="47" a="1"/>
  <c r="Z20" i="47" s="1"/>
  <c r="AC19" i="47" a="1"/>
  <c r="AC19" i="47" s="1"/>
  <c r="Z17" i="47" a="1"/>
  <c r="Z17" i="47" s="1"/>
  <c r="AB16" i="47" a="1"/>
  <c r="AB16" i="47" s="1"/>
  <c r="AB65" i="47" a="1"/>
  <c r="AB65" i="47" s="1"/>
  <c r="AB17" i="47" a="1"/>
  <c r="AB17" i="47" s="1"/>
  <c r="Z70" i="47" a="1"/>
  <c r="Z70" i="47" s="1"/>
  <c r="AB61" i="47" a="1"/>
  <c r="AB61" i="47" s="1"/>
  <c r="AC52" i="47" a="1"/>
  <c r="AC52" i="47" s="1"/>
  <c r="AB31" i="47" a="1"/>
  <c r="AB31" i="47" s="1"/>
  <c r="AA44" i="47" a="1"/>
  <c r="AA44" i="47" s="1"/>
  <c r="AA37" i="47" a="1"/>
  <c r="AA37" i="47" s="1"/>
  <c r="AA34" i="47" a="1"/>
  <c r="AA34" i="47" s="1"/>
  <c r="AA31" i="47" a="1"/>
  <c r="AA31" i="47" s="1"/>
  <c r="AC26" i="47" a="1"/>
  <c r="AC26" i="47" s="1"/>
  <c r="AA17" i="47" a="1"/>
  <c r="AA17" i="47" s="1"/>
  <c r="AC68" i="47" a="1"/>
  <c r="AC68" i="47" s="1"/>
  <c r="AA61" i="47" a="1"/>
  <c r="AA61" i="47" s="1"/>
  <c r="AC59" i="47" a="1"/>
  <c r="AC59" i="47" s="1"/>
  <c r="Z58" i="47" a="1"/>
  <c r="Z58" i="47" s="1"/>
  <c r="Z56" i="47" a="1"/>
  <c r="Z56" i="47" s="1"/>
  <c r="AA46" i="47" a="1"/>
  <c r="AA46" i="47" s="1"/>
  <c r="Z40" i="47" a="1"/>
  <c r="Z40" i="47" s="1"/>
  <c r="AA39" i="47" a="1"/>
  <c r="AA39" i="47" s="1"/>
  <c r="AB28" i="47" a="1"/>
  <c r="AB28" i="47" s="1"/>
  <c r="AC25" i="47" a="1"/>
  <c r="AC25" i="47" s="1"/>
  <c r="AC14" i="47" a="1"/>
  <c r="AC14" i="47" s="1"/>
  <c r="Z65" i="47" a="1"/>
  <c r="Z65" i="47" s="1"/>
  <c r="AC53" i="47" a="1"/>
  <c r="AC53" i="47" s="1"/>
  <c r="AB48" i="47" a="1"/>
  <c r="AB48" i="47" s="1"/>
  <c r="AB33" i="47" a="1"/>
  <c r="AB33" i="47" s="1"/>
  <c r="Z26" i="47" a="1"/>
  <c r="Z26" i="47" s="1"/>
  <c r="AA16" i="47" a="1"/>
  <c r="AA16" i="47" s="1"/>
  <c r="AC15" i="47" a="1"/>
  <c r="AC15" i="47" s="1"/>
  <c r="AC51" i="47" a="1"/>
  <c r="AC51" i="47" s="1"/>
  <c r="AC31" i="47" a="1"/>
  <c r="AC31" i="47" s="1"/>
  <c r="AB44" i="47" a="1"/>
  <c r="AB44" i="47" s="1"/>
  <c r="Z29" i="47" a="1"/>
  <c r="Z29" i="47" s="1"/>
  <c r="AA58" i="47" a="1"/>
  <c r="AA58" i="47" s="1"/>
  <c r="AA40" i="47" a="1"/>
  <c r="AA40" i="47" s="1"/>
  <c r="Z66" i="47" a="1"/>
  <c r="Z66" i="47" s="1"/>
  <c r="AA59" i="47" a="1"/>
  <c r="AA59" i="47" s="1"/>
  <c r="AB53" i="47" a="1"/>
  <c r="AB53" i="47" s="1"/>
  <c r="AC35" i="47" a="1"/>
  <c r="AC35" i="47" s="1"/>
  <c r="AC30" i="47" a="1"/>
  <c r="AC30" i="47" s="1"/>
  <c r="AB15" i="47" a="1"/>
  <c r="AB15" i="47" s="1"/>
  <c r="AB56" i="47" a="1"/>
  <c r="AB56" i="47" s="1"/>
  <c r="AC46" i="47" a="1"/>
  <c r="AC46" i="47" s="1"/>
  <c r="AC37" i="47" a="1"/>
  <c r="AC37" i="47" s="1"/>
  <c r="AB34" i="47" a="1"/>
  <c r="AB34" i="47" s="1"/>
  <c r="AC20" i="47" a="1"/>
  <c r="AC20" i="47" s="1"/>
  <c r="AB40" i="47" a="1"/>
  <c r="AB40" i="47" s="1"/>
  <c r="AB62" i="47" a="1"/>
  <c r="AB62" i="47" s="1"/>
  <c r="Z59" i="47" a="1"/>
  <c r="Z59" i="47" s="1"/>
  <c r="AB50" i="47" a="1"/>
  <c r="AB50" i="47" s="1"/>
  <c r="AC45" i="47" a="1"/>
  <c r="AC45" i="47" s="1"/>
  <c r="Z33" i="47" a="1"/>
  <c r="Z33" i="47" s="1"/>
  <c r="AA15" i="47" a="1"/>
  <c r="AA15" i="47" s="1"/>
  <c r="Z68" i="47" a="1"/>
  <c r="Z68" i="47" s="1"/>
  <c r="AA62" i="47" a="1"/>
  <c r="AA62" i="47" s="1"/>
  <c r="Z57" i="47" a="1"/>
  <c r="Z57" i="47" s="1"/>
  <c r="AA45" i="47" a="1"/>
  <c r="AA45" i="47" s="1"/>
  <c r="AA43" i="47" a="1"/>
  <c r="AA43" i="47" s="1"/>
  <c r="AC38" i="47" a="1"/>
  <c r="AC38" i="47" s="1"/>
  <c r="Z25" i="47" a="1"/>
  <c r="Z25" i="47" s="1"/>
  <c r="AB18" i="47" a="1"/>
  <c r="AB18" i="47" s="1"/>
  <c r="AB64" i="47" a="1"/>
  <c r="AB64" i="47" s="1"/>
  <c r="Z62" i="47" a="1"/>
  <c r="Z62" i="47" s="1"/>
  <c r="AB60" i="47" a="1"/>
  <c r="AB60" i="47" s="1"/>
  <c r="Z55" i="47" a="1"/>
  <c r="Z55" i="47" s="1"/>
  <c r="AA50" i="47" a="1"/>
  <c r="AA50" i="47" s="1"/>
  <c r="AC49" i="47" a="1"/>
  <c r="AC49" i="47" s="1"/>
  <c r="Z36" i="47" a="1"/>
  <c r="Z36" i="47" s="1"/>
  <c r="AA35" i="47" a="1"/>
  <c r="AA35" i="47" s="1"/>
  <c r="AA18" i="47" a="1"/>
  <c r="AA18" i="47" s="1"/>
  <c r="AA70" i="47" a="1"/>
  <c r="AA70" i="47" s="1"/>
  <c r="AC66" i="47" a="1"/>
  <c r="AC66" i="47" s="1"/>
  <c r="Z21" i="47" a="1"/>
  <c r="Z21" i="47" s="1"/>
  <c r="AA56" i="47" a="1"/>
  <c r="AA56" i="47" s="1"/>
  <c r="Z49" i="47" a="1"/>
  <c r="Z49" i="47" s="1"/>
  <c r="Z24" i="47" a="1"/>
  <c r="Z24" i="47" s="1"/>
  <c r="Z63" i="47" a="1"/>
  <c r="Z63" i="47" s="1"/>
  <c r="AA53" i="47" a="1"/>
  <c r="AA53" i="47" s="1"/>
  <c r="AC43" i="47" a="1"/>
  <c r="AC43" i="47" s="1"/>
  <c r="Z42" i="47" a="1"/>
  <c r="Z42" i="47" s="1"/>
  <c r="AA33" i="47" a="1"/>
  <c r="AA33" i="47" s="1"/>
  <c r="AB30" i="47" a="1"/>
  <c r="AB30" i="47" s="1"/>
  <c r="AA19" i="47" a="1"/>
  <c r="AA19" i="47" s="1"/>
  <c r="AC67" i="47" a="1"/>
  <c r="AC67" i="47" s="1"/>
  <c r="AC60" i="47" a="1"/>
  <c r="AC60" i="47" s="1"/>
  <c r="AA55" i="47" a="1"/>
  <c r="AA55" i="47" s="1"/>
  <c r="Z53" i="47" a="1"/>
  <c r="Z53" i="47" s="1"/>
  <c r="AB45" i="47" a="1"/>
  <c r="AB45" i="47" s="1"/>
  <c r="AB67" i="47" a="1"/>
  <c r="AB67" i="47" s="1"/>
  <c r="AA64" i="47" a="1"/>
  <c r="AA64" i="47" s="1"/>
  <c r="AC54" i="47" a="1"/>
  <c r="AC54" i="47" s="1"/>
  <c r="Z50" i="47" a="1"/>
  <c r="Z50" i="47" s="1"/>
  <c r="AB49" i="47" a="1"/>
  <c r="AB49" i="47" s="1"/>
  <c r="Z45" i="47" a="1"/>
  <c r="Z45" i="47" s="1"/>
  <c r="Z35" i="47" a="1"/>
  <c r="Z35" i="47" s="1"/>
  <c r="AC32" i="47" a="1"/>
  <c r="AC32" i="47" s="1"/>
  <c r="Z30" i="47" a="1"/>
  <c r="Z30" i="47" s="1"/>
  <c r="AB27" i="47" a="1"/>
  <c r="AB27" i="47" s="1"/>
  <c r="Z18" i="47" a="1"/>
  <c r="Z18" i="47" s="1"/>
  <c r="AA24" i="47" a="1"/>
  <c r="AA24" i="47" s="1"/>
  <c r="AB20" i="47" a="1"/>
  <c r="AB20" i="47" s="1"/>
  <c r="Z51" i="47" a="1"/>
  <c r="Z51" i="47" s="1"/>
  <c r="AB39" i="47" a="1"/>
  <c r="AB39" i="47" s="1"/>
  <c r="AC23" i="47" a="1"/>
  <c r="AC23" i="47" s="1"/>
  <c r="AC64" i="47" a="1"/>
  <c r="AC64" i="47" s="1"/>
  <c r="AB55" i="47" a="1"/>
  <c r="AB55" i="47" s="1"/>
  <c r="AB36" i="47" a="1"/>
  <c r="AB36" i="47" s="1"/>
  <c r="AB35" i="47" a="1"/>
  <c r="AB35" i="47" s="1"/>
  <c r="AA22" i="47" a="1"/>
  <c r="AA22" i="47" s="1"/>
  <c r="AB69" i="47" a="1"/>
  <c r="AB69" i="47" s="1"/>
  <c r="AB41" i="47" a="1"/>
  <c r="AB41" i="47" s="1"/>
  <c r="AA36" i="47" a="1"/>
  <c r="AA36" i="47" s="1"/>
  <c r="Z22" i="47" a="1"/>
  <c r="Z22" i="47" s="1"/>
  <c r="Z15" i="47" a="1"/>
  <c r="Z15" i="47" s="1"/>
  <c r="AA67" i="47" a="1"/>
  <c r="AA67" i="47" s="1"/>
  <c r="AC56" i="47" a="1"/>
  <c r="AC56" i="47" s="1"/>
  <c r="AB54" i="47" a="1"/>
  <c r="AB54" i="47" s="1"/>
  <c r="AC47" i="47" a="1"/>
  <c r="AC47" i="47" s="1"/>
  <c r="Z41" i="47" a="1"/>
  <c r="Z41" i="47" s="1"/>
  <c r="AB29" i="47" a="1"/>
  <c r="AB29" i="47" s="1"/>
  <c r="AB21" i="47" a="1"/>
  <c r="AB21" i="47" s="1"/>
  <c r="AC17" i="47" a="1"/>
  <c r="AC17" i="47" s="1"/>
  <c r="Y27" i="47" a="1"/>
  <c r="Y27" i="47" s="1"/>
  <c r="Y52" i="47" a="1"/>
  <c r="Y52" i="47" s="1"/>
  <c r="Y65" i="47" a="1"/>
  <c r="Y65" i="47" s="1"/>
  <c r="Y42" i="47" a="1"/>
  <c r="Y42" i="47" s="1"/>
  <c r="Y61" i="47" a="1"/>
  <c r="Y61" i="47" s="1"/>
  <c r="Z27" i="47" a="1"/>
  <c r="Z27" i="47" s="1"/>
  <c r="Y70" i="47" a="1"/>
  <c r="Y70" i="47" s="1"/>
  <c r="Y40" i="47" a="1"/>
  <c r="Y40" i="47" s="1"/>
  <c r="Y48" i="47" a="1"/>
  <c r="Y48" i="47" s="1"/>
  <c r="Y66" i="47" a="1"/>
  <c r="Y66" i="47" s="1"/>
  <c r="Y60" i="47" a="1"/>
  <c r="Y60" i="47" s="1"/>
  <c r="Y44" i="47" a="1"/>
  <c r="Y44" i="47" s="1"/>
  <c r="Y16" i="47" a="1"/>
  <c r="Y16" i="47" s="1"/>
  <c r="Z16" i="47" a="1"/>
  <c r="Z16" i="47" s="1"/>
  <c r="AC63" i="47" a="1"/>
  <c r="AC63" i="47" s="1"/>
  <c r="Y63" i="47" a="1"/>
  <c r="Y63" i="47" s="1"/>
  <c r="AC41" i="47" a="1"/>
  <c r="AC41" i="47" s="1"/>
  <c r="Y41" i="47" a="1"/>
  <c r="Y41" i="47" s="1"/>
  <c r="Y47" i="47" a="1"/>
  <c r="Y47" i="47" s="1"/>
  <c r="Y50" i="47" a="1"/>
  <c r="Y50" i="47" s="1"/>
  <c r="Y69" i="47" a="1"/>
  <c r="Y69" i="47" s="1"/>
  <c r="Y21" i="47" a="1"/>
  <c r="Y21" i="47" s="1"/>
  <c r="Y58" i="47" a="1"/>
  <c r="Y58" i="47" s="1"/>
  <c r="Y64" i="47" a="1"/>
  <c r="Y64" i="47" s="1"/>
  <c r="Y57" i="47" a="1"/>
  <c r="Y57" i="47" s="1"/>
  <c r="AD57" i="47" a="1"/>
  <c r="AD57" i="47" s="1"/>
  <c r="Y55" i="47" a="1"/>
  <c r="Y55" i="47" s="1"/>
  <c r="Y54" i="47" a="1"/>
  <c r="Y54" i="47" s="1"/>
  <c r="Y45" i="47" a="1"/>
  <c r="Y45" i="47" s="1"/>
  <c r="Y33" i="47" a="1"/>
  <c r="Y33" i="47" s="1"/>
  <c r="Y51" i="47" a="1"/>
  <c r="Y51" i="47" s="1"/>
  <c r="Z44" i="47" a="1"/>
  <c r="Z44" i="47" s="1"/>
  <c r="Y18" i="47" a="1"/>
  <c r="Y18" i="47" s="1"/>
  <c r="Y35" i="47" a="1"/>
  <c r="Y35" i="47" s="1"/>
  <c r="Y38" i="47" a="1"/>
  <c r="Y38" i="47" s="1"/>
  <c r="Y62" i="47" a="1"/>
  <c r="Y62" i="47" s="1"/>
  <c r="Y53" i="47" a="1"/>
  <c r="Y53" i="47" s="1"/>
  <c r="Y46" i="47" a="1"/>
  <c r="Y46" i="47" s="1"/>
  <c r="Y36" i="47" a="1"/>
  <c r="Y36" i="47" s="1"/>
  <c r="AA20" i="47" a="1"/>
  <c r="AA20" i="47" s="1"/>
  <c r="Y20" i="47" a="1"/>
  <c r="Y20" i="47" s="1"/>
  <c r="Y14" i="47" a="1"/>
  <c r="Y14" i="47" s="1"/>
  <c r="Y28" i="47" a="1"/>
  <c r="Y28" i="47" s="1"/>
  <c r="Y56" i="47" a="1"/>
  <c r="Y56" i="47" s="1"/>
  <c r="Y43" i="47" a="1"/>
  <c r="Y43" i="47" s="1"/>
  <c r="Y30" i="47" a="1"/>
  <c r="Y30" i="47" s="1"/>
  <c r="Y24" i="47" a="1"/>
  <c r="Y24" i="47" s="1"/>
  <c r="Y68" i="47" a="1"/>
  <c r="Y68" i="47" s="1"/>
  <c r="AB25" i="47" a="1"/>
  <c r="AB25" i="47" s="1"/>
  <c r="Y25" i="47" a="1"/>
  <c r="Y25" i="47" s="1"/>
  <c r="AA23" i="47" a="1"/>
  <c r="AA23" i="47" s="1"/>
  <c r="Y23" i="47" a="1"/>
  <c r="Y23" i="47" s="1"/>
  <c r="Y67" i="47" a="1"/>
  <c r="Y67" i="47" s="1"/>
  <c r="Y49" i="47" a="1"/>
  <c r="Y49" i="47" s="1"/>
  <c r="Y22" i="47" a="1"/>
  <c r="Y22" i="47" s="1"/>
  <c r="Y31" i="47" a="1"/>
  <c r="Y31" i="47" s="1"/>
  <c r="Y19" i="47" a="1"/>
  <c r="Y19" i="47" s="1"/>
  <c r="Y37" i="47" a="1"/>
  <c r="Y37" i="47" s="1"/>
  <c r="Y59" i="47" a="1"/>
  <c r="Y59" i="47" s="1"/>
  <c r="Y39" i="47" a="1"/>
  <c r="Y39" i="47" s="1"/>
  <c r="Y34" i="47" a="1"/>
  <c r="Y34" i="47" s="1"/>
  <c r="Y15" i="47" a="1"/>
  <c r="Y15" i="47" s="1"/>
  <c r="Y17" i="47" a="1"/>
  <c r="Y17" i="47" s="1"/>
  <c r="Y26" i="47" a="1"/>
  <c r="Y26" i="47" s="1"/>
  <c r="Y29" i="47" a="1"/>
  <c r="Y29" i="47" s="1"/>
  <c r="Y32" i="47" a="1"/>
  <c r="Y32" i="47" s="1"/>
  <c r="AA24" i="46" a="1"/>
  <c r="AA24" i="46" s="1"/>
  <c r="AC63" i="46" a="1"/>
  <c r="AC63" i="46" s="1"/>
  <c r="AC34" i="46" a="1"/>
  <c r="AC34" i="46" s="1"/>
  <c r="AB37" i="46" a="1"/>
  <c r="AB37" i="46" s="1"/>
  <c r="AA16" i="46" a="1"/>
  <c r="AA16" i="46" s="1"/>
  <c r="AA62" i="46" a="1"/>
  <c r="AA62" i="46" s="1"/>
  <c r="Z38" i="46" a="1"/>
  <c r="Z38" i="46" s="1"/>
  <c r="AC60" i="46" a="1"/>
  <c r="AC60" i="46" s="1"/>
  <c r="AB28" i="46" a="1"/>
  <c r="AB28" i="46" s="1"/>
  <c r="Z36" i="46" a="1"/>
  <c r="Z36" i="46" s="1"/>
  <c r="AC45" i="46" a="1"/>
  <c r="AC45" i="46" s="1"/>
  <c r="AB51" i="46" a="1"/>
  <c r="AB51" i="46" s="1"/>
  <c r="AA42" i="46" a="1"/>
  <c r="AA42" i="46" s="1"/>
  <c r="Z32" i="46" a="1"/>
  <c r="Z32" i="46" s="1"/>
  <c r="AB54" i="46" a="1"/>
  <c r="AB54" i="46" s="1"/>
  <c r="AA25" i="46" a="1"/>
  <c r="AA25" i="46" s="1"/>
  <c r="AA22" i="46" a="1"/>
  <c r="AA22" i="46" s="1"/>
  <c r="AC61" i="46" a="1"/>
  <c r="AC61" i="46" s="1"/>
  <c r="Z33" i="46" a="1"/>
  <c r="Z33" i="46" s="1"/>
  <c r="AB60" i="46" a="1"/>
  <c r="AB60" i="46" s="1"/>
  <c r="AC25" i="46" a="1"/>
  <c r="AC25" i="46" s="1"/>
  <c r="AA60" i="46" a="1"/>
  <c r="AA60" i="46" s="1"/>
  <c r="AA48" i="46" a="1"/>
  <c r="AA48" i="46" s="1"/>
  <c r="AC39" i="46" a="1"/>
  <c r="AC39" i="46" s="1"/>
  <c r="AB34" i="46" a="1"/>
  <c r="AB34" i="46" s="1"/>
  <c r="AB25" i="46" a="1"/>
  <c r="AB25" i="46" s="1"/>
  <c r="AC21" i="46" a="1"/>
  <c r="AC21" i="46" s="1"/>
  <c r="AB15" i="46" a="1"/>
  <c r="AB15" i="46" s="1"/>
  <c r="AA15" i="46" a="1"/>
  <c r="AA15" i="46" s="1"/>
  <c r="Z55" i="46" a="1"/>
  <c r="Z55" i="46" s="1"/>
  <c r="AC54" i="46" a="1"/>
  <c r="AC54" i="46" s="1"/>
  <c r="Z52" i="46" a="1"/>
  <c r="Z52" i="46" s="1"/>
  <c r="AA51" i="46" a="1"/>
  <c r="AA51" i="46" s="1"/>
  <c r="AA41" i="46" a="1"/>
  <c r="AA41" i="46" s="1"/>
  <c r="AA34" i="46" a="1"/>
  <c r="AA34" i="46" s="1"/>
  <c r="Z22" i="46" a="1"/>
  <c r="Z22" i="46" s="1"/>
  <c r="Z16" i="46" a="1"/>
  <c r="Z16" i="46" s="1"/>
  <c r="Z15" i="46" a="1"/>
  <c r="Z15" i="46" s="1"/>
  <c r="AA52" i="46" a="1"/>
  <c r="AA52" i="46" s="1"/>
  <c r="Z41" i="46" a="1"/>
  <c r="Z41" i="46" s="1"/>
  <c r="Z46" i="46" a="1"/>
  <c r="Z46" i="46" s="1"/>
  <c r="AB63" i="46" a="1"/>
  <c r="AB63" i="46" s="1"/>
  <c r="AB61" i="46" a="1"/>
  <c r="AB61" i="46" s="1"/>
  <c r="AA61" i="46" a="1"/>
  <c r="AA61" i="46" s="1"/>
  <c r="AC56" i="46" a="1"/>
  <c r="AC56" i="46" s="1"/>
  <c r="AB32" i="46" a="1"/>
  <c r="AB32" i="46" s="1"/>
  <c r="AC32" i="46" a="1"/>
  <c r="AC32" i="46" s="1"/>
  <c r="Z62" i="46" a="1"/>
  <c r="Z62" i="46" s="1"/>
  <c r="AA57" i="46" a="1"/>
  <c r="AA57" i="46" s="1"/>
  <c r="AB56" i="46" a="1"/>
  <c r="AB56" i="46" s="1"/>
  <c r="AC42" i="46" a="1"/>
  <c r="AC42" i="46" s="1"/>
  <c r="Z64" i="46" a="1"/>
  <c r="Z64" i="46" s="1"/>
  <c r="AA59" i="46" a="1"/>
  <c r="AA59" i="46" s="1"/>
  <c r="AB45" i="46" a="1"/>
  <c r="AB45" i="46" s="1"/>
  <c r="AB43" i="46" a="1"/>
  <c r="AB43" i="46" s="1"/>
  <c r="AC30" i="46" a="1"/>
  <c r="AC30" i="46" s="1"/>
  <c r="AB48" i="46" a="1"/>
  <c r="AB48" i="46" s="1"/>
  <c r="AC15" i="46" a="1"/>
  <c r="AC15" i="46" s="1"/>
  <c r="Z51" i="46" a="1"/>
  <c r="Z51" i="46" s="1"/>
  <c r="AD35" i="46" a="1"/>
  <c r="AD35" i="46" s="1"/>
  <c r="AB35" i="46" a="1"/>
  <c r="AB35" i="46" s="1"/>
  <c r="AA64" i="46" a="1"/>
  <c r="AA64" i="46" s="1"/>
  <c r="Z57" i="46" a="1"/>
  <c r="Z57" i="46" s="1"/>
  <c r="AB42" i="46" a="1"/>
  <c r="AB42" i="46" s="1"/>
  <c r="AA33" i="46" a="1"/>
  <c r="AA33" i="46" s="1"/>
  <c r="AA29" i="46" a="1"/>
  <c r="AA29" i="46" s="1"/>
  <c r="AA18" i="46" a="1"/>
  <c r="AA18" i="46" s="1"/>
  <c r="AA45" i="46" a="1"/>
  <c r="AA45" i="46" s="1"/>
  <c r="AC26" i="46" a="1"/>
  <c r="AC26" i="46" s="1"/>
  <c r="AA26" i="46" a="1"/>
  <c r="AA26" i="46" s="1"/>
  <c r="Z59" i="46" a="1"/>
  <c r="Z59" i="46" s="1"/>
  <c r="Z29" i="46" a="1"/>
  <c r="Z29" i="46" s="1"/>
  <c r="AC28" i="46" a="1"/>
  <c r="AC28" i="46" s="1"/>
  <c r="Z24" i="46" a="1"/>
  <c r="Z24" i="46" s="1"/>
  <c r="AA19" i="46" a="1"/>
  <c r="AA19" i="46" s="1"/>
  <c r="Z18" i="46" a="1"/>
  <c r="Z18" i="46" s="1"/>
  <c r="AC23" i="46" a="1"/>
  <c r="AC23" i="46" s="1"/>
  <c r="AA63" i="46" a="1"/>
  <c r="AA63" i="46" s="1"/>
  <c r="AB58" i="46" a="1"/>
  <c r="AB58" i="46" s="1"/>
  <c r="AA54" i="46" a="1"/>
  <c r="AA54" i="46" s="1"/>
  <c r="AC53" i="46" a="1"/>
  <c r="AC53" i="46" s="1"/>
  <c r="Z48" i="46" a="1"/>
  <c r="Z48" i="46" s="1"/>
  <c r="AA30" i="46" a="1"/>
  <c r="AA30" i="46" s="1"/>
  <c r="AB26" i="46" a="1"/>
  <c r="AB26" i="46" s="1"/>
  <c r="AC20" i="46" a="1"/>
  <c r="AC20" i="46" s="1"/>
  <c r="Z54" i="46" a="1"/>
  <c r="Z54" i="46" s="1"/>
  <c r="AB50" i="46" a="1"/>
  <c r="AB50" i="46" s="1"/>
  <c r="AB47" i="46" a="1"/>
  <c r="AB47" i="46" s="1"/>
  <c r="AC35" i="46" a="1"/>
  <c r="AC35" i="46" s="1"/>
  <c r="AC31" i="46" a="1"/>
  <c r="AC31" i="46" s="1"/>
  <c r="AA23" i="46" a="1"/>
  <c r="AA23" i="46" s="1"/>
  <c r="AB20" i="46" a="1"/>
  <c r="AB20" i="46" s="1"/>
  <c r="AC17" i="46" a="1"/>
  <c r="AC17" i="46" s="1"/>
  <c r="AC14" i="46" a="1"/>
  <c r="AC14" i="46" s="1"/>
  <c r="AB53" i="46" a="1"/>
  <c r="AB53" i="46" s="1"/>
  <c r="Z23" i="46" a="1"/>
  <c r="Z23" i="46" s="1"/>
  <c r="AC38" i="46" a="1"/>
  <c r="AC38" i="46" s="1"/>
  <c r="AA27" i="46" a="1"/>
  <c r="AA27" i="46" s="1"/>
  <c r="Y21" i="46" a="1"/>
  <c r="Y21" i="46" s="1"/>
  <c r="AC55" i="46" a="1"/>
  <c r="AC55" i="46" s="1"/>
  <c r="AB49" i="46" a="1"/>
  <c r="AB49" i="46" s="1"/>
  <c r="AA44" i="46" a="1"/>
  <c r="AA44" i="46" s="1"/>
  <c r="AB36" i="46" a="1"/>
  <c r="AB36" i="46" s="1"/>
  <c r="AC33" i="46" a="1"/>
  <c r="AC33" i="46" s="1"/>
  <c r="Z27" i="46" a="1"/>
  <c r="Z27" i="46" s="1"/>
  <c r="AC64" i="46" a="1"/>
  <c r="AC64" i="46" s="1"/>
  <c r="AC57" i="46" a="1"/>
  <c r="AC57" i="46" s="1"/>
  <c r="AB55" i="46" a="1"/>
  <c r="AB55" i="46" s="1"/>
  <c r="Z53" i="46" a="1"/>
  <c r="Z53" i="46" s="1"/>
  <c r="AC52" i="46" a="1"/>
  <c r="AC52" i="46" s="1"/>
  <c r="AA49" i="46" a="1"/>
  <c r="AA49" i="46" s="1"/>
  <c r="AC46" i="46" a="1"/>
  <c r="AC46" i="46" s="1"/>
  <c r="AB38" i="46" a="1"/>
  <c r="AB38" i="46" s="1"/>
  <c r="Z37" i="46" a="1"/>
  <c r="Z37" i="46" s="1"/>
  <c r="AA36" i="46" a="1"/>
  <c r="AA36" i="46" s="1"/>
  <c r="AA35" i="46" a="1"/>
  <c r="AA35" i="46" s="1"/>
  <c r="AC24" i="46" a="1"/>
  <c r="AC24" i="46" s="1"/>
  <c r="AB19" i="46" a="1"/>
  <c r="AB19" i="46" s="1"/>
  <c r="AC18" i="46" a="1"/>
  <c r="AC18" i="46" s="1"/>
  <c r="Z17" i="46" a="1"/>
  <c r="Z17" i="46" s="1"/>
  <c r="AB16" i="46" a="1"/>
  <c r="AB16" i="46" s="1"/>
  <c r="AA14" i="46" a="1"/>
  <c r="AA14" i="46" s="1"/>
  <c r="Z45" i="46" a="1"/>
  <c r="Z45" i="46" s="1"/>
  <c r="AC43" i="46" a="1"/>
  <c r="AC43" i="46" s="1"/>
  <c r="Z42" i="46" a="1"/>
  <c r="Z42" i="46" s="1"/>
  <c r="Z34" i="46" a="1"/>
  <c r="Z34" i="46" s="1"/>
  <c r="AB23" i="46" a="1"/>
  <c r="AB23" i="46" s="1"/>
  <c r="AB21" i="46" a="1"/>
  <c r="AB21" i="46" s="1"/>
  <c r="AA43" i="46" a="1"/>
  <c r="AA43" i="46" s="1"/>
  <c r="AC40" i="46" a="1"/>
  <c r="AC40" i="46" s="1"/>
  <c r="AC27" i="46" a="1"/>
  <c r="AC27" i="46" s="1"/>
  <c r="AA21" i="46" a="1"/>
  <c r="AA21" i="46" s="1"/>
  <c r="AC49" i="46" a="1"/>
  <c r="AC49" i="46" s="1"/>
  <c r="AC44" i="46" a="1"/>
  <c r="AC44" i="46" s="1"/>
  <c r="AB27" i="46" a="1"/>
  <c r="AB27" i="46" s="1"/>
  <c r="AC62" i="46" a="1"/>
  <c r="AC62" i="46" s="1"/>
  <c r="AB59" i="46" a="1"/>
  <c r="AB59" i="46" s="1"/>
  <c r="AB44" i="46" a="1"/>
  <c r="AB44" i="46" s="1"/>
  <c r="Z39" i="46" a="1"/>
  <c r="Z39" i="46" s="1"/>
  <c r="AA37" i="46" a="1"/>
  <c r="AA37" i="46" s="1"/>
  <c r="Z26" i="46" a="1"/>
  <c r="Z26" i="46" s="1"/>
  <c r="AB17" i="46" a="1"/>
  <c r="AB17" i="46" s="1"/>
  <c r="AC16" i="46" a="1"/>
  <c r="AC16" i="46" s="1"/>
  <c r="AB14" i="46" a="1"/>
  <c r="AB14" i="46" s="1"/>
  <c r="AB62" i="46" a="1"/>
  <c r="AB62" i="46" s="1"/>
  <c r="AC41" i="46" a="1"/>
  <c r="AC41" i="46" s="1"/>
  <c r="AA40" i="46" a="1"/>
  <c r="AA40" i="46" s="1"/>
  <c r="AA31" i="46" a="1"/>
  <c r="AA31" i="46" s="1"/>
  <c r="AC29" i="46" a="1"/>
  <c r="AC29" i="46" s="1"/>
  <c r="AC22" i="46" a="1"/>
  <c r="AC22" i="46" s="1"/>
  <c r="AA55" i="46" a="1"/>
  <c r="AA55" i="46" s="1"/>
  <c r="AB52" i="46" a="1"/>
  <c r="AB52" i="46" s="1"/>
  <c r="Z49" i="46" a="1"/>
  <c r="Z49" i="46" s="1"/>
  <c r="AB46" i="46" a="1"/>
  <c r="AB46" i="46" s="1"/>
  <c r="Z44" i="46" a="1"/>
  <c r="Z44" i="46" s="1"/>
  <c r="Z43" i="46" a="1"/>
  <c r="Z43" i="46" s="1"/>
  <c r="AB41" i="46" a="1"/>
  <c r="AB41" i="46" s="1"/>
  <c r="Z40" i="46" a="1"/>
  <c r="Z40" i="46" s="1"/>
  <c r="AA38" i="46" a="1"/>
  <c r="AA38" i="46" s="1"/>
  <c r="Z35" i="46" a="1"/>
  <c r="Z35" i="46" s="1"/>
  <c r="AB33" i="46" a="1"/>
  <c r="AB33" i="46" s="1"/>
  <c r="AA32" i="46" a="1"/>
  <c r="AA32" i="46" s="1"/>
  <c r="Z31" i="46" a="1"/>
  <c r="Z31" i="46" s="1"/>
  <c r="AB29" i="46" a="1"/>
  <c r="AB29" i="46" s="1"/>
  <c r="AB22" i="46" a="1"/>
  <c r="AB22" i="46" s="1"/>
  <c r="AB18" i="46" a="1"/>
  <c r="AB18" i="46" s="1"/>
  <c r="Z14" i="46" a="1"/>
  <c r="Z14" i="46" s="1"/>
  <c r="AA28" i="46" a="1"/>
  <c r="AA28" i="46" s="1"/>
  <c r="Z60" i="46" a="1"/>
  <c r="Z60" i="46" s="1"/>
  <c r="AA56" i="46" a="1"/>
  <c r="AA56" i="46" s="1"/>
  <c r="AC50" i="46" a="1"/>
  <c r="AC50" i="46" s="1"/>
  <c r="AC47" i="46" a="1"/>
  <c r="AC47" i="46" s="1"/>
  <c r="AC37" i="46" a="1"/>
  <c r="AC37" i="46" s="1"/>
  <c r="Z25" i="46" a="1"/>
  <c r="Z25" i="46" s="1"/>
  <c r="Z63" i="46" a="1"/>
  <c r="Z63" i="46" s="1"/>
  <c r="Z56" i="46" a="1"/>
  <c r="Z56" i="46" s="1"/>
  <c r="AB39" i="46" a="1"/>
  <c r="AB39" i="46" s="1"/>
  <c r="Z30" i="46" a="1"/>
  <c r="Z30" i="46" s="1"/>
  <c r="Z28" i="46" a="1"/>
  <c r="Z28" i="46" s="1"/>
  <c r="AC59" i="46" a="1"/>
  <c r="AC59" i="46" s="1"/>
  <c r="AA58" i="46" a="1"/>
  <c r="AA58" i="46" s="1"/>
  <c r="AA50" i="46" a="1"/>
  <c r="AA50" i="46" s="1"/>
  <c r="AA47" i="46" a="1"/>
  <c r="AA47" i="46" s="1"/>
  <c r="AA39" i="46" a="1"/>
  <c r="AA39" i="46" s="1"/>
  <c r="Z21" i="46" a="1"/>
  <c r="Z21" i="46" s="1"/>
  <c r="AA20" i="46" a="1"/>
  <c r="AA20" i="46" s="1"/>
  <c r="AA17" i="46" a="1"/>
  <c r="AA17" i="46" s="1"/>
  <c r="Z61" i="46" a="1"/>
  <c r="Z61" i="46" s="1"/>
  <c r="Z47" i="46" a="1"/>
  <c r="Z47" i="46" s="1"/>
  <c r="AB40" i="46" a="1"/>
  <c r="AB40" i="46" s="1"/>
  <c r="AC36" i="46" a="1"/>
  <c r="AC36" i="46" s="1"/>
  <c r="AB31" i="46" a="1"/>
  <c r="AB31" i="46" s="1"/>
  <c r="AC19" i="46" a="1"/>
  <c r="AC19" i="46" s="1"/>
  <c r="Z58" i="46" a="1"/>
  <c r="Z58" i="46" s="1"/>
  <c r="AA53" i="46" a="1"/>
  <c r="AA53" i="46" s="1"/>
  <c r="Z50" i="46" a="1"/>
  <c r="Z50" i="46" s="1"/>
  <c r="AB64" i="46" a="1"/>
  <c r="AB64" i="46" s="1"/>
  <c r="AB57" i="46" a="1"/>
  <c r="AB57" i="46" s="1"/>
  <c r="AC51" i="46" a="1"/>
  <c r="AC51" i="46" s="1"/>
  <c r="AA46" i="46" a="1"/>
  <c r="AA46" i="46" s="1"/>
  <c r="Y42" i="46" a="1"/>
  <c r="Y42" i="46" s="1"/>
  <c r="AB24" i="46" a="1"/>
  <c r="AB24" i="46" s="1"/>
  <c r="Z19" i="46" a="1"/>
  <c r="Z19" i="46" s="1"/>
  <c r="Y47" i="46" a="1"/>
  <c r="Y47" i="46" s="1"/>
  <c r="Y31" i="46" a="1"/>
  <c r="Y31" i="46" s="1"/>
  <c r="Y29" i="46" a="1"/>
  <c r="Y29" i="46" s="1"/>
  <c r="Y61" i="46" a="1"/>
  <c r="Y61" i="46" s="1"/>
  <c r="Y32" i="46" a="1"/>
  <c r="Y32" i="46" s="1"/>
  <c r="Y64" i="46" a="1"/>
  <c r="Y64" i="46" s="1"/>
  <c r="Y58" i="46" a="1"/>
  <c r="Y58" i="46" s="1"/>
  <c r="Y16" i="46" a="1"/>
  <c r="Y16" i="46" s="1"/>
  <c r="Y27" i="46" a="1"/>
  <c r="Y27" i="46" s="1"/>
  <c r="Y38" i="46" a="1"/>
  <c r="Y38" i="46" s="1"/>
  <c r="Y23" i="46" a="1"/>
  <c r="Y23" i="46" s="1"/>
  <c r="Y15" i="46" a="1"/>
  <c r="Y15" i="46" s="1"/>
  <c r="Y44" i="46" a="1"/>
  <c r="Y44" i="46" s="1"/>
  <c r="Y26" i="46" a="1"/>
  <c r="Y26" i="46" s="1"/>
  <c r="Y33" i="46" a="1"/>
  <c r="Y33" i="46" s="1"/>
  <c r="Y63" i="46" a="1"/>
  <c r="Y63" i="46" s="1"/>
  <c r="AD57" i="46" a="1"/>
  <c r="AD57" i="46" s="1"/>
  <c r="Y57" i="46" a="1"/>
  <c r="Y57" i="46" s="1"/>
  <c r="AC48" i="46" a="1"/>
  <c r="AC48" i="46" s="1"/>
  <c r="Y48" i="46" a="1"/>
  <c r="Y48" i="46" s="1"/>
  <c r="Y36" i="46" a="1"/>
  <c r="Y36" i="46" s="1"/>
  <c r="AD59" i="46" a="1"/>
  <c r="AD59" i="46" s="1"/>
  <c r="Y59" i="46" a="1"/>
  <c r="Y59" i="46" s="1"/>
  <c r="AD54" i="46" a="1"/>
  <c r="AD54" i="46" s="1"/>
  <c r="Y54" i="46" a="1"/>
  <c r="Y54" i="46" s="1"/>
  <c r="Y53" i="46" a="1"/>
  <c r="Y53" i="46" s="1"/>
  <c r="AB30" i="46" a="1"/>
  <c r="AB30" i="46" s="1"/>
  <c r="Y30" i="46" a="1"/>
  <c r="Y30" i="46" s="1"/>
  <c r="AD55" i="46" a="1"/>
  <c r="AD55" i="46" s="1"/>
  <c r="Y55" i="46" a="1"/>
  <c r="Y55" i="46" s="1"/>
  <c r="Y43" i="46" a="1"/>
  <c r="Y43" i="46" s="1"/>
  <c r="Y28" i="46" a="1"/>
  <c r="Y28" i="46" s="1"/>
  <c r="Y17" i="46" a="1"/>
  <c r="Y17" i="46" s="1"/>
  <c r="Y14" i="46" a="1"/>
  <c r="Y14" i="46" s="1"/>
  <c r="Y41" i="46" a="1"/>
  <c r="Y41" i="46" s="1"/>
  <c r="Y62" i="46" a="1"/>
  <c r="Y62" i="46" s="1"/>
  <c r="AD63" i="46" a="1"/>
  <c r="AD63" i="46" s="1"/>
  <c r="Y49" i="46" a="1"/>
  <c r="Y49" i="46" s="1"/>
  <c r="AD42" i="46" a="1"/>
  <c r="AD42" i="46" s="1"/>
  <c r="AD23" i="46" a="1"/>
  <c r="AD23" i="46" s="1"/>
  <c r="Y18" i="46" a="1"/>
  <c r="Y18" i="46" s="1"/>
  <c r="Y24" i="46" a="1"/>
  <c r="Y24" i="46" s="1"/>
  <c r="Y52" i="46" a="1"/>
  <c r="Y52" i="46" s="1"/>
  <c r="Y46" i="46" a="1"/>
  <c r="Y46" i="46" s="1"/>
  <c r="Y19" i="46" a="1"/>
  <c r="Y19" i="46" s="1"/>
  <c r="Y39" i="46" a="1"/>
  <c r="Y39" i="46" s="1"/>
  <c r="AC58" i="46" a="1"/>
  <c r="AC58" i="46" s="1"/>
  <c r="Y40" i="46" a="1"/>
  <c r="Y40" i="46" s="1"/>
  <c r="Y56" i="46" a="1"/>
  <c r="Y56" i="46" s="1"/>
  <c r="Y37" i="46" a="1"/>
  <c r="Y37" i="46" s="1"/>
  <c r="Y51" i="46" a="1"/>
  <c r="Y51" i="46" s="1"/>
  <c r="Y35" i="46" a="1"/>
  <c r="Y35" i="46" s="1"/>
  <c r="Y60" i="46" a="1"/>
  <c r="Y60" i="46" s="1"/>
  <c r="Y34" i="46" a="1"/>
  <c r="Y34" i="46" s="1"/>
  <c r="Y25" i="46" a="1"/>
  <c r="Y25" i="46" s="1"/>
  <c r="Y50" i="46" a="1"/>
  <c r="Y50" i="46" s="1"/>
  <c r="Y22" i="46" a="1"/>
  <c r="Y22" i="46" s="1"/>
  <c r="Y45" i="46" a="1"/>
  <c r="Y45" i="46" s="1"/>
  <c r="Z20" i="46" a="1"/>
  <c r="Z20" i="46" s="1"/>
  <c r="Y20" i="46" a="1"/>
  <c r="Y20" i="46" s="1"/>
  <c r="Z33" i="55" a="1"/>
  <c r="Z33" i="55" s="1"/>
  <c r="Y35" i="55" a="1"/>
  <c r="Y35" i="55" s="1"/>
  <c r="Y34" i="55" a="1"/>
  <c r="Y34" i="55" s="1"/>
  <c r="Y36" i="55" a="1"/>
  <c r="Y36" i="55" s="1"/>
  <c r="Z28" i="55" a="1"/>
  <c r="Z28" i="55" s="1"/>
  <c r="Y27" i="55" a="1"/>
  <c r="Y27" i="55" s="1"/>
  <c r="Y33" i="55" a="1"/>
  <c r="Y33" i="55" s="1"/>
  <c r="Y28" i="55" a="1"/>
  <c r="Y28" i="55" s="1"/>
  <c r="Y23" i="55" a="1"/>
  <c r="Y23" i="55" s="1"/>
  <c r="Y20" i="55" a="1"/>
  <c r="Y20" i="55" s="1"/>
  <c r="Z18" i="55" a="1"/>
  <c r="Z18" i="55" s="1"/>
  <c r="Z23" i="55" a="1"/>
  <c r="Z23" i="55" s="1"/>
  <c r="Z25" i="55" a="1"/>
  <c r="Z25" i="55" s="1"/>
  <c r="Y25" i="55" a="1"/>
  <c r="Y25" i="55" s="1"/>
  <c r="Y29" i="55" a="1"/>
  <c r="Y29" i="55" s="1"/>
  <c r="Z29" i="55" a="1"/>
  <c r="Z29" i="55" s="1"/>
  <c r="Z22" i="55" a="1"/>
  <c r="Z22" i="55" s="1"/>
  <c r="Y22" i="55" a="1"/>
  <c r="Y22" i="55" s="1"/>
  <c r="Z31" i="55" a="1"/>
  <c r="Z31" i="55" s="1"/>
  <c r="Y30" i="55" a="1"/>
  <c r="Y30" i="55" s="1"/>
  <c r="Z24" i="55" a="1"/>
  <c r="Z24" i="55" s="1"/>
  <c r="Z20" i="55" a="1"/>
  <c r="Z20" i="55" s="1"/>
  <c r="Z35" i="55" a="1"/>
  <c r="Z35" i="55" s="1"/>
  <c r="Z34" i="55" a="1"/>
  <c r="Z34" i="55" s="1"/>
  <c r="Z26" i="55" a="1"/>
  <c r="Z26" i="55" s="1"/>
  <c r="Z27" i="55" a="1"/>
  <c r="Z27" i="55" s="1"/>
  <c r="Z30" i="55" a="1"/>
  <c r="Z30" i="55" s="1"/>
  <c r="Y31" i="55" a="1"/>
  <c r="Y31" i="55" s="1"/>
  <c r="Y21" i="55" a="1"/>
  <c r="Y21" i="55" s="1"/>
  <c r="Z19" i="55" a="1"/>
  <c r="Z19" i="55" s="1"/>
  <c r="Z17" i="55" a="1"/>
  <c r="Z17" i="55" s="1"/>
  <c r="Y18" i="55" a="1"/>
  <c r="Y18" i="55" s="1"/>
  <c r="Y19" i="55" a="1"/>
  <c r="Y19" i="55" s="1"/>
  <c r="Y17" i="55" a="1"/>
  <c r="Y17" i="55" s="1"/>
  <c r="Z13" i="54" a="1"/>
  <c r="Z13" i="54" s="1"/>
  <c r="AA13" i="54" a="1"/>
  <c r="AA13" i="54" s="1"/>
  <c r="Z14" i="55" a="1"/>
  <c r="Z14" i="55" s="1"/>
  <c r="Z15" i="55" a="1"/>
  <c r="Z15" i="55" s="1"/>
  <c r="Z16" i="55" a="1"/>
  <c r="Z16" i="55" s="1"/>
  <c r="Z13" i="55" a="1"/>
  <c r="Z13" i="55" s="1"/>
  <c r="G11" i="55"/>
  <c r="H14" i="55" s="1"/>
  <c r="H32" i="54"/>
  <c r="L32" i="54" s="1"/>
  <c r="H34" i="54"/>
  <c r="L34" i="54" s="1"/>
  <c r="G11" i="54"/>
  <c r="H21" i="54" s="1"/>
  <c r="L21" i="54" s="1"/>
  <c r="G11" i="53"/>
  <c r="H22" i="53" s="1"/>
  <c r="H13" i="53"/>
  <c r="Z13" i="53" s="1" a="1"/>
  <c r="Z13" i="53" s="1"/>
  <c r="H21" i="53"/>
  <c r="H15" i="53"/>
  <c r="G11" i="52"/>
  <c r="H41" i="52" s="1"/>
  <c r="L41" i="52" s="1"/>
  <c r="H34" i="52"/>
  <c r="L34" i="52" s="1"/>
  <c r="H35" i="52"/>
  <c r="Y35" i="52" s="1" a="1"/>
  <c r="Y35" i="52" s="1"/>
  <c r="H23" i="52"/>
  <c r="L23" i="52" s="1"/>
  <c r="H26" i="52"/>
  <c r="L26" i="52" s="1"/>
  <c r="H28" i="52"/>
  <c r="Z28" i="52" s="1" a="1"/>
  <c r="Z28" i="52" s="1"/>
  <c r="H46" i="52"/>
  <c r="L46" i="52" s="1"/>
  <c r="G11" i="51"/>
  <c r="H45" i="51" s="1"/>
  <c r="G11" i="50"/>
  <c r="H25" i="50" s="1"/>
  <c r="H24" i="50"/>
  <c r="L24" i="50" s="1"/>
  <c r="H33" i="50"/>
  <c r="L33" i="50" s="1"/>
  <c r="H27" i="50"/>
  <c r="H30" i="50"/>
  <c r="L30" i="50" s="1"/>
  <c r="H31" i="50"/>
  <c r="L31" i="50" s="1"/>
  <c r="H26" i="50"/>
  <c r="L26" i="50" s="1"/>
  <c r="H29" i="50"/>
  <c r="L29" i="50" s="1"/>
  <c r="H28" i="50"/>
  <c r="L28" i="50" s="1"/>
  <c r="H16" i="50"/>
  <c r="L16" i="50" s="1"/>
  <c r="H15" i="50"/>
  <c r="L15" i="50" s="1"/>
  <c r="H18" i="50"/>
  <c r="L18" i="50" s="1"/>
  <c r="H20" i="50"/>
  <c r="L20" i="50" s="1"/>
  <c r="H13" i="50"/>
  <c r="Y13" i="50" s="1" a="1"/>
  <c r="Y13" i="50" s="1"/>
  <c r="H14" i="50"/>
  <c r="L14" i="50" s="1"/>
  <c r="H21" i="50"/>
  <c r="L21" i="50" s="1"/>
  <c r="G46" i="49" a="1"/>
  <c r="G46" i="49" s="1"/>
  <c r="G45" i="49" a="1"/>
  <c r="G45" i="49" s="1"/>
  <c r="G44" i="49" a="1"/>
  <c r="G44" i="49" s="1"/>
  <c r="G43" i="49" a="1"/>
  <c r="G43" i="49" s="1"/>
  <c r="G42" i="49" a="1"/>
  <c r="G42" i="49" s="1"/>
  <c r="G41" i="49" a="1"/>
  <c r="G41" i="49" s="1"/>
  <c r="G40" i="49" a="1"/>
  <c r="G40" i="49" s="1"/>
  <c r="G39" i="49" a="1"/>
  <c r="G39" i="49" s="1"/>
  <c r="G38" i="49" a="1"/>
  <c r="G38" i="49" s="1"/>
  <c r="G37" i="49" a="1"/>
  <c r="G37" i="49" s="1"/>
  <c r="G36" i="49" a="1"/>
  <c r="G36" i="49" s="1"/>
  <c r="G35" i="49" a="1"/>
  <c r="G35" i="49" s="1"/>
  <c r="G34" i="49" a="1"/>
  <c r="G34" i="49" s="1"/>
  <c r="G33" i="49" a="1"/>
  <c r="G33" i="49" s="1"/>
  <c r="G32" i="49" a="1"/>
  <c r="G32" i="49" s="1"/>
  <c r="G31" i="49" a="1"/>
  <c r="G31" i="49" s="1"/>
  <c r="G30" i="49" a="1"/>
  <c r="G30" i="49" s="1"/>
  <c r="G29" i="49" a="1"/>
  <c r="G29" i="49" s="1"/>
  <c r="G28" i="49" a="1"/>
  <c r="G28" i="49" s="1"/>
  <c r="G27" i="49" a="1"/>
  <c r="G27" i="49" s="1"/>
  <c r="G26" i="49" a="1"/>
  <c r="G26" i="49" s="1"/>
  <c r="G25" i="49" a="1"/>
  <c r="G25" i="49" s="1"/>
  <c r="G24" i="49" a="1"/>
  <c r="G24" i="49" s="1"/>
  <c r="G23" i="49" a="1"/>
  <c r="G23" i="49" s="1"/>
  <c r="G22" i="49" a="1"/>
  <c r="G22" i="49" s="1"/>
  <c r="G21" i="49" a="1"/>
  <c r="G21" i="49" s="1"/>
  <c r="G20" i="49" a="1"/>
  <c r="G20" i="49" s="1"/>
  <c r="G19" i="49" a="1"/>
  <c r="G19" i="49" s="1"/>
  <c r="G18" i="49" a="1"/>
  <c r="G18" i="49" s="1"/>
  <c r="G17" i="49" a="1"/>
  <c r="G17" i="49" s="1"/>
  <c r="G16" i="49" a="1"/>
  <c r="G16" i="49" s="1"/>
  <c r="G15" i="49"/>
  <c r="G15" i="49" a="1"/>
  <c r="G14" i="49" a="1"/>
  <c r="G14" i="49" s="1"/>
  <c r="X13" i="49" a="1"/>
  <c r="X13" i="49" s="1"/>
  <c r="AI13" i="49" s="1" a="1"/>
  <c r="AI13" i="49" s="1"/>
  <c r="W13" i="49" a="1"/>
  <c r="W13" i="49" s="1"/>
  <c r="AH13" i="49" s="1" a="1"/>
  <c r="AH13" i="49" s="1"/>
  <c r="V13" i="49" a="1"/>
  <c r="V13" i="49" s="1"/>
  <c r="AG13" i="49" s="1" a="1"/>
  <c r="AG13" i="49" s="1"/>
  <c r="U13" i="49" a="1"/>
  <c r="U13" i="49" s="1"/>
  <c r="AF13" i="49" s="1" a="1"/>
  <c r="AF13" i="49" s="1"/>
  <c r="T13" i="49" a="1"/>
  <c r="T13" i="49" s="1"/>
  <c r="AE13" i="49" s="1" a="1"/>
  <c r="AE13" i="49" s="1"/>
  <c r="S13" i="49" a="1"/>
  <c r="S13" i="49" s="1"/>
  <c r="AD13" i="49" s="1" a="1"/>
  <c r="AD13" i="49" s="1"/>
  <c r="R13" i="49" a="1"/>
  <c r="R13" i="49" s="1"/>
  <c r="Q13" i="49" a="1"/>
  <c r="Q13" i="49" s="1"/>
  <c r="P13" i="49" a="1"/>
  <c r="P13" i="49" s="1"/>
  <c r="O13" i="49" a="1"/>
  <c r="O13" i="49" s="1"/>
  <c r="N13" i="49" a="1"/>
  <c r="N13" i="49" s="1"/>
  <c r="G13" i="49" a="1"/>
  <c r="G13" i="49" s="1"/>
  <c r="G54" i="48" a="1"/>
  <c r="G54" i="48" s="1"/>
  <c r="G53" i="48"/>
  <c r="G53" i="48" a="1"/>
  <c r="G52" i="48" a="1"/>
  <c r="G52" i="48" s="1"/>
  <c r="G51" i="48" a="1"/>
  <c r="G51" i="48" s="1"/>
  <c r="G50" i="48" a="1"/>
  <c r="G50" i="48" s="1"/>
  <c r="G49" i="48" a="1"/>
  <c r="G49" i="48" s="1"/>
  <c r="G48" i="48" a="1"/>
  <c r="G48" i="48" s="1"/>
  <c r="G47" i="48" a="1"/>
  <c r="G47" i="48" s="1"/>
  <c r="G46" i="48" a="1"/>
  <c r="G46" i="48" s="1"/>
  <c r="G45" i="48" a="1"/>
  <c r="G45" i="48" s="1"/>
  <c r="G44" i="48" a="1"/>
  <c r="G44" i="48" s="1"/>
  <c r="G43" i="48" a="1"/>
  <c r="G43" i="48" s="1"/>
  <c r="G42" i="48" a="1"/>
  <c r="G42" i="48" s="1"/>
  <c r="G41" i="48" a="1"/>
  <c r="G41" i="48" s="1"/>
  <c r="G40" i="48" a="1"/>
  <c r="G40" i="48" s="1"/>
  <c r="G39" i="48" a="1"/>
  <c r="G39" i="48" s="1"/>
  <c r="G38" i="48" a="1"/>
  <c r="G38" i="48" s="1"/>
  <c r="G37" i="48" a="1"/>
  <c r="G37" i="48" s="1"/>
  <c r="G36" i="48" a="1"/>
  <c r="G36" i="48" s="1"/>
  <c r="G35" i="48" a="1"/>
  <c r="G35" i="48" s="1"/>
  <c r="G34" i="48" a="1"/>
  <c r="G34" i="48" s="1"/>
  <c r="G33" i="48" a="1"/>
  <c r="G33" i="48" s="1"/>
  <c r="G32" i="48" a="1"/>
  <c r="G32" i="48" s="1"/>
  <c r="G31" i="48" a="1"/>
  <c r="G31" i="48" s="1"/>
  <c r="G30" i="48" a="1"/>
  <c r="G30" i="48" s="1"/>
  <c r="G29" i="48" a="1"/>
  <c r="G29" i="48" s="1"/>
  <c r="G28" i="48" a="1"/>
  <c r="G28" i="48" s="1"/>
  <c r="G27" i="48" a="1"/>
  <c r="G27" i="48" s="1"/>
  <c r="G26" i="48" a="1"/>
  <c r="G26" i="48" s="1"/>
  <c r="G25" i="48" a="1"/>
  <c r="G25" i="48" s="1"/>
  <c r="G24" i="48" a="1"/>
  <c r="G24" i="48" s="1"/>
  <c r="G23" i="48" a="1"/>
  <c r="G23" i="48" s="1"/>
  <c r="G22" i="48" a="1"/>
  <c r="G22" i="48" s="1"/>
  <c r="G21" i="48" a="1"/>
  <c r="G21" i="48" s="1"/>
  <c r="G20" i="48" a="1"/>
  <c r="G20" i="48" s="1"/>
  <c r="G19" i="48" a="1"/>
  <c r="G19" i="48" s="1"/>
  <c r="G18" i="48" a="1"/>
  <c r="G18" i="48" s="1"/>
  <c r="G17" i="48" a="1"/>
  <c r="G17" i="48" s="1"/>
  <c r="G16" i="48" a="1"/>
  <c r="G16" i="48" s="1"/>
  <c r="G15" i="48" a="1"/>
  <c r="G15" i="48" s="1"/>
  <c r="G14" i="48" a="1"/>
  <c r="G14" i="48" s="1"/>
  <c r="X13" i="48" a="1"/>
  <c r="X13" i="48" s="1"/>
  <c r="AI13" i="48" s="1" a="1"/>
  <c r="AI13" i="48" s="1"/>
  <c r="W13" i="48" a="1"/>
  <c r="W13" i="48" s="1"/>
  <c r="AH13" i="48" s="1" a="1"/>
  <c r="AH13" i="48" s="1"/>
  <c r="V13" i="48" a="1"/>
  <c r="V13" i="48" s="1"/>
  <c r="AG13" i="48" s="1" a="1"/>
  <c r="AG13" i="48" s="1"/>
  <c r="U13" i="48" a="1"/>
  <c r="U13" i="48" s="1"/>
  <c r="AF13" i="48" s="1" a="1"/>
  <c r="AF13" i="48" s="1"/>
  <c r="T13" i="48" a="1"/>
  <c r="T13" i="48" s="1"/>
  <c r="AE13" i="48" s="1" a="1"/>
  <c r="AE13" i="48" s="1"/>
  <c r="S13" i="48" a="1"/>
  <c r="S13" i="48" s="1"/>
  <c r="AD13" i="48" s="1" a="1"/>
  <c r="AD13" i="48" s="1"/>
  <c r="R13" i="48" a="1"/>
  <c r="R13" i="48" s="1"/>
  <c r="Q13" i="48" a="1"/>
  <c r="Q13" i="48" s="1"/>
  <c r="P13" i="48" a="1"/>
  <c r="P13" i="48" s="1"/>
  <c r="O13" i="48" a="1"/>
  <c r="O13" i="48" s="1"/>
  <c r="N13" i="48" a="1"/>
  <c r="N13" i="48" s="1"/>
  <c r="G13" i="48" a="1"/>
  <c r="G13" i="48" s="1"/>
  <c r="G65" i="47" a="1"/>
  <c r="G65" i="47" s="1"/>
  <c r="G66" i="47" a="1"/>
  <c r="G66" i="47"/>
  <c r="G67" i="47" a="1"/>
  <c r="G67" i="47"/>
  <c r="G68" i="47" a="1"/>
  <c r="G68" i="47"/>
  <c r="G69" i="47" a="1"/>
  <c r="G69" i="47"/>
  <c r="G70" i="47" a="1"/>
  <c r="G70" i="47"/>
  <c r="G64" i="47" a="1"/>
  <c r="G64" i="47" s="1"/>
  <c r="G63" i="47" a="1"/>
  <c r="G63" i="47" s="1"/>
  <c r="G62" i="47" a="1"/>
  <c r="G62" i="47" s="1"/>
  <c r="G61" i="47" a="1"/>
  <c r="G61" i="47" s="1"/>
  <c r="G60" i="47" a="1"/>
  <c r="G60" i="47" s="1"/>
  <c r="G59" i="47" a="1"/>
  <c r="G59" i="47" s="1"/>
  <c r="G58" i="47" a="1"/>
  <c r="G58" i="47" s="1"/>
  <c r="G57" i="47" a="1"/>
  <c r="G57" i="47" s="1"/>
  <c r="G56" i="47" a="1"/>
  <c r="G56" i="47" s="1"/>
  <c r="G55" i="47"/>
  <c r="G55" i="47" a="1"/>
  <c r="G54" i="47" a="1"/>
  <c r="G54" i="47" s="1"/>
  <c r="G53" i="47" a="1"/>
  <c r="G53" i="47" s="1"/>
  <c r="G52" i="47" a="1"/>
  <c r="G52" i="47" s="1"/>
  <c r="G51" i="47" a="1"/>
  <c r="G51" i="47" s="1"/>
  <c r="G50" i="47"/>
  <c r="G50" i="47" a="1"/>
  <c r="G49" i="47" a="1"/>
  <c r="G49" i="47" s="1"/>
  <c r="G48" i="47" a="1"/>
  <c r="G48" i="47" s="1"/>
  <c r="G47" i="47" a="1"/>
  <c r="G47" i="47" s="1"/>
  <c r="G46" i="47" a="1"/>
  <c r="G46" i="47" s="1"/>
  <c r="G45" i="47" a="1"/>
  <c r="G45" i="47" s="1"/>
  <c r="G44" i="47" a="1"/>
  <c r="G44" i="47" s="1"/>
  <c r="G43" i="47" a="1"/>
  <c r="G43" i="47" s="1"/>
  <c r="G42" i="47" a="1"/>
  <c r="G42" i="47" s="1"/>
  <c r="G41" i="47" a="1"/>
  <c r="G41" i="47" s="1"/>
  <c r="G40" i="47" a="1"/>
  <c r="G40" i="47" s="1"/>
  <c r="G39" i="47" a="1"/>
  <c r="G39" i="47" s="1"/>
  <c r="G38" i="47" a="1"/>
  <c r="G38" i="47" s="1"/>
  <c r="G37" i="47" a="1"/>
  <c r="G37" i="47" s="1"/>
  <c r="G36" i="47" a="1"/>
  <c r="G36" i="47" s="1"/>
  <c r="G35" i="47" a="1"/>
  <c r="G35" i="47" s="1"/>
  <c r="G34" i="47"/>
  <c r="G34" i="47" a="1"/>
  <c r="G33" i="47" a="1"/>
  <c r="G33" i="47" s="1"/>
  <c r="G32" i="47" a="1"/>
  <c r="G32" i="47" s="1"/>
  <c r="G31" i="47" a="1"/>
  <c r="G31" i="47" s="1"/>
  <c r="G30" i="47" a="1"/>
  <c r="G30" i="47" s="1"/>
  <c r="G29" i="47" a="1"/>
  <c r="G29" i="47" s="1"/>
  <c r="G28" i="47" a="1"/>
  <c r="G28" i="47" s="1"/>
  <c r="G27" i="47" a="1"/>
  <c r="G27" i="47" s="1"/>
  <c r="G26" i="47" a="1"/>
  <c r="G26" i="47" s="1"/>
  <c r="G25" i="47" a="1"/>
  <c r="G25" i="47" s="1"/>
  <c r="G24" i="47" a="1"/>
  <c r="G24" i="47" s="1"/>
  <c r="G23" i="47" a="1"/>
  <c r="G23" i="47" s="1"/>
  <c r="G22" i="47" a="1"/>
  <c r="G22" i="47" s="1"/>
  <c r="G21" i="47" a="1"/>
  <c r="G21" i="47" s="1"/>
  <c r="G20" i="47" a="1"/>
  <c r="G20" i="47" s="1"/>
  <c r="G19" i="47" a="1"/>
  <c r="G19" i="47" s="1"/>
  <c r="G18" i="47" a="1"/>
  <c r="G18" i="47" s="1"/>
  <c r="G17" i="47" a="1"/>
  <c r="G17" i="47" s="1"/>
  <c r="G16" i="47" a="1"/>
  <c r="G16" i="47" s="1"/>
  <c r="G15" i="47" a="1"/>
  <c r="G15" i="47" s="1"/>
  <c r="G14" i="47" a="1"/>
  <c r="G14" i="47" s="1"/>
  <c r="X13" i="47" a="1"/>
  <c r="X13" i="47" s="1"/>
  <c r="AI13" i="47" s="1" a="1"/>
  <c r="AI13" i="47" s="1"/>
  <c r="W13" i="47" a="1"/>
  <c r="W13" i="47" s="1"/>
  <c r="AH13" i="47" s="1" a="1"/>
  <c r="AH13" i="47" s="1"/>
  <c r="V13" i="47" a="1"/>
  <c r="V13" i="47" s="1"/>
  <c r="AG13" i="47" s="1" a="1"/>
  <c r="AG13" i="47" s="1"/>
  <c r="U13" i="47" a="1"/>
  <c r="U13" i="47" s="1"/>
  <c r="AF13" i="47" s="1" a="1"/>
  <c r="AF13" i="47" s="1"/>
  <c r="T13" i="47" a="1"/>
  <c r="T13" i="47" s="1"/>
  <c r="AE13" i="47" s="1" a="1"/>
  <c r="AE13" i="47" s="1"/>
  <c r="S13" i="47" a="1"/>
  <c r="S13" i="47" s="1"/>
  <c r="AD13" i="47" s="1" a="1"/>
  <c r="AD13" i="47" s="1"/>
  <c r="R13" i="47" a="1"/>
  <c r="R13" i="47" s="1"/>
  <c r="Q13" i="47" a="1"/>
  <c r="Q13" i="47" s="1"/>
  <c r="P13" i="47" a="1"/>
  <c r="P13" i="47" s="1"/>
  <c r="O13" i="47" a="1"/>
  <c r="O13" i="47" s="1"/>
  <c r="N13" i="47" a="1"/>
  <c r="N13" i="47" s="1"/>
  <c r="G13" i="47" a="1"/>
  <c r="G13" i="47" s="1"/>
  <c r="G38" i="46" a="1"/>
  <c r="G38" i="46" s="1"/>
  <c r="G39" i="46" a="1"/>
  <c r="G39" i="46"/>
  <c r="G40" i="46" a="1"/>
  <c r="G40" i="46"/>
  <c r="G41" i="46" a="1"/>
  <c r="G41" i="46"/>
  <c r="G42" i="46" a="1"/>
  <c r="G42" i="46"/>
  <c r="G43" i="46" a="1"/>
  <c r="G43" i="46"/>
  <c r="G44" i="46" a="1"/>
  <c r="G44" i="46" s="1"/>
  <c r="G45" i="46" a="1"/>
  <c r="G45" i="46"/>
  <c r="G46" i="46" a="1"/>
  <c r="G46" i="46" s="1"/>
  <c r="G47" i="46" a="1"/>
  <c r="G47" i="46"/>
  <c r="G48" i="46" a="1"/>
  <c r="G48" i="46"/>
  <c r="G49" i="46" a="1"/>
  <c r="G49" i="46"/>
  <c r="G50" i="46" a="1"/>
  <c r="G50" i="46" s="1"/>
  <c r="G51" i="46" a="1"/>
  <c r="G51" i="46"/>
  <c r="G52" i="46" a="1"/>
  <c r="G52" i="46"/>
  <c r="G53" i="46" a="1"/>
  <c r="G53" i="46"/>
  <c r="G54" i="46" a="1"/>
  <c r="G54" i="46"/>
  <c r="G55" i="46" a="1"/>
  <c r="G55" i="46"/>
  <c r="G56" i="46" a="1"/>
  <c r="G56" i="46" s="1"/>
  <c r="G57" i="46" a="1"/>
  <c r="G57" i="46"/>
  <c r="G58" i="46" a="1"/>
  <c r="G58" i="46" s="1"/>
  <c r="G59" i="46" a="1"/>
  <c r="G59" i="46" s="1"/>
  <c r="G60" i="46" a="1"/>
  <c r="G60" i="46"/>
  <c r="G61" i="46" a="1"/>
  <c r="G61" i="46"/>
  <c r="G62" i="46" a="1"/>
  <c r="G62" i="46" s="1"/>
  <c r="G63" i="46" a="1"/>
  <c r="G63" i="46"/>
  <c r="G64" i="46" a="1"/>
  <c r="G64" i="46" s="1"/>
  <c r="G37" i="46" a="1"/>
  <c r="G37" i="46" s="1"/>
  <c r="G36" i="46" a="1"/>
  <c r="G36" i="46" s="1"/>
  <c r="G35" i="46" a="1"/>
  <c r="G35" i="46" s="1"/>
  <c r="G34" i="46" a="1"/>
  <c r="G34" i="46" s="1"/>
  <c r="G33" i="46" a="1"/>
  <c r="G33" i="46" s="1"/>
  <c r="G32" i="46" a="1"/>
  <c r="G32" i="46" s="1"/>
  <c r="G31" i="46" a="1"/>
  <c r="G31" i="46" s="1"/>
  <c r="G30" i="46" a="1"/>
  <c r="G30" i="46" s="1"/>
  <c r="G29" i="46" a="1"/>
  <c r="G29" i="46" s="1"/>
  <c r="G28" i="46" a="1"/>
  <c r="G28" i="46" s="1"/>
  <c r="G27" i="46" a="1"/>
  <c r="G27" i="46" s="1"/>
  <c r="G26" i="46" a="1"/>
  <c r="G26" i="46" s="1"/>
  <c r="G25" i="46" a="1"/>
  <c r="G25" i="46" s="1"/>
  <c r="G24" i="46" a="1"/>
  <c r="G24" i="46" s="1"/>
  <c r="G23" i="46" a="1"/>
  <c r="G23" i="46" s="1"/>
  <c r="G22" i="46" a="1"/>
  <c r="G22" i="46" s="1"/>
  <c r="G21" i="46" a="1"/>
  <c r="G21" i="46" s="1"/>
  <c r="G20" i="46" a="1"/>
  <c r="G20" i="46" s="1"/>
  <c r="G19" i="46" a="1"/>
  <c r="G19" i="46" s="1"/>
  <c r="G18" i="46" a="1"/>
  <c r="G18" i="46" s="1"/>
  <c r="G17" i="46" a="1"/>
  <c r="G17" i="46" s="1"/>
  <c r="G16" i="46" a="1"/>
  <c r="G16" i="46" s="1"/>
  <c r="G15" i="46" a="1"/>
  <c r="G15" i="46" s="1"/>
  <c r="G14" i="46" a="1"/>
  <c r="G14" i="46" s="1"/>
  <c r="X13" i="46" a="1"/>
  <c r="X13" i="46" s="1"/>
  <c r="AI13" i="46" s="1" a="1"/>
  <c r="AI13" i="46" s="1"/>
  <c r="W13" i="46" a="1"/>
  <c r="W13" i="46" s="1"/>
  <c r="AH13" i="46" s="1" a="1"/>
  <c r="AH13" i="46" s="1"/>
  <c r="V13" i="46" a="1"/>
  <c r="V13" i="46" s="1"/>
  <c r="AG13" i="46" s="1" a="1"/>
  <c r="AG13" i="46" s="1"/>
  <c r="U13" i="46" a="1"/>
  <c r="U13" i="46" s="1"/>
  <c r="AF13" i="46" s="1" a="1"/>
  <c r="AF13" i="46" s="1"/>
  <c r="T13" i="46" a="1"/>
  <c r="T13" i="46" s="1"/>
  <c r="AE13" i="46" s="1" a="1"/>
  <c r="AE13" i="46" s="1"/>
  <c r="S13" i="46" a="1"/>
  <c r="S13" i="46" s="1"/>
  <c r="AD13" i="46" s="1" a="1"/>
  <c r="AD13" i="46" s="1"/>
  <c r="R13" i="46" a="1"/>
  <c r="R13" i="46" s="1"/>
  <c r="Q13" i="46" a="1"/>
  <c r="Q13" i="46" s="1"/>
  <c r="P13" i="46" a="1"/>
  <c r="P13" i="46" s="1"/>
  <c r="O13" i="46" a="1"/>
  <c r="O13" i="46" s="1"/>
  <c r="N13" i="46" a="1"/>
  <c r="N13" i="46" s="1"/>
  <c r="G13" i="46" a="1"/>
  <c r="G13" i="46" s="1"/>
  <c r="F11" i="45"/>
  <c r="G37" i="45" a="1"/>
  <c r="G37" i="45" s="1"/>
  <c r="G36" i="45"/>
  <c r="G36" i="45" a="1"/>
  <c r="G35" i="45" a="1"/>
  <c r="G35" i="45" s="1"/>
  <c r="G34" i="45" a="1"/>
  <c r="G34" i="45" s="1"/>
  <c r="G33" i="45" a="1"/>
  <c r="G33" i="45" s="1"/>
  <c r="G32" i="45" a="1"/>
  <c r="G32" i="45" s="1"/>
  <c r="G31" i="45" a="1"/>
  <c r="G31" i="45" s="1"/>
  <c r="G30" i="45" a="1"/>
  <c r="G30" i="45" s="1"/>
  <c r="G29" i="45" a="1"/>
  <c r="G29" i="45" s="1"/>
  <c r="G28" i="45" a="1"/>
  <c r="G28" i="45" s="1"/>
  <c r="G27" i="45" a="1"/>
  <c r="G27" i="45" s="1"/>
  <c r="G26" i="45" a="1"/>
  <c r="G26" i="45" s="1"/>
  <c r="G25" i="45" a="1"/>
  <c r="G25" i="45" s="1"/>
  <c r="G24" i="45" a="1"/>
  <c r="G24" i="45" s="1"/>
  <c r="G23" i="45" a="1"/>
  <c r="G23" i="45" s="1"/>
  <c r="G22" i="45" a="1"/>
  <c r="G22" i="45" s="1"/>
  <c r="G21" i="45" a="1"/>
  <c r="G21" i="45" s="1"/>
  <c r="G20" i="45" a="1"/>
  <c r="G20" i="45" s="1"/>
  <c r="G19" i="45" a="1"/>
  <c r="G19" i="45" s="1"/>
  <c r="G18" i="45" a="1"/>
  <c r="G18" i="45" s="1"/>
  <c r="G17" i="45" a="1"/>
  <c r="G17" i="45" s="1"/>
  <c r="G16" i="45" a="1"/>
  <c r="G16" i="45" s="1"/>
  <c r="G15" i="45" a="1"/>
  <c r="G15" i="45" s="1"/>
  <c r="G14" i="45" a="1"/>
  <c r="G14" i="45" s="1"/>
  <c r="X13" i="45" a="1"/>
  <c r="X13" i="45" s="1"/>
  <c r="AI13" i="45" s="1" a="1"/>
  <c r="AI13" i="45" s="1"/>
  <c r="W13" i="45" a="1"/>
  <c r="W13" i="45" s="1"/>
  <c r="AH13" i="45" s="1" a="1"/>
  <c r="AH13" i="45" s="1"/>
  <c r="V13" i="45" a="1"/>
  <c r="V13" i="45" s="1"/>
  <c r="AG13" i="45" s="1" a="1"/>
  <c r="AG13" i="45" s="1"/>
  <c r="U13" i="45" a="1"/>
  <c r="U13" i="45" s="1"/>
  <c r="AF13" i="45" s="1" a="1"/>
  <c r="AF13" i="45" s="1"/>
  <c r="T13" i="45" a="1"/>
  <c r="T13" i="45" s="1"/>
  <c r="AE13" i="45" s="1" a="1"/>
  <c r="AE13" i="45" s="1"/>
  <c r="S13" i="45" a="1"/>
  <c r="S13" i="45" s="1"/>
  <c r="AD13" i="45" s="1" a="1"/>
  <c r="AD13" i="45" s="1"/>
  <c r="R13" i="45" a="1"/>
  <c r="R13" i="45" s="1"/>
  <c r="Q13" i="45" a="1"/>
  <c r="Q13" i="45" s="1"/>
  <c r="P13" i="45" a="1"/>
  <c r="P13" i="45" s="1"/>
  <c r="O13" i="45" a="1"/>
  <c r="O13" i="45" s="1"/>
  <c r="N13" i="45" a="1"/>
  <c r="N13" i="45" s="1"/>
  <c r="G13" i="45" a="1"/>
  <c r="G13" i="45" s="1"/>
  <c r="N13" i="20" a="1"/>
  <c r="N13" i="20" s="1"/>
  <c r="F11" i="22"/>
  <c r="F11" i="20"/>
  <c r="L15" i="53" l="1"/>
  <c r="AA15" i="53" a="1"/>
  <c r="AA15" i="53" s="1"/>
  <c r="Z15" i="53" a="1"/>
  <c r="Z15" i="53" s="1"/>
  <c r="Y15" i="53" a="1"/>
  <c r="Y15" i="53" s="1"/>
  <c r="L21" i="53"/>
  <c r="Z21" i="53" a="1"/>
  <c r="Z21" i="53" s="1"/>
  <c r="Y21" i="53" a="1"/>
  <c r="Y21" i="53" s="1"/>
  <c r="Z22" i="53" a="1"/>
  <c r="Z22" i="53" s="1"/>
  <c r="Y22" i="53" a="1"/>
  <c r="Y22" i="53" s="1"/>
  <c r="L45" i="51"/>
  <c r="AA45" i="51" a="1"/>
  <c r="AA45" i="51" s="1"/>
  <c r="Z45" i="51" a="1"/>
  <c r="Z45" i="51" s="1"/>
  <c r="AC45" i="51" a="1"/>
  <c r="AC45" i="51" s="1"/>
  <c r="AB45" i="51" a="1"/>
  <c r="AB45" i="51" s="1"/>
  <c r="Y45" i="51" a="1"/>
  <c r="Y45" i="51" s="1"/>
  <c r="H16" i="52"/>
  <c r="H36" i="52"/>
  <c r="Y46" i="52" a="1"/>
  <c r="Y46" i="52" s="1"/>
  <c r="H40" i="52"/>
  <c r="Y26" i="52" a="1"/>
  <c r="Y26" i="52" s="1"/>
  <c r="Z26" i="52" a="1"/>
  <c r="Z26" i="52" s="1"/>
  <c r="Z34" i="52" a="1"/>
  <c r="Z34" i="52" s="1"/>
  <c r="H47" i="52"/>
  <c r="AA34" i="52" a="1"/>
  <c r="AA34" i="52" s="1"/>
  <c r="H44" i="52"/>
  <c r="H38" i="52"/>
  <c r="AA28" i="52" a="1"/>
  <c r="AA28" i="52" s="1"/>
  <c r="J28" i="52" s="1" a="1"/>
  <c r="J28" i="52" s="1"/>
  <c r="H25" i="52"/>
  <c r="H22" i="52"/>
  <c r="H30" i="52"/>
  <c r="Y23" i="52" a="1"/>
  <c r="Y23" i="52" s="1"/>
  <c r="Y34" i="52" a="1"/>
  <c r="Y34" i="52" s="1"/>
  <c r="H29" i="52"/>
  <c r="Z23" i="52" a="1"/>
  <c r="Z23" i="52" s="1"/>
  <c r="Z46" i="52" a="1"/>
  <c r="Z46" i="52" s="1"/>
  <c r="Y28" i="52" a="1"/>
  <c r="Y28" i="52" s="1"/>
  <c r="H27" i="52"/>
  <c r="Y41" i="52" a="1"/>
  <c r="Y41" i="52" s="1"/>
  <c r="H37" i="52"/>
  <c r="H20" i="52"/>
  <c r="Z41" i="52" a="1"/>
  <c r="Z41" i="52" s="1"/>
  <c r="M11" i="56"/>
  <c r="E15" i="4" s="1"/>
  <c r="K115" i="56" a="1"/>
  <c r="K115" i="56" s="1"/>
  <c r="K114" i="56" a="1"/>
  <c r="K114" i="56" s="1"/>
  <c r="K113" i="56" a="1"/>
  <c r="K113" i="56" s="1"/>
  <c r="K112" i="56" a="1"/>
  <c r="K112" i="56" s="1"/>
  <c r="K111" i="56" a="1"/>
  <c r="K111" i="56" s="1"/>
  <c r="K110" i="56" a="1"/>
  <c r="K110" i="56" s="1"/>
  <c r="K109" i="56" a="1"/>
  <c r="K109" i="56" s="1"/>
  <c r="K108" i="56" a="1"/>
  <c r="K108" i="56" s="1"/>
  <c r="K107" i="56" a="1"/>
  <c r="K107" i="56" s="1"/>
  <c r="K106" i="56" a="1"/>
  <c r="K106" i="56" s="1"/>
  <c r="K105" i="56" a="1"/>
  <c r="K105" i="56" s="1"/>
  <c r="K103" i="56" a="1"/>
  <c r="K103" i="56" s="1"/>
  <c r="K104" i="56" a="1"/>
  <c r="K104" i="56" s="1"/>
  <c r="K102" i="56" a="1"/>
  <c r="K102" i="56" s="1"/>
  <c r="K101" i="56" a="1"/>
  <c r="K101" i="56" s="1"/>
  <c r="K100" i="56" a="1"/>
  <c r="K100" i="56" s="1"/>
  <c r="K99" i="56" a="1"/>
  <c r="K99" i="56" s="1"/>
  <c r="K97" i="56" a="1"/>
  <c r="K97" i="56" s="1"/>
  <c r="K96" i="56" a="1"/>
  <c r="K96" i="56" s="1"/>
  <c r="K95" i="56" a="1"/>
  <c r="K95" i="56" s="1"/>
  <c r="K94" i="56" a="1"/>
  <c r="K94" i="56" s="1"/>
  <c r="K93" i="56" a="1"/>
  <c r="K93" i="56" s="1"/>
  <c r="K92" i="56" a="1"/>
  <c r="K92" i="56" s="1"/>
  <c r="K75" i="56" a="1"/>
  <c r="K75" i="56" s="1"/>
  <c r="K91" i="56" a="1"/>
  <c r="K91" i="56" s="1"/>
  <c r="K70" i="56" a="1"/>
  <c r="K70" i="56" s="1"/>
  <c r="K87" i="56" a="1"/>
  <c r="K87" i="56" s="1"/>
  <c r="K78" i="56" a="1"/>
  <c r="K78" i="56" s="1"/>
  <c r="K90" i="56" a="1"/>
  <c r="K90" i="56" s="1"/>
  <c r="K83" i="56" a="1"/>
  <c r="K83" i="56" s="1"/>
  <c r="K81" i="56" a="1"/>
  <c r="K81" i="56" s="1"/>
  <c r="K76" i="56" a="1"/>
  <c r="K76" i="56" s="1"/>
  <c r="K77" i="56" a="1"/>
  <c r="K77" i="56" s="1"/>
  <c r="K85" i="56" a="1"/>
  <c r="K85" i="56" s="1"/>
  <c r="K88" i="56" a="1"/>
  <c r="K88" i="56" s="1"/>
  <c r="K86" i="56" a="1"/>
  <c r="K86" i="56" s="1"/>
  <c r="K80" i="56" a="1"/>
  <c r="K80" i="56" s="1"/>
  <c r="K82" i="56" a="1"/>
  <c r="K82" i="56" s="1"/>
  <c r="K69" i="56" a="1"/>
  <c r="K69" i="56" s="1"/>
  <c r="K74" i="56" a="1"/>
  <c r="K74" i="56" s="1"/>
  <c r="K84" i="56" a="1"/>
  <c r="K84" i="56" s="1"/>
  <c r="K89" i="56" a="1"/>
  <c r="K89" i="56" s="1"/>
  <c r="K71" i="56" a="1"/>
  <c r="K71" i="56" s="1"/>
  <c r="K79" i="56" a="1"/>
  <c r="K79" i="56" s="1"/>
  <c r="K73" i="56" a="1"/>
  <c r="K73" i="56" s="1"/>
  <c r="K72" i="56" a="1"/>
  <c r="K72" i="56" s="1"/>
  <c r="K67" i="56" a="1"/>
  <c r="K67" i="56" s="1"/>
  <c r="K63" i="56" a="1"/>
  <c r="K63" i="56" s="1"/>
  <c r="K68" i="56" a="1"/>
  <c r="K68" i="56" s="1"/>
  <c r="K66" i="56" a="1"/>
  <c r="K66" i="56" s="1"/>
  <c r="K65" i="56" a="1"/>
  <c r="K65" i="56" s="1"/>
  <c r="K52" i="56" a="1"/>
  <c r="K52" i="56" s="1"/>
  <c r="K64" i="56" a="1"/>
  <c r="K64" i="56" s="1"/>
  <c r="K62" i="56" a="1"/>
  <c r="K62" i="56" s="1"/>
  <c r="K61" i="56" a="1"/>
  <c r="K61" i="56" s="1"/>
  <c r="K60" i="56" a="1"/>
  <c r="K60" i="56" s="1"/>
  <c r="K59" i="56" a="1"/>
  <c r="K59" i="56" s="1"/>
  <c r="K58" i="56" a="1"/>
  <c r="K58" i="56" s="1"/>
  <c r="K57" i="56" a="1"/>
  <c r="K57" i="56" s="1"/>
  <c r="K56" i="56" a="1"/>
  <c r="K56" i="56" s="1"/>
  <c r="K55" i="56" a="1"/>
  <c r="K55" i="56" s="1"/>
  <c r="K54" i="56" a="1"/>
  <c r="K54" i="56" s="1"/>
  <c r="K53" i="56" a="1"/>
  <c r="K53" i="56" s="1"/>
  <c r="K51" i="56" a="1"/>
  <c r="K51" i="56" s="1"/>
  <c r="K44" i="56" a="1"/>
  <c r="K44" i="56" s="1"/>
  <c r="K49" i="56" a="1"/>
  <c r="K49" i="56" s="1"/>
  <c r="K50" i="56" a="1"/>
  <c r="K50" i="56" s="1"/>
  <c r="K45" i="56" a="1"/>
  <c r="K45" i="56" s="1"/>
  <c r="K46" i="56" a="1"/>
  <c r="K46" i="56" s="1"/>
  <c r="K41" i="56" a="1"/>
  <c r="K41" i="56" s="1"/>
  <c r="K32" i="56" a="1"/>
  <c r="K32" i="56" s="1"/>
  <c r="K47" i="56" a="1"/>
  <c r="K47" i="56" s="1"/>
  <c r="K13" i="56" a="1"/>
  <c r="K13" i="56" s="1"/>
  <c r="K30" i="56" a="1"/>
  <c r="K30" i="56" s="1"/>
  <c r="K48" i="56" a="1"/>
  <c r="K48" i="56" s="1"/>
  <c r="K36" i="56" a="1"/>
  <c r="K36" i="56" s="1"/>
  <c r="K38" i="56" a="1"/>
  <c r="K38" i="56" s="1"/>
  <c r="K43" i="56" a="1"/>
  <c r="K43" i="56" s="1"/>
  <c r="K26" i="56" a="1"/>
  <c r="K26" i="56" s="1"/>
  <c r="K28" i="56" a="1"/>
  <c r="K28" i="56" s="1"/>
  <c r="K31" i="56" a="1"/>
  <c r="K31" i="56" s="1"/>
  <c r="K34" i="56" a="1"/>
  <c r="K34" i="56" s="1"/>
  <c r="K18" i="56" a="1"/>
  <c r="K18" i="56" s="1"/>
  <c r="K29" i="56" a="1"/>
  <c r="K29" i="56" s="1"/>
  <c r="K15" i="56" a="1"/>
  <c r="K15" i="56" s="1"/>
  <c r="K37" i="56" a="1"/>
  <c r="K37" i="56" s="1"/>
  <c r="K17" i="56" a="1"/>
  <c r="K17" i="56" s="1"/>
  <c r="K22" i="56" a="1"/>
  <c r="K22" i="56" s="1"/>
  <c r="K16" i="56" a="1"/>
  <c r="K16" i="56" s="1"/>
  <c r="K33" i="56" a="1"/>
  <c r="K33" i="56" s="1"/>
  <c r="K42" i="56" a="1"/>
  <c r="K42" i="56" s="1"/>
  <c r="K20" i="56" a="1"/>
  <c r="K20" i="56" s="1"/>
  <c r="K39" i="56" a="1"/>
  <c r="K39" i="56" s="1"/>
  <c r="K23" i="56" a="1"/>
  <c r="K23" i="56" s="1"/>
  <c r="K40" i="56" a="1"/>
  <c r="K40" i="56" s="1"/>
  <c r="K14" i="56" a="1"/>
  <c r="K14" i="56" s="1"/>
  <c r="K21" i="56" a="1"/>
  <c r="K21" i="56" s="1"/>
  <c r="K27" i="56" a="1"/>
  <c r="K27" i="56" s="1"/>
  <c r="K24" i="56" a="1"/>
  <c r="K24" i="56" s="1"/>
  <c r="K35" i="56" a="1"/>
  <c r="K35" i="56" s="1"/>
  <c r="K25" i="56" a="1"/>
  <c r="K25" i="56" s="1"/>
  <c r="K19" i="56" a="1"/>
  <c r="K19" i="56" s="1"/>
  <c r="J13" i="50" a="1"/>
  <c r="J13" i="50" s="1"/>
  <c r="AC13" i="49" a="1"/>
  <c r="AC13" i="49" s="1"/>
  <c r="Z13" i="49" a="1"/>
  <c r="Z13" i="49" s="1"/>
  <c r="AB13" i="49" a="1"/>
  <c r="AB13" i="49" s="1"/>
  <c r="AA13" i="49" a="1"/>
  <c r="AA13" i="49" s="1"/>
  <c r="AB13" i="48" a="1"/>
  <c r="AB13" i="48" s="1"/>
  <c r="AC13" i="48" a="1"/>
  <c r="AC13" i="48" s="1"/>
  <c r="Z13" i="48" a="1"/>
  <c r="Z13" i="48" s="1"/>
  <c r="AA13" i="48" a="1"/>
  <c r="AA13" i="48" s="1"/>
  <c r="AA13" i="47" a="1"/>
  <c r="AA13" i="47" s="1"/>
  <c r="AB13" i="47" a="1"/>
  <c r="AB13" i="47" s="1"/>
  <c r="AC13" i="47" a="1"/>
  <c r="AC13" i="47" s="1"/>
  <c r="Z13" i="47" a="1"/>
  <c r="Z13" i="47" s="1"/>
  <c r="Z13" i="46" a="1"/>
  <c r="Z13" i="46" s="1"/>
  <c r="AB13" i="46" a="1"/>
  <c r="AB13" i="46" s="1"/>
  <c r="AC13" i="46" a="1"/>
  <c r="AC13" i="46" s="1"/>
  <c r="AA13" i="46" a="1"/>
  <c r="AA13" i="46" s="1"/>
  <c r="H43" i="52"/>
  <c r="H14" i="52"/>
  <c r="H18" i="52"/>
  <c r="H48" i="52"/>
  <c r="H42" i="52"/>
  <c r="H32" i="52"/>
  <c r="H45" i="52"/>
  <c r="H33" i="52"/>
  <c r="H24" i="52"/>
  <c r="H39" i="52"/>
  <c r="H13" i="52"/>
  <c r="H17" i="52"/>
  <c r="H15" i="52"/>
  <c r="H31" i="52"/>
  <c r="H19" i="52"/>
  <c r="H21" i="52"/>
  <c r="J18" i="50" a="1"/>
  <c r="J18" i="50" s="1"/>
  <c r="J20" i="50" a="1"/>
  <c r="J20" i="50" s="1"/>
  <c r="J32" i="54" a="1"/>
  <c r="J32" i="54" s="1"/>
  <c r="J34" i="54" a="1"/>
  <c r="J34" i="54" s="1"/>
  <c r="J15" i="53" a="1"/>
  <c r="J15" i="53" s="1"/>
  <c r="J64" i="46" a="1"/>
  <c r="J64" i="46" s="1"/>
  <c r="J57" i="46" a="1"/>
  <c r="J57" i="46" s="1"/>
  <c r="H21" i="55"/>
  <c r="J21" i="55" s="1" a="1"/>
  <c r="J21" i="55" s="1"/>
  <c r="H23" i="55"/>
  <c r="L23" i="55" s="1"/>
  <c r="H16" i="55"/>
  <c r="L16" i="55" s="1"/>
  <c r="H31" i="55"/>
  <c r="L31" i="55" s="1"/>
  <c r="H35" i="55"/>
  <c r="L35" i="55" s="1"/>
  <c r="H19" i="55"/>
  <c r="L19" i="55" s="1"/>
  <c r="H24" i="55"/>
  <c r="L24" i="55" s="1"/>
  <c r="H25" i="55"/>
  <c r="L25" i="55" s="1"/>
  <c r="H33" i="55"/>
  <c r="L33" i="55" s="1"/>
  <c r="H18" i="55"/>
  <c r="L18" i="55" s="1"/>
  <c r="H36" i="55"/>
  <c r="H13" i="55"/>
  <c r="L13" i="55" s="1"/>
  <c r="H17" i="55"/>
  <c r="L17" i="55" s="1"/>
  <c r="H34" i="55"/>
  <c r="L34" i="55" s="1"/>
  <c r="H20" i="55"/>
  <c r="L20" i="55" s="1"/>
  <c r="H27" i="55"/>
  <c r="L27" i="55" s="1"/>
  <c r="L14" i="55"/>
  <c r="Y14" i="55" a="1"/>
  <c r="Y14" i="55" s="1"/>
  <c r="J14" i="55" s="1" a="1"/>
  <c r="J14" i="55" s="1"/>
  <c r="J25" i="55" a="1"/>
  <c r="J25" i="55" s="1"/>
  <c r="H22" i="55"/>
  <c r="H30" i="55"/>
  <c r="H15" i="55"/>
  <c r="H29" i="55"/>
  <c r="J35" i="55" a="1"/>
  <c r="J35" i="55" s="1"/>
  <c r="J19" i="55" a="1"/>
  <c r="J19" i="55" s="1"/>
  <c r="H26" i="55"/>
  <c r="H32" i="55"/>
  <c r="H28" i="55"/>
  <c r="H23" i="54"/>
  <c r="L23" i="54" s="1"/>
  <c r="H24" i="54"/>
  <c r="L24" i="54" s="1"/>
  <c r="H15" i="54"/>
  <c r="L15" i="54" s="1"/>
  <c r="H22" i="54"/>
  <c r="L22" i="54" s="1"/>
  <c r="J24" i="54" a="1"/>
  <c r="J24" i="54" s="1"/>
  <c r="H17" i="54"/>
  <c r="L17" i="54" s="1"/>
  <c r="H26" i="54"/>
  <c r="H28" i="54"/>
  <c r="H29" i="54"/>
  <c r="H33" i="54"/>
  <c r="H27" i="54"/>
  <c r="H30" i="54"/>
  <c r="H25" i="54"/>
  <c r="L25" i="54" s="1"/>
  <c r="H31" i="54"/>
  <c r="H20" i="54"/>
  <c r="H35" i="54"/>
  <c r="J17" i="54" a="1"/>
  <c r="J17" i="54" s="1"/>
  <c r="J15" i="54" a="1"/>
  <c r="J15" i="54" s="1"/>
  <c r="J23" i="54" a="1"/>
  <c r="J23" i="54" s="1"/>
  <c r="H18" i="54"/>
  <c r="J21" i="54" a="1"/>
  <c r="J21" i="54" s="1"/>
  <c r="H13" i="54"/>
  <c r="H19" i="54"/>
  <c r="H16" i="54"/>
  <c r="H14" i="54"/>
  <c r="L22" i="53"/>
  <c r="J22" i="53" a="1"/>
  <c r="J22" i="53" s="1"/>
  <c r="H20" i="53"/>
  <c r="H25" i="53"/>
  <c r="H24" i="53"/>
  <c r="H19" i="53"/>
  <c r="H17" i="53"/>
  <c r="H16" i="53"/>
  <c r="H23" i="53"/>
  <c r="H18" i="53"/>
  <c r="L13" i="53"/>
  <c r="Y13" i="53" a="1"/>
  <c r="Y13" i="53" s="1"/>
  <c r="J13" i="53" s="1" a="1"/>
  <c r="J13" i="53" s="1"/>
  <c r="J21" i="53" a="1"/>
  <c r="J21" i="53" s="1"/>
  <c r="H14" i="53"/>
  <c r="L35" i="52"/>
  <c r="J35" i="52" a="1"/>
  <c r="J35" i="52" s="1"/>
  <c r="L28" i="52"/>
  <c r="L16" i="52"/>
  <c r="H14" i="51"/>
  <c r="H16" i="51"/>
  <c r="H24" i="51"/>
  <c r="H20" i="51"/>
  <c r="H22" i="51"/>
  <c r="H54" i="51"/>
  <c r="H23" i="51"/>
  <c r="H40" i="51"/>
  <c r="H29" i="51"/>
  <c r="H42" i="51"/>
  <c r="H25" i="51"/>
  <c r="H21" i="51"/>
  <c r="H28" i="51"/>
  <c r="H57" i="51"/>
  <c r="H33" i="51"/>
  <c r="H52" i="51"/>
  <c r="H43" i="51"/>
  <c r="H18" i="51"/>
  <c r="H30" i="51"/>
  <c r="H27" i="51"/>
  <c r="H55" i="51"/>
  <c r="H31" i="51"/>
  <c r="H48" i="51"/>
  <c r="H17" i="51"/>
  <c r="H34" i="51"/>
  <c r="H19" i="51"/>
  <c r="H49" i="51"/>
  <c r="H47" i="51"/>
  <c r="H50" i="51"/>
  <c r="H56" i="51"/>
  <c r="H35" i="51"/>
  <c r="H59" i="51"/>
  <c r="H36" i="51"/>
  <c r="H60" i="51"/>
  <c r="H38" i="51"/>
  <c r="H37" i="51"/>
  <c r="H51" i="51"/>
  <c r="H41" i="51"/>
  <c r="H46" i="51"/>
  <c r="H44" i="51"/>
  <c r="H26" i="51"/>
  <c r="H13" i="51"/>
  <c r="H58" i="51"/>
  <c r="H53" i="51"/>
  <c r="H39" i="51"/>
  <c r="H32" i="51"/>
  <c r="H15" i="51"/>
  <c r="H32" i="50"/>
  <c r="L32" i="50" s="1"/>
  <c r="H19" i="50"/>
  <c r="L19" i="50" s="1"/>
  <c r="H22" i="50"/>
  <c r="L25" i="50"/>
  <c r="J25" i="50" a="1"/>
  <c r="J25" i="50" s="1"/>
  <c r="J14" i="50" a="1"/>
  <c r="J14" i="50" s="1"/>
  <c r="J30" i="50" a="1"/>
  <c r="J30" i="50" s="1"/>
  <c r="J21" i="50" a="1"/>
  <c r="J21" i="50" s="1"/>
  <c r="H23" i="50"/>
  <c r="H17" i="50"/>
  <c r="J31" i="50" a="1"/>
  <c r="J31" i="50" s="1"/>
  <c r="J15" i="50" a="1"/>
  <c r="J15" i="50" s="1"/>
  <c r="L27" i="50"/>
  <c r="J27" i="50" a="1"/>
  <c r="J27" i="50" s="1"/>
  <c r="J26" i="50" a="1"/>
  <c r="J26" i="50" s="1"/>
  <c r="J24" i="50" a="1"/>
  <c r="J24" i="50" s="1"/>
  <c r="J29" i="50" a="1"/>
  <c r="J29" i="50" s="1"/>
  <c r="J28" i="50" a="1"/>
  <c r="J28" i="50" s="1"/>
  <c r="L13" i="50"/>
  <c r="J16" i="50" a="1"/>
  <c r="J16" i="50" s="1"/>
  <c r="J33" i="50" a="1"/>
  <c r="J33" i="50" s="1"/>
  <c r="G11" i="49"/>
  <c r="H19" i="49" s="1"/>
  <c r="L19" i="49" s="1"/>
  <c r="G11" i="48"/>
  <c r="H32" i="48" s="1"/>
  <c r="G11" i="47"/>
  <c r="H70" i="47" s="1"/>
  <c r="L70" i="47" s="1"/>
  <c r="H64" i="46"/>
  <c r="L64" i="46" s="1"/>
  <c r="H63" i="46"/>
  <c r="L63" i="46" s="1"/>
  <c r="H44" i="46"/>
  <c r="L44" i="46" s="1"/>
  <c r="H57" i="46"/>
  <c r="L57" i="46" s="1"/>
  <c r="H41" i="46"/>
  <c r="L41" i="46" s="1"/>
  <c r="H61" i="46"/>
  <c r="L61" i="46" s="1"/>
  <c r="H54" i="46"/>
  <c r="L54" i="46" s="1"/>
  <c r="H40" i="46"/>
  <c r="L40" i="46" s="1"/>
  <c r="G11" i="46"/>
  <c r="H43" i="46" s="1"/>
  <c r="L43" i="46" s="1"/>
  <c r="H14" i="46"/>
  <c r="H28" i="46"/>
  <c r="L28" i="46" s="1"/>
  <c r="H32" i="46"/>
  <c r="L32" i="46" s="1"/>
  <c r="H37" i="46"/>
  <c r="L37" i="46" s="1"/>
  <c r="H17" i="46"/>
  <c r="L17" i="46" s="1"/>
  <c r="H35" i="46"/>
  <c r="L35" i="46" s="1"/>
  <c r="H33" i="46"/>
  <c r="L33" i="46" s="1"/>
  <c r="H18" i="46"/>
  <c r="G11" i="45"/>
  <c r="H19" i="45" s="1"/>
  <c r="J45" i="51" l="1" a="1"/>
  <c r="J45" i="51" s="1"/>
  <c r="Y14" i="53" a="1"/>
  <c r="Y14" i="53" s="1"/>
  <c r="Z14" i="53" a="1"/>
  <c r="Z14" i="53" s="1"/>
  <c r="Z18" i="53" a="1"/>
  <c r="Z18" i="53" s="1"/>
  <c r="Y18" i="53" a="1"/>
  <c r="Y18" i="53" s="1"/>
  <c r="Z23" i="53" a="1"/>
  <c r="Z23" i="53" s="1"/>
  <c r="AA23" i="53" a="1"/>
  <c r="AA23" i="53" s="1"/>
  <c r="Y23" i="53" a="1"/>
  <c r="Y23" i="53" s="1"/>
  <c r="Z16" i="53" a="1"/>
  <c r="Z16" i="53" s="1"/>
  <c r="AA16" i="53" a="1"/>
  <c r="AA16" i="53" s="1"/>
  <c r="Y16" i="53" a="1"/>
  <c r="Y16" i="53" s="1"/>
  <c r="J16" i="53" s="1" a="1"/>
  <c r="J16" i="53" s="1"/>
  <c r="Z17" i="53" a="1"/>
  <c r="Z17" i="53" s="1"/>
  <c r="Y17" i="53" a="1"/>
  <c r="Y17" i="53" s="1"/>
  <c r="AA19" i="53" a="1"/>
  <c r="AA19" i="53" s="1"/>
  <c r="Z19" i="53" a="1"/>
  <c r="Z19" i="53" s="1"/>
  <c r="Y19" i="53" a="1"/>
  <c r="Y19" i="53" s="1"/>
  <c r="J19" i="53" s="1" a="1"/>
  <c r="J19" i="53" s="1"/>
  <c r="L24" i="53"/>
  <c r="AA24" i="53" a="1"/>
  <c r="AA24" i="53" s="1"/>
  <c r="Z24" i="53" a="1"/>
  <c r="Z24" i="53" s="1"/>
  <c r="Y24" i="53" a="1"/>
  <c r="Y24" i="53" s="1"/>
  <c r="Z25" i="53" a="1"/>
  <c r="Z25" i="53" s="1"/>
  <c r="AA25" i="53" a="1"/>
  <c r="AA25" i="53" s="1"/>
  <c r="Y25" i="53" a="1"/>
  <c r="Y25" i="53" s="1"/>
  <c r="J25" i="53" s="1" a="1"/>
  <c r="J25" i="53" s="1"/>
  <c r="Z20" i="53" a="1"/>
  <c r="Z20" i="53" s="1"/>
  <c r="Y20" i="53" a="1"/>
  <c r="Y20" i="53" s="1"/>
  <c r="J20" i="53" s="1" a="1"/>
  <c r="J20" i="53" s="1"/>
  <c r="AB19" i="45" a="1"/>
  <c r="AB19" i="45" s="1"/>
  <c r="AA19" i="45" a="1"/>
  <c r="AA19" i="45" s="1"/>
  <c r="Z19" i="45" a="1"/>
  <c r="Z19" i="45" s="1"/>
  <c r="AC19" i="45" a="1"/>
  <c r="AC19" i="45" s="1"/>
  <c r="Y19" i="45" a="1"/>
  <c r="Y19" i="45" s="1"/>
  <c r="J19" i="45" s="1" a="1"/>
  <c r="J19" i="45" s="1"/>
  <c r="AA15" i="51" a="1"/>
  <c r="AA15" i="51" s="1"/>
  <c r="Z15" i="51" a="1"/>
  <c r="Z15" i="51" s="1"/>
  <c r="AC15" i="51" a="1"/>
  <c r="AC15" i="51" s="1"/>
  <c r="AB15" i="51" a="1"/>
  <c r="AB15" i="51" s="1"/>
  <c r="Y15" i="51" a="1"/>
  <c r="Y15" i="51" s="1"/>
  <c r="Z32" i="51" a="1"/>
  <c r="Z32" i="51" s="1"/>
  <c r="AB32" i="51" a="1"/>
  <c r="AB32" i="51" s="1"/>
  <c r="AA32" i="51" a="1"/>
  <c r="AA32" i="51" s="1"/>
  <c r="Y32" i="51" a="1"/>
  <c r="Y32" i="51" s="1"/>
  <c r="AC32" i="51" a="1"/>
  <c r="AC32" i="51" s="1"/>
  <c r="Z39" i="51" a="1"/>
  <c r="Z39" i="51" s="1"/>
  <c r="AC39" i="51" a="1"/>
  <c r="AC39" i="51" s="1"/>
  <c r="AB39" i="51" a="1"/>
  <c r="AB39" i="51" s="1"/>
  <c r="AA39" i="51" a="1"/>
  <c r="AA39" i="51" s="1"/>
  <c r="Y39" i="51" a="1"/>
  <c r="Y39" i="51" s="1"/>
  <c r="J39" i="51" s="1" a="1"/>
  <c r="J39" i="51" s="1"/>
  <c r="AB53" i="51" a="1"/>
  <c r="AB53" i="51" s="1"/>
  <c r="AC53" i="51" a="1"/>
  <c r="AC53" i="51" s="1"/>
  <c r="AA53" i="51" a="1"/>
  <c r="AA53" i="51" s="1"/>
  <c r="Z53" i="51" a="1"/>
  <c r="Z53" i="51" s="1"/>
  <c r="Y53" i="51" a="1"/>
  <c r="Y53" i="51" s="1"/>
  <c r="AC58" i="51" a="1"/>
  <c r="AC58" i="51" s="1"/>
  <c r="AB58" i="51" a="1"/>
  <c r="AB58" i="51" s="1"/>
  <c r="AA58" i="51" a="1"/>
  <c r="AA58" i="51" s="1"/>
  <c r="Z58" i="51" a="1"/>
  <c r="Z58" i="51" s="1"/>
  <c r="Y58" i="51" a="1"/>
  <c r="Y58" i="51" s="1"/>
  <c r="Y13" i="51" a="1"/>
  <c r="Y13" i="51" s="1"/>
  <c r="AA13" i="51" a="1"/>
  <c r="AA13" i="51" s="1"/>
  <c r="AB13" i="51" a="1"/>
  <c r="AB13" i="51" s="1"/>
  <c r="AC13" i="51" a="1"/>
  <c r="AC13" i="51" s="1"/>
  <c r="Z13" i="51" a="1"/>
  <c r="Z13" i="51" s="1"/>
  <c r="L26" i="51"/>
  <c r="AB26" i="51" a="1"/>
  <c r="AB26" i="51" s="1"/>
  <c r="AA26" i="51" a="1"/>
  <c r="AA26" i="51" s="1"/>
  <c r="Z26" i="51" a="1"/>
  <c r="Z26" i="51" s="1"/>
  <c r="AC26" i="51" a="1"/>
  <c r="AC26" i="51" s="1"/>
  <c r="Y26" i="51" a="1"/>
  <c r="Y26" i="51" s="1"/>
  <c r="AC44" i="51" a="1"/>
  <c r="AC44" i="51" s="1"/>
  <c r="AB44" i="51" a="1"/>
  <c r="AB44" i="51" s="1"/>
  <c r="AA44" i="51" a="1"/>
  <c r="AA44" i="51" s="1"/>
  <c r="Z44" i="51" a="1"/>
  <c r="Z44" i="51" s="1"/>
  <c r="Y44" i="51" a="1"/>
  <c r="Y44" i="51" s="1"/>
  <c r="AB46" i="51" a="1"/>
  <c r="AB46" i="51" s="1"/>
  <c r="AC46" i="51" a="1"/>
  <c r="AC46" i="51" s="1"/>
  <c r="Z46" i="51" a="1"/>
  <c r="Z46" i="51" s="1"/>
  <c r="Y46" i="51" a="1"/>
  <c r="Y46" i="51" s="1"/>
  <c r="AA46" i="51" a="1"/>
  <c r="AA46" i="51" s="1"/>
  <c r="AC41" i="51" a="1"/>
  <c r="AC41" i="51" s="1"/>
  <c r="AB41" i="51" a="1"/>
  <c r="AB41" i="51" s="1"/>
  <c r="AA41" i="51" a="1"/>
  <c r="AA41" i="51" s="1"/>
  <c r="Z41" i="51" a="1"/>
  <c r="Z41" i="51" s="1"/>
  <c r="Y41" i="51" a="1"/>
  <c r="Y41" i="51" s="1"/>
  <c r="AC51" i="51" a="1"/>
  <c r="AC51" i="51" s="1"/>
  <c r="AA51" i="51" a="1"/>
  <c r="AA51" i="51" s="1"/>
  <c r="AB51" i="51" a="1"/>
  <c r="AB51" i="51" s="1"/>
  <c r="Z51" i="51" a="1"/>
  <c r="Z51" i="51" s="1"/>
  <c r="Y51" i="51" a="1"/>
  <c r="Y51" i="51" s="1"/>
  <c r="Z37" i="51" a="1"/>
  <c r="Z37" i="51" s="1"/>
  <c r="AC37" i="51" a="1"/>
  <c r="AC37" i="51" s="1"/>
  <c r="AB37" i="51" a="1"/>
  <c r="AB37" i="51" s="1"/>
  <c r="AA37" i="51" a="1"/>
  <c r="AA37" i="51" s="1"/>
  <c r="Y37" i="51" a="1"/>
  <c r="Y37" i="51" s="1"/>
  <c r="J37" i="51" s="1" a="1"/>
  <c r="J37" i="51" s="1"/>
  <c r="AB38" i="51" a="1"/>
  <c r="AB38" i="51" s="1"/>
  <c r="AA38" i="51" a="1"/>
  <c r="AA38" i="51" s="1"/>
  <c r="AC38" i="51" a="1"/>
  <c r="AC38" i="51" s="1"/>
  <c r="Z38" i="51" a="1"/>
  <c r="Z38" i="51" s="1"/>
  <c r="Y38" i="51" a="1"/>
  <c r="Y38" i="51" s="1"/>
  <c r="Z60" i="51" a="1"/>
  <c r="Z60" i="51" s="1"/>
  <c r="AB60" i="51" a="1"/>
  <c r="AB60" i="51" s="1"/>
  <c r="AC60" i="51" a="1"/>
  <c r="AC60" i="51" s="1"/>
  <c r="AA60" i="51" a="1"/>
  <c r="AA60" i="51" s="1"/>
  <c r="Y60" i="51" a="1"/>
  <c r="Y60" i="51" s="1"/>
  <c r="AC36" i="51" a="1"/>
  <c r="AC36" i="51" s="1"/>
  <c r="AB36" i="51" a="1"/>
  <c r="AB36" i="51" s="1"/>
  <c r="AA36" i="51" a="1"/>
  <c r="AA36" i="51" s="1"/>
  <c r="Z36" i="51" a="1"/>
  <c r="Z36" i="51" s="1"/>
  <c r="Y36" i="51" a="1"/>
  <c r="Y36" i="51" s="1"/>
  <c r="AC59" i="51" a="1"/>
  <c r="AC59" i="51" s="1"/>
  <c r="AB59" i="51" a="1"/>
  <c r="AB59" i="51" s="1"/>
  <c r="AA59" i="51" a="1"/>
  <c r="AA59" i="51" s="1"/>
  <c r="Z59" i="51" a="1"/>
  <c r="Z59" i="51" s="1"/>
  <c r="Y59" i="51" a="1"/>
  <c r="Y59" i="51" s="1"/>
  <c r="AA35" i="51" a="1"/>
  <c r="AA35" i="51" s="1"/>
  <c r="Z35" i="51" a="1"/>
  <c r="Z35" i="51" s="1"/>
  <c r="AC35" i="51" a="1"/>
  <c r="AC35" i="51" s="1"/>
  <c r="AB35" i="51" a="1"/>
  <c r="AB35" i="51" s="1"/>
  <c r="Y35" i="51" a="1"/>
  <c r="Y35" i="51" s="1"/>
  <c r="Z56" i="51" a="1"/>
  <c r="Z56" i="51" s="1"/>
  <c r="AB56" i="51" a="1"/>
  <c r="AB56" i="51" s="1"/>
  <c r="AC56" i="51" a="1"/>
  <c r="AC56" i="51" s="1"/>
  <c r="AA56" i="51" a="1"/>
  <c r="AA56" i="51" s="1"/>
  <c r="Y56" i="51" a="1"/>
  <c r="Y56" i="51" s="1"/>
  <c r="AC50" i="51" a="1"/>
  <c r="AC50" i="51" s="1"/>
  <c r="AB50" i="51" a="1"/>
  <c r="AB50" i="51" s="1"/>
  <c r="AA50" i="51" a="1"/>
  <c r="AA50" i="51" s="1"/>
  <c r="Y50" i="51" a="1"/>
  <c r="Y50" i="51" s="1"/>
  <c r="Z50" i="51" a="1"/>
  <c r="Z50" i="51" s="1"/>
  <c r="AB47" i="51" a="1"/>
  <c r="AB47" i="51" s="1"/>
  <c r="AA47" i="51" a="1"/>
  <c r="AA47" i="51" s="1"/>
  <c r="AC47" i="51" a="1"/>
  <c r="AC47" i="51" s="1"/>
  <c r="Z47" i="51" a="1"/>
  <c r="Z47" i="51" s="1"/>
  <c r="Y47" i="51" a="1"/>
  <c r="Y47" i="51" s="1"/>
  <c r="AB49" i="51" a="1"/>
  <c r="AB49" i="51" s="1"/>
  <c r="Z49" i="51" a="1"/>
  <c r="Z49" i="51" s="1"/>
  <c r="AC49" i="51" a="1"/>
  <c r="AC49" i="51" s="1"/>
  <c r="AA49" i="51" a="1"/>
  <c r="AA49" i="51" s="1"/>
  <c r="Y49" i="51" a="1"/>
  <c r="Y49" i="51" s="1"/>
  <c r="AA19" i="51" a="1"/>
  <c r="AA19" i="51" s="1"/>
  <c r="Z19" i="51" a="1"/>
  <c r="Z19" i="51" s="1"/>
  <c r="AC19" i="51" a="1"/>
  <c r="AC19" i="51" s="1"/>
  <c r="AB19" i="51" a="1"/>
  <c r="AB19" i="51" s="1"/>
  <c r="Y19" i="51" a="1"/>
  <c r="Y19" i="51" s="1"/>
  <c r="J19" i="51" s="1" a="1"/>
  <c r="J19" i="51" s="1"/>
  <c r="AA34" i="51" a="1"/>
  <c r="AA34" i="51" s="1"/>
  <c r="AC34" i="51" a="1"/>
  <c r="AC34" i="51" s="1"/>
  <c r="Z34" i="51" a="1"/>
  <c r="Z34" i="51" s="1"/>
  <c r="Y34" i="51" a="1"/>
  <c r="Y34" i="51" s="1"/>
  <c r="AB34" i="51" a="1"/>
  <c r="AB34" i="51" s="1"/>
  <c r="Z17" i="51" a="1"/>
  <c r="Z17" i="51" s="1"/>
  <c r="AC17" i="51" a="1"/>
  <c r="AC17" i="51" s="1"/>
  <c r="AB17" i="51" a="1"/>
  <c r="AB17" i="51" s="1"/>
  <c r="AA17" i="51" a="1"/>
  <c r="AA17" i="51" s="1"/>
  <c r="Y17" i="51" a="1"/>
  <c r="Y17" i="51" s="1"/>
  <c r="AB48" i="51" a="1"/>
  <c r="AB48" i="51" s="1"/>
  <c r="AA48" i="51" a="1"/>
  <c r="AA48" i="51" s="1"/>
  <c r="Z48" i="51" a="1"/>
  <c r="Z48" i="51" s="1"/>
  <c r="AC48" i="51" a="1"/>
  <c r="AC48" i="51" s="1"/>
  <c r="Y48" i="51" a="1"/>
  <c r="Y48" i="51" s="1"/>
  <c r="J48" i="51" s="1" a="1"/>
  <c r="J48" i="51" s="1"/>
  <c r="L31" i="51"/>
  <c r="AB31" i="51" a="1"/>
  <c r="AB31" i="51" s="1"/>
  <c r="AA31" i="51" a="1"/>
  <c r="AA31" i="51" s="1"/>
  <c r="Z31" i="51" a="1"/>
  <c r="Z31" i="51" s="1"/>
  <c r="Y31" i="51" a="1"/>
  <c r="Y31" i="51" s="1"/>
  <c r="AC31" i="51" a="1"/>
  <c r="AC31" i="51" s="1"/>
  <c r="AB55" i="51" a="1"/>
  <c r="AB55" i="51" s="1"/>
  <c r="AC55" i="51" a="1"/>
  <c r="AC55" i="51" s="1"/>
  <c r="AA55" i="51" a="1"/>
  <c r="AA55" i="51" s="1"/>
  <c r="Z55" i="51" a="1"/>
  <c r="Z55" i="51" s="1"/>
  <c r="Y55" i="51" a="1"/>
  <c r="Y55" i="51" s="1"/>
  <c r="AA27" i="51" a="1"/>
  <c r="AA27" i="51" s="1"/>
  <c r="Z27" i="51" a="1"/>
  <c r="Z27" i="51" s="1"/>
  <c r="AC27" i="51" a="1"/>
  <c r="AC27" i="51" s="1"/>
  <c r="AB27" i="51" a="1"/>
  <c r="AB27" i="51" s="1"/>
  <c r="Y27" i="51" a="1"/>
  <c r="Y27" i="51" s="1"/>
  <c r="J27" i="51" s="1" a="1"/>
  <c r="J27" i="51" s="1"/>
  <c r="AC30" i="51" a="1"/>
  <c r="AC30" i="51" s="1"/>
  <c r="AA30" i="51" a="1"/>
  <c r="AA30" i="51" s="1"/>
  <c r="Z30" i="51" a="1"/>
  <c r="Z30" i="51" s="1"/>
  <c r="AB30" i="51" a="1"/>
  <c r="AB30" i="51" s="1"/>
  <c r="Y30" i="51" a="1"/>
  <c r="Y30" i="51" s="1"/>
  <c r="L18" i="51"/>
  <c r="AB18" i="51" a="1"/>
  <c r="AB18" i="51" s="1"/>
  <c r="AC18" i="51" a="1"/>
  <c r="AC18" i="51" s="1"/>
  <c r="AA18" i="51" a="1"/>
  <c r="AA18" i="51" s="1"/>
  <c r="Z18" i="51" a="1"/>
  <c r="Z18" i="51" s="1"/>
  <c r="Y18" i="51" a="1"/>
  <c r="Y18" i="51" s="1"/>
  <c r="Z43" i="51" a="1"/>
  <c r="Z43" i="51" s="1"/>
  <c r="AB43" i="51" a="1"/>
  <c r="AB43" i="51" s="1"/>
  <c r="AA43" i="51" a="1"/>
  <c r="AA43" i="51" s="1"/>
  <c r="AC43" i="51" a="1"/>
  <c r="AC43" i="51" s="1"/>
  <c r="Y43" i="51" a="1"/>
  <c r="Y43" i="51" s="1"/>
  <c r="J43" i="51" s="1" a="1"/>
  <c r="J43" i="51" s="1"/>
  <c r="Z52" i="51" a="1"/>
  <c r="Z52" i="51" s="1"/>
  <c r="AC52" i="51" a="1"/>
  <c r="AC52" i="51" s="1"/>
  <c r="AA52" i="51" a="1"/>
  <c r="AA52" i="51" s="1"/>
  <c r="AB52" i="51" a="1"/>
  <c r="AB52" i="51" s="1"/>
  <c r="Y52" i="51" a="1"/>
  <c r="Y52" i="51" s="1"/>
  <c r="AB33" i="51" a="1"/>
  <c r="AB33" i="51" s="1"/>
  <c r="AA33" i="51" a="1"/>
  <c r="AA33" i="51" s="1"/>
  <c r="Z33" i="51" a="1"/>
  <c r="Z33" i="51" s="1"/>
  <c r="Y33" i="51" a="1"/>
  <c r="Y33" i="51" s="1"/>
  <c r="AC33" i="51" a="1"/>
  <c r="AC33" i="51" s="1"/>
  <c r="AB57" i="51" a="1"/>
  <c r="AB57" i="51" s="1"/>
  <c r="AA57" i="51" a="1"/>
  <c r="AA57" i="51" s="1"/>
  <c r="Z57" i="51" a="1"/>
  <c r="Z57" i="51" s="1"/>
  <c r="AC57" i="51" a="1"/>
  <c r="AC57" i="51" s="1"/>
  <c r="Y57" i="51" a="1"/>
  <c r="Y57" i="51" s="1"/>
  <c r="J57" i="51" s="1" a="1"/>
  <c r="J57" i="51" s="1"/>
  <c r="Z28" i="51" a="1"/>
  <c r="Z28" i="51" s="1"/>
  <c r="AB28" i="51" a="1"/>
  <c r="AB28" i="51" s="1"/>
  <c r="AA28" i="51" a="1"/>
  <c r="AA28" i="51" s="1"/>
  <c r="AC28" i="51" a="1"/>
  <c r="AC28" i="51" s="1"/>
  <c r="Y28" i="51" a="1"/>
  <c r="Y28" i="51" s="1"/>
  <c r="L21" i="51"/>
  <c r="AA21" i="51" a="1"/>
  <c r="AA21" i="51" s="1"/>
  <c r="AC21" i="51" a="1"/>
  <c r="AC21" i="51" s="1"/>
  <c r="AB21" i="51" a="1"/>
  <c r="AB21" i="51" s="1"/>
  <c r="Z21" i="51" a="1"/>
  <c r="Z21" i="51" s="1"/>
  <c r="Y21" i="51" a="1"/>
  <c r="Y21" i="51" s="1"/>
  <c r="AB25" i="51" a="1"/>
  <c r="AB25" i="51" s="1"/>
  <c r="AA25" i="51" a="1"/>
  <c r="AA25" i="51" s="1"/>
  <c r="Z25" i="51" a="1"/>
  <c r="Z25" i="51" s="1"/>
  <c r="AC25" i="51" a="1"/>
  <c r="AC25" i="51" s="1"/>
  <c r="Y25" i="51" a="1"/>
  <c r="Y25" i="51" s="1"/>
  <c r="J25" i="51" s="1" a="1"/>
  <c r="J25" i="51" s="1"/>
  <c r="AB42" i="51" a="1"/>
  <c r="AB42" i="51" s="1"/>
  <c r="AC42" i="51" a="1"/>
  <c r="AC42" i="51" s="1"/>
  <c r="AA42" i="51" a="1"/>
  <c r="AA42" i="51" s="1"/>
  <c r="Z42" i="51" a="1"/>
  <c r="Z42" i="51" s="1"/>
  <c r="Y42" i="51" a="1"/>
  <c r="Y42" i="51" s="1"/>
  <c r="L29" i="51"/>
  <c r="AA29" i="51" a="1"/>
  <c r="AA29" i="51" s="1"/>
  <c r="AB29" i="51" a="1"/>
  <c r="AB29" i="51" s="1"/>
  <c r="AC29" i="51" a="1"/>
  <c r="AC29" i="51" s="1"/>
  <c r="Z29" i="51" a="1"/>
  <c r="Z29" i="51" s="1"/>
  <c r="Y29" i="51" a="1"/>
  <c r="Y29" i="51" s="1"/>
  <c r="AB40" i="51" a="1"/>
  <c r="AB40" i="51" s="1"/>
  <c r="AA40" i="51" a="1"/>
  <c r="AA40" i="51" s="1"/>
  <c r="Z40" i="51" a="1"/>
  <c r="Z40" i="51" s="1"/>
  <c r="AC40" i="51" a="1"/>
  <c r="AC40" i="51" s="1"/>
  <c r="Y40" i="51" a="1"/>
  <c r="Y40" i="51" s="1"/>
  <c r="J40" i="51" s="1" a="1"/>
  <c r="J40" i="51" s="1"/>
  <c r="L23" i="51"/>
  <c r="AC23" i="51" a="1"/>
  <c r="AC23" i="51" s="1"/>
  <c r="AB23" i="51" a="1"/>
  <c r="AB23" i="51" s="1"/>
  <c r="AA23" i="51" a="1"/>
  <c r="AA23" i="51" s="1"/>
  <c r="Z23" i="51" a="1"/>
  <c r="Z23" i="51" s="1"/>
  <c r="Y23" i="51" a="1"/>
  <c r="Y23" i="51" s="1"/>
  <c r="AC54" i="51" a="1"/>
  <c r="AC54" i="51" s="1"/>
  <c r="AA54" i="51" a="1"/>
  <c r="AA54" i="51" s="1"/>
  <c r="AB54" i="51" a="1"/>
  <c r="AB54" i="51" s="1"/>
  <c r="Z54" i="51" a="1"/>
  <c r="Z54" i="51" s="1"/>
  <c r="Y54" i="51" a="1"/>
  <c r="Y54" i="51" s="1"/>
  <c r="AC22" i="51" a="1"/>
  <c r="AC22" i="51" s="1"/>
  <c r="AB22" i="51" a="1"/>
  <c r="AB22" i="51" s="1"/>
  <c r="AA22" i="51" a="1"/>
  <c r="AA22" i="51" s="1"/>
  <c r="Z22" i="51" a="1"/>
  <c r="Z22" i="51" s="1"/>
  <c r="Y22" i="51" a="1"/>
  <c r="Y22" i="51" s="1"/>
  <c r="J22" i="51" s="1" a="1"/>
  <c r="J22" i="51" s="1"/>
  <c r="L20" i="51"/>
  <c r="AC20" i="51" a="1"/>
  <c r="AC20" i="51" s="1"/>
  <c r="AB20" i="51" a="1"/>
  <c r="AB20" i="51" s="1"/>
  <c r="AA20" i="51" a="1"/>
  <c r="AA20" i="51" s="1"/>
  <c r="Z20" i="51" a="1"/>
  <c r="Z20" i="51" s="1"/>
  <c r="Y20" i="51" a="1"/>
  <c r="Y20" i="51" s="1"/>
  <c r="L24" i="51"/>
  <c r="AC24" i="51" a="1"/>
  <c r="AC24" i="51" s="1"/>
  <c r="AB24" i="51" a="1"/>
  <c r="AB24" i="51" s="1"/>
  <c r="AA24" i="51" a="1"/>
  <c r="AA24" i="51" s="1"/>
  <c r="Z24" i="51" a="1"/>
  <c r="Z24" i="51" s="1"/>
  <c r="Y24" i="51" a="1"/>
  <c r="Y24" i="51" s="1"/>
  <c r="L16" i="51"/>
  <c r="Z16" i="51" a="1"/>
  <c r="Z16" i="51" s="1"/>
  <c r="AC16" i="51" a="1"/>
  <c r="AC16" i="51" s="1"/>
  <c r="AB16" i="51" a="1"/>
  <c r="AB16" i="51" s="1"/>
  <c r="AA16" i="51" a="1"/>
  <c r="AA16" i="51" s="1"/>
  <c r="Y16" i="51" a="1"/>
  <c r="Y16" i="51" s="1"/>
  <c r="J16" i="51" s="1" a="1"/>
  <c r="J16" i="51" s="1"/>
  <c r="L14" i="51"/>
  <c r="AA14" i="51" a="1"/>
  <c r="AA14" i="51" s="1"/>
  <c r="AC14" i="51" a="1"/>
  <c r="AC14" i="51" s="1"/>
  <c r="AB14" i="51" a="1"/>
  <c r="AB14" i="51" s="1"/>
  <c r="Z14" i="51" a="1"/>
  <c r="Z14" i="51" s="1"/>
  <c r="Y14" i="51" a="1"/>
  <c r="Y14" i="51" s="1"/>
  <c r="J46" i="52" a="1"/>
  <c r="J46" i="52" s="1"/>
  <c r="J26" i="52" a="1"/>
  <c r="J26" i="52" s="1"/>
  <c r="J34" i="52" a="1"/>
  <c r="J34" i="52" s="1"/>
  <c r="J41" i="52" a="1"/>
  <c r="J41" i="52" s="1"/>
  <c r="J23" i="52" a="1"/>
  <c r="J23" i="52" s="1"/>
  <c r="Y17" i="52" a="1"/>
  <c r="Y17" i="52" s="1"/>
  <c r="Z17" i="52" a="1"/>
  <c r="Z17" i="52" s="1"/>
  <c r="L22" i="52"/>
  <c r="Y22" i="52" a="1"/>
  <c r="Y22" i="52" s="1"/>
  <c r="Z22" i="52" a="1"/>
  <c r="Z22" i="52" s="1"/>
  <c r="L39" i="52"/>
  <c r="Z39" i="52" a="1"/>
  <c r="Z39" i="52" s="1"/>
  <c r="Y39" i="52" a="1"/>
  <c r="Y39" i="52" s="1"/>
  <c r="L45" i="52"/>
  <c r="Z45" i="52" a="1"/>
  <c r="Z45" i="52" s="1"/>
  <c r="Y45" i="52" a="1"/>
  <c r="Y45" i="52" s="1"/>
  <c r="L20" i="52"/>
  <c r="Z20" i="52" a="1"/>
  <c r="Z20" i="52" s="1"/>
  <c r="Y20" i="52" a="1"/>
  <c r="Y20" i="52" s="1"/>
  <c r="L48" i="52"/>
  <c r="Z48" i="52" a="1"/>
  <c r="Z48" i="52" s="1"/>
  <c r="Y48" i="52" a="1"/>
  <c r="Y48" i="52" s="1"/>
  <c r="L27" i="52"/>
  <c r="Y27" i="52" a="1"/>
  <c r="Y27" i="52" s="1"/>
  <c r="Z27" i="52" a="1"/>
  <c r="Z27" i="52" s="1"/>
  <c r="L18" i="52"/>
  <c r="Z18" i="52" a="1"/>
  <c r="Z18" i="52" s="1"/>
  <c r="Y18" i="52" a="1"/>
  <c r="Y18" i="52" s="1"/>
  <c r="L21" i="52"/>
  <c r="Z21" i="52" a="1"/>
  <c r="Z21" i="52" s="1"/>
  <c r="Y21" i="52" a="1"/>
  <c r="Y21" i="52" s="1"/>
  <c r="L29" i="52"/>
  <c r="Y29" i="52" a="1"/>
  <c r="Y29" i="52" s="1"/>
  <c r="Z29" i="52" a="1"/>
  <c r="Z29" i="52" s="1"/>
  <c r="L36" i="52"/>
  <c r="Y36" i="52" a="1"/>
  <c r="Y36" i="52" s="1"/>
  <c r="Z36" i="52" a="1"/>
  <c r="Z36" i="52" s="1"/>
  <c r="Y15" i="52" a="1"/>
  <c r="Y15" i="52" s="1"/>
  <c r="Z15" i="52" a="1"/>
  <c r="Z15" i="52" s="1"/>
  <c r="AA15" i="52" a="1"/>
  <c r="AA15" i="52" s="1"/>
  <c r="L30" i="52"/>
  <c r="Y30" i="52" a="1"/>
  <c r="Y30" i="52" s="1"/>
  <c r="Z30" i="52" a="1"/>
  <c r="Z30" i="52" s="1"/>
  <c r="H11" i="52"/>
  <c r="Z13" i="52" a="1"/>
  <c r="Z13" i="52" s="1"/>
  <c r="AA13" i="52" a="1"/>
  <c r="AA13" i="52" s="1"/>
  <c r="L25" i="52"/>
  <c r="Y25" i="52" a="1"/>
  <c r="Y25" i="52" s="1"/>
  <c r="Z25" i="52" a="1"/>
  <c r="Z25" i="52" s="1"/>
  <c r="L24" i="52"/>
  <c r="Y24" i="52" a="1"/>
  <c r="Y24" i="52" s="1"/>
  <c r="Z24" i="52" a="1"/>
  <c r="Z24" i="52" s="1"/>
  <c r="L38" i="52"/>
  <c r="AA38" i="52" a="1"/>
  <c r="AA38" i="52" s="1"/>
  <c r="Z38" i="52" a="1"/>
  <c r="Z38" i="52" s="1"/>
  <c r="Y38" i="52" a="1"/>
  <c r="Y38" i="52" s="1"/>
  <c r="L15" i="52"/>
  <c r="L32" i="52"/>
  <c r="Y32" i="52" a="1"/>
  <c r="Y32" i="52" s="1"/>
  <c r="Z32" i="52" a="1"/>
  <c r="Z32" i="52" s="1"/>
  <c r="L37" i="52"/>
  <c r="Y37" i="52" a="1"/>
  <c r="Y37" i="52" s="1"/>
  <c r="Z37" i="52" a="1"/>
  <c r="Z37" i="52" s="1"/>
  <c r="L47" i="52"/>
  <c r="Y47" i="52" a="1"/>
  <c r="Y47" i="52" s="1"/>
  <c r="Z47" i="52" a="1"/>
  <c r="Z47" i="52" s="1"/>
  <c r="L19" i="52"/>
  <c r="Z19" i="52" a="1"/>
  <c r="Z19" i="52" s="1"/>
  <c r="Y19" i="52" a="1"/>
  <c r="Y19" i="52" s="1"/>
  <c r="L33" i="52"/>
  <c r="Y33" i="52" a="1"/>
  <c r="Y33" i="52" s="1"/>
  <c r="Z33" i="52" a="1"/>
  <c r="Z33" i="52" s="1"/>
  <c r="L44" i="52"/>
  <c r="Y44" i="52" a="1"/>
  <c r="Y44" i="52" s="1"/>
  <c r="Z44" i="52" a="1"/>
  <c r="Z44" i="52" s="1"/>
  <c r="L42" i="52"/>
  <c r="Y42" i="52" a="1"/>
  <c r="Y42" i="52" s="1"/>
  <c r="Z42" i="52" a="1"/>
  <c r="Z42" i="52" s="1"/>
  <c r="L14" i="52"/>
  <c r="Z14" i="52" a="1"/>
  <c r="Z14" i="52" s="1"/>
  <c r="Y14" i="52" a="1"/>
  <c r="Y14" i="52" s="1"/>
  <c r="L40" i="52"/>
  <c r="Z40" i="52" a="1"/>
  <c r="Z40" i="52" s="1"/>
  <c r="Y40" i="52" a="1"/>
  <c r="Y40" i="52" s="1"/>
  <c r="L43" i="52"/>
  <c r="Y43" i="52" a="1"/>
  <c r="Y43" i="52" s="1"/>
  <c r="Z43" i="52" a="1"/>
  <c r="Z43" i="52" s="1"/>
  <c r="L31" i="52"/>
  <c r="Y31" i="52" a="1"/>
  <c r="Y31" i="52" s="1"/>
  <c r="Z31" i="52" a="1"/>
  <c r="Z31" i="52" s="1"/>
  <c r="Y16" i="52" a="1"/>
  <c r="Y16" i="52" s="1"/>
  <c r="Z16" i="52" a="1"/>
  <c r="Z16" i="52" s="1"/>
  <c r="L13" i="52"/>
  <c r="L17" i="52"/>
  <c r="Y13" i="52" a="1"/>
  <c r="Y13" i="52" s="1"/>
  <c r="J43" i="46" a="1"/>
  <c r="J43" i="46" s="1"/>
  <c r="J24" i="53" a="1"/>
  <c r="J24" i="53" s="1"/>
  <c r="J22" i="54" a="1"/>
  <c r="J22" i="54" s="1"/>
  <c r="L21" i="55"/>
  <c r="J41" i="46" a="1"/>
  <c r="J41" i="46" s="1"/>
  <c r="J31" i="55" a="1"/>
  <c r="J31" i="55" s="1"/>
  <c r="J20" i="55" a="1"/>
  <c r="J20" i="55" s="1"/>
  <c r="L36" i="55"/>
  <c r="J36" i="55" a="1"/>
  <c r="J36" i="55" s="1"/>
  <c r="Y16" i="55" a="1"/>
  <c r="Y16" i="55" s="1"/>
  <c r="J16" i="55" s="1" a="1"/>
  <c r="J16" i="55" s="1"/>
  <c r="J23" i="55" a="1"/>
  <c r="J23" i="55" s="1"/>
  <c r="J33" i="55" a="1"/>
  <c r="J33" i="55" s="1"/>
  <c r="L35" i="54"/>
  <c r="J35" i="54" a="1"/>
  <c r="J35" i="54" s="1"/>
  <c r="L31" i="54"/>
  <c r="J31" i="54" a="1"/>
  <c r="J31" i="54" s="1"/>
  <c r="L29" i="54"/>
  <c r="J29" i="54" a="1"/>
  <c r="J29" i="54" s="1"/>
  <c r="L30" i="54"/>
  <c r="J30" i="54" a="1"/>
  <c r="J30" i="54" s="1"/>
  <c r="L27" i="54"/>
  <c r="J27" i="54" a="1"/>
  <c r="J27" i="54" s="1"/>
  <c r="L33" i="54"/>
  <c r="J33" i="54" a="1"/>
  <c r="J33" i="54" s="1"/>
  <c r="L26" i="54"/>
  <c r="J26" i="54" a="1"/>
  <c r="J26" i="54" s="1"/>
  <c r="L28" i="54"/>
  <c r="J28" i="54" a="1"/>
  <c r="J28" i="54" s="1"/>
  <c r="L25" i="53"/>
  <c r="L44" i="51"/>
  <c r="L50" i="51"/>
  <c r="L54" i="51"/>
  <c r="L46" i="51"/>
  <c r="L43" i="51"/>
  <c r="L41" i="51"/>
  <c r="L49" i="51"/>
  <c r="L52" i="51"/>
  <c r="L51" i="51"/>
  <c r="L34" i="51"/>
  <c r="L57" i="51"/>
  <c r="L37" i="51"/>
  <c r="L38" i="51"/>
  <c r="L48" i="51"/>
  <c r="L39" i="51"/>
  <c r="L60" i="51"/>
  <c r="L53" i="51"/>
  <c r="L36" i="51"/>
  <c r="L42" i="51"/>
  <c r="L58" i="51"/>
  <c r="L59" i="51"/>
  <c r="L55" i="51"/>
  <c r="L56" i="51"/>
  <c r="L47" i="51"/>
  <c r="L35" i="51"/>
  <c r="L40" i="51"/>
  <c r="J32" i="50" a="1"/>
  <c r="J32" i="50" s="1"/>
  <c r="J19" i="50" a="1"/>
  <c r="J19" i="50" s="1"/>
  <c r="J70" i="47" a="1"/>
  <c r="J70" i="47" s="1"/>
  <c r="J63" i="46" a="1"/>
  <c r="J63" i="46" s="1"/>
  <c r="J35" i="46" a="1"/>
  <c r="J35" i="46" s="1"/>
  <c r="J54" i="46" a="1"/>
  <c r="J54" i="46" s="1"/>
  <c r="J44" i="46" a="1"/>
  <c r="J44" i="46" s="1"/>
  <c r="J61" i="46" a="1"/>
  <c r="J61" i="46" s="1"/>
  <c r="J40" i="46" a="1"/>
  <c r="J40" i="46" s="1"/>
  <c r="J18" i="55" a="1"/>
  <c r="J18" i="55" s="1"/>
  <c r="Y13" i="55" a="1"/>
  <c r="Y13" i="55" s="1"/>
  <c r="J13" i="55" s="1" a="1"/>
  <c r="J13" i="55" s="1"/>
  <c r="J27" i="55" a="1"/>
  <c r="J27" i="55" s="1"/>
  <c r="J17" i="55" a="1"/>
  <c r="J17" i="55" s="1"/>
  <c r="J34" i="55" a="1"/>
  <c r="J34" i="55" s="1"/>
  <c r="J24" i="55" a="1"/>
  <c r="J24" i="55" s="1"/>
  <c r="L30" i="55"/>
  <c r="J30" i="55" a="1"/>
  <c r="J30" i="55" s="1"/>
  <c r="L26" i="55"/>
  <c r="J26" i="55" a="1"/>
  <c r="J26" i="55" s="1"/>
  <c r="L22" i="55"/>
  <c r="J22" i="55" a="1"/>
  <c r="J22" i="55" s="1"/>
  <c r="H11" i="55"/>
  <c r="L28" i="55"/>
  <c r="J28" i="55" a="1"/>
  <c r="J28" i="55" s="1"/>
  <c r="L15" i="55"/>
  <c r="Y15" i="55" a="1"/>
  <c r="Y15" i="55" s="1"/>
  <c r="J15" i="55" s="1" a="1"/>
  <c r="J15" i="55" s="1"/>
  <c r="L29" i="55"/>
  <c r="J29" i="55" a="1"/>
  <c r="J29" i="55" s="1"/>
  <c r="L32" i="55"/>
  <c r="J32" i="55" a="1"/>
  <c r="J32" i="55" s="1"/>
  <c r="L20" i="54"/>
  <c r="J20" i="54" a="1"/>
  <c r="J20" i="54" s="1"/>
  <c r="J25" i="54" a="1"/>
  <c r="J25" i="54" s="1"/>
  <c r="L14" i="54"/>
  <c r="J14" i="54" a="1"/>
  <c r="J14" i="54" s="1"/>
  <c r="L16" i="54"/>
  <c r="J16" i="54" a="1"/>
  <c r="J16" i="54" s="1"/>
  <c r="L18" i="54"/>
  <c r="J18" i="54" a="1"/>
  <c r="J18" i="54" s="1"/>
  <c r="L19" i="54"/>
  <c r="J19" i="54" a="1"/>
  <c r="J19" i="54" s="1"/>
  <c r="H11" i="54"/>
  <c r="L13" i="54"/>
  <c r="Y13" i="54" a="1"/>
  <c r="Y13" i="54" s="1"/>
  <c r="J13" i="54" s="1" a="1"/>
  <c r="J13" i="54" s="1"/>
  <c r="L20" i="53"/>
  <c r="L23" i="53"/>
  <c r="J23" i="53" a="1"/>
  <c r="J23" i="53" s="1"/>
  <c r="L16" i="53"/>
  <c r="L17" i="53"/>
  <c r="J17" i="53" a="1"/>
  <c r="J17" i="53" s="1"/>
  <c r="L18" i="53"/>
  <c r="J18" i="53" a="1"/>
  <c r="J18" i="53" s="1"/>
  <c r="L19" i="53"/>
  <c r="H11" i="53"/>
  <c r="L14" i="53"/>
  <c r="J14" i="53" a="1"/>
  <c r="J14" i="53" s="1"/>
  <c r="L22" i="51"/>
  <c r="L27" i="51"/>
  <c r="L13" i="51"/>
  <c r="L30" i="51"/>
  <c r="L19" i="51"/>
  <c r="L33" i="51"/>
  <c r="L17" i="51"/>
  <c r="L28" i="51"/>
  <c r="L25" i="51"/>
  <c r="L15" i="51"/>
  <c r="H11" i="51"/>
  <c r="L32" i="51"/>
  <c r="L22" i="50"/>
  <c r="J22" i="50" a="1"/>
  <c r="J22" i="50" s="1"/>
  <c r="L17" i="50"/>
  <c r="L11" i="50" s="1"/>
  <c r="E21" i="4" s="1"/>
  <c r="J17" i="50" a="1"/>
  <c r="J17" i="50" s="1"/>
  <c r="H11" i="50"/>
  <c r="L23" i="50"/>
  <c r="J23" i="50" a="1"/>
  <c r="J23" i="50" s="1"/>
  <c r="H46" i="49"/>
  <c r="L46" i="49" s="1"/>
  <c r="H38" i="49"/>
  <c r="L38" i="49" s="1"/>
  <c r="H16" i="49"/>
  <c r="J16" i="49" s="1" a="1"/>
  <c r="J16" i="49" s="1"/>
  <c r="H42" i="49"/>
  <c r="L42" i="49" s="1"/>
  <c r="H15" i="49"/>
  <c r="L15" i="49" s="1"/>
  <c r="H27" i="49"/>
  <c r="L27" i="49" s="1"/>
  <c r="H31" i="49"/>
  <c r="H13" i="49"/>
  <c r="H18" i="49"/>
  <c r="H23" i="49"/>
  <c r="H44" i="49"/>
  <c r="H40" i="49"/>
  <c r="H35" i="49"/>
  <c r="H36" i="49"/>
  <c r="H34" i="49"/>
  <c r="H32" i="49"/>
  <c r="H39" i="49"/>
  <c r="J27" i="49" a="1"/>
  <c r="J27" i="49" s="1"/>
  <c r="H30" i="49"/>
  <c r="H43" i="49"/>
  <c r="H25" i="49"/>
  <c r="H21" i="49"/>
  <c r="H20" i="49"/>
  <c r="H41" i="49"/>
  <c r="H37" i="49"/>
  <c r="H45" i="49"/>
  <c r="H29" i="49"/>
  <c r="H22" i="49"/>
  <c r="H28" i="49"/>
  <c r="H26" i="49"/>
  <c r="H14" i="49"/>
  <c r="J19" i="49" a="1"/>
  <c r="J19" i="49" s="1"/>
  <c r="H24" i="49"/>
  <c r="H17" i="49"/>
  <c r="H33" i="49"/>
  <c r="L32" i="48"/>
  <c r="J32" i="48" a="1"/>
  <c r="J32" i="48" s="1"/>
  <c r="H38" i="48"/>
  <c r="L38" i="48" s="1"/>
  <c r="H43" i="48"/>
  <c r="H48" i="48"/>
  <c r="L48" i="48" s="1"/>
  <c r="H39" i="48"/>
  <c r="L39" i="48" s="1"/>
  <c r="H14" i="48"/>
  <c r="H22" i="48"/>
  <c r="L22" i="48" s="1"/>
  <c r="H29" i="48"/>
  <c r="H36" i="48"/>
  <c r="H44" i="48"/>
  <c r="H42" i="48"/>
  <c r="L42" i="48" s="1"/>
  <c r="H54" i="48"/>
  <c r="L54" i="48" s="1"/>
  <c r="H17" i="48"/>
  <c r="H37" i="48"/>
  <c r="H13" i="48"/>
  <c r="H41" i="48"/>
  <c r="J41" i="48" s="1" a="1"/>
  <c r="J41" i="48" s="1"/>
  <c r="H15" i="48"/>
  <c r="H30" i="48"/>
  <c r="L30" i="48" s="1"/>
  <c r="H46" i="48"/>
  <c r="L46" i="48" s="1"/>
  <c r="H19" i="48"/>
  <c r="J19" i="48" s="1" a="1"/>
  <c r="J19" i="48" s="1"/>
  <c r="H31" i="48"/>
  <c r="H21" i="48"/>
  <c r="H24" i="48"/>
  <c r="H49" i="48"/>
  <c r="H27" i="48"/>
  <c r="L27" i="48" s="1"/>
  <c r="H16" i="48"/>
  <c r="L16" i="48" s="1"/>
  <c r="H35" i="48"/>
  <c r="L35" i="48" s="1"/>
  <c r="H20" i="48"/>
  <c r="L20" i="48" s="1"/>
  <c r="H47" i="48"/>
  <c r="L47" i="48" s="1"/>
  <c r="H34" i="48"/>
  <c r="H40" i="48"/>
  <c r="L40" i="48" s="1"/>
  <c r="H23" i="48"/>
  <c r="L23" i="48" s="1"/>
  <c r="H25" i="48"/>
  <c r="L25" i="48" s="1"/>
  <c r="H53" i="48"/>
  <c r="L53" i="48" s="1"/>
  <c r="H50" i="48"/>
  <c r="L50" i="48" s="1"/>
  <c r="J54" i="48" a="1"/>
  <c r="J54" i="48" s="1"/>
  <c r="H51" i="48"/>
  <c r="H33" i="48"/>
  <c r="H26" i="48"/>
  <c r="H45" i="48"/>
  <c r="H28" i="48"/>
  <c r="H18" i="48"/>
  <c r="H52" i="48"/>
  <c r="L13" i="48"/>
  <c r="Y13" i="48" a="1"/>
  <c r="Y13" i="48" s="1"/>
  <c r="J13" i="48" s="1" a="1"/>
  <c r="J13" i="48" s="1"/>
  <c r="J35" i="48" a="1"/>
  <c r="J35" i="48" s="1"/>
  <c r="J27" i="48" a="1"/>
  <c r="J27" i="48" s="1"/>
  <c r="H65" i="47"/>
  <c r="H68" i="47"/>
  <c r="H69" i="47"/>
  <c r="H66" i="47"/>
  <c r="H55" i="47"/>
  <c r="L55" i="47" s="1"/>
  <c r="H67" i="47"/>
  <c r="H46" i="47"/>
  <c r="H50" i="47"/>
  <c r="H28" i="47"/>
  <c r="H24" i="47"/>
  <c r="H36" i="47"/>
  <c r="H64" i="47"/>
  <c r="H52" i="47"/>
  <c r="H47" i="47"/>
  <c r="H23" i="47"/>
  <c r="H44" i="47"/>
  <c r="H41" i="47"/>
  <c r="H37" i="47"/>
  <c r="H26" i="47"/>
  <c r="H54" i="47"/>
  <c r="H60" i="47"/>
  <c r="H56" i="47"/>
  <c r="H57" i="47"/>
  <c r="H40" i="47"/>
  <c r="H20" i="47"/>
  <c r="H31" i="47"/>
  <c r="H32" i="47"/>
  <c r="H30" i="47"/>
  <c r="H18" i="47"/>
  <c r="H15" i="47"/>
  <c r="H61" i="47"/>
  <c r="H17" i="47"/>
  <c r="H38" i="47"/>
  <c r="H63" i="47"/>
  <c r="H29" i="47"/>
  <c r="H48" i="47"/>
  <c r="H58" i="47"/>
  <c r="H59" i="47"/>
  <c r="H49" i="47"/>
  <c r="H53" i="47"/>
  <c r="H51" i="47"/>
  <c r="H25" i="47"/>
  <c r="H35" i="47"/>
  <c r="H34" i="47"/>
  <c r="H45" i="47"/>
  <c r="H14" i="47"/>
  <c r="H33" i="47"/>
  <c r="H42" i="47"/>
  <c r="H22" i="47"/>
  <c r="H21" i="47"/>
  <c r="H16" i="47"/>
  <c r="H19" i="47"/>
  <c r="H39" i="47"/>
  <c r="H43" i="47"/>
  <c r="H27" i="47"/>
  <c r="H13" i="47"/>
  <c r="H62" i="47"/>
  <c r="H34" i="46"/>
  <c r="L34" i="46" s="1"/>
  <c r="H36" i="46"/>
  <c r="H13" i="46"/>
  <c r="Y13" i="46" s="1" a="1"/>
  <c r="Y13" i="46" s="1"/>
  <c r="J13" i="46" s="1" a="1"/>
  <c r="J13" i="46" s="1"/>
  <c r="H45" i="46"/>
  <c r="H55" i="46"/>
  <c r="H53" i="46"/>
  <c r="H25" i="46"/>
  <c r="L25" i="46" s="1"/>
  <c r="H30" i="46"/>
  <c r="L30" i="46" s="1"/>
  <c r="H58" i="46"/>
  <c r="H22" i="46"/>
  <c r="L22" i="46" s="1"/>
  <c r="H42" i="46"/>
  <c r="H27" i="46"/>
  <c r="L27" i="46" s="1"/>
  <c r="H20" i="46"/>
  <c r="L20" i="46" s="1"/>
  <c r="H52" i="46"/>
  <c r="H56" i="46"/>
  <c r="H46" i="46"/>
  <c r="H29" i="46"/>
  <c r="L29" i="46" s="1"/>
  <c r="H59" i="46"/>
  <c r="H31" i="46"/>
  <c r="L31" i="46" s="1"/>
  <c r="H26" i="46"/>
  <c r="J31" i="46" a="1"/>
  <c r="J31" i="46" s="1"/>
  <c r="H39" i="46"/>
  <c r="H38" i="46"/>
  <c r="H60" i="46"/>
  <c r="H47" i="46"/>
  <c r="H51" i="46"/>
  <c r="H48" i="46"/>
  <c r="H49" i="46"/>
  <c r="H62" i="46"/>
  <c r="H50" i="46"/>
  <c r="J28" i="46" a="1"/>
  <c r="J28" i="46" s="1"/>
  <c r="L18" i="46"/>
  <c r="J18" i="46" a="1"/>
  <c r="J18" i="46" s="1"/>
  <c r="L14" i="46"/>
  <c r="J14" i="46" a="1"/>
  <c r="J14" i="46" s="1"/>
  <c r="H19" i="46"/>
  <c r="H15" i="46"/>
  <c r="H21" i="46"/>
  <c r="J33" i="46" a="1"/>
  <c r="J33" i="46" s="1"/>
  <c r="J32" i="46" a="1"/>
  <c r="J32" i="46" s="1"/>
  <c r="H16" i="46"/>
  <c r="H24" i="46"/>
  <c r="H23" i="46"/>
  <c r="J37" i="46" a="1"/>
  <c r="J37" i="46" s="1"/>
  <c r="J17" i="46" a="1"/>
  <c r="J17" i="46" s="1"/>
  <c r="H23" i="45"/>
  <c r="H35" i="45"/>
  <c r="H16" i="45"/>
  <c r="H22" i="45"/>
  <c r="H21" i="45"/>
  <c r="L19" i="45"/>
  <c r="H13" i="45"/>
  <c r="H30" i="45"/>
  <c r="H33" i="45"/>
  <c r="H20" i="45"/>
  <c r="H24" i="45"/>
  <c r="H36" i="45"/>
  <c r="H32" i="45"/>
  <c r="H37" i="45"/>
  <c r="H15" i="45"/>
  <c r="H28" i="45"/>
  <c r="H31" i="45"/>
  <c r="H26" i="45"/>
  <c r="H25" i="45"/>
  <c r="H34" i="45"/>
  <c r="H18" i="45"/>
  <c r="H29" i="45"/>
  <c r="H27" i="45"/>
  <c r="H14" i="45"/>
  <c r="H17" i="45"/>
  <c r="G27" i="22" a="1"/>
  <c r="G27" i="22" s="1"/>
  <c r="G28" i="22" a="1"/>
  <c r="G28" i="22"/>
  <c r="G29" i="22" a="1"/>
  <c r="G29" i="22" s="1"/>
  <c r="G30" i="22" a="1"/>
  <c r="G30" i="22"/>
  <c r="G31" i="22" a="1"/>
  <c r="G31" i="22"/>
  <c r="G32" i="22" a="1"/>
  <c r="G32" i="22" s="1"/>
  <c r="G33" i="22" a="1"/>
  <c r="G33" i="22" s="1"/>
  <c r="G34" i="22" a="1"/>
  <c r="G34" i="22"/>
  <c r="G35" i="22" a="1"/>
  <c r="G35" i="22" s="1"/>
  <c r="G36" i="22" a="1"/>
  <c r="G36" i="22" s="1"/>
  <c r="G37" i="22" a="1"/>
  <c r="G37" i="22" s="1"/>
  <c r="G38" i="22" a="1"/>
  <c r="G38" i="22"/>
  <c r="G39" i="22" a="1"/>
  <c r="G39" i="22"/>
  <c r="G40" i="22" a="1"/>
  <c r="G40" i="22"/>
  <c r="G41" i="22" a="1"/>
  <c r="G41" i="22" s="1"/>
  <c r="G42" i="22" a="1"/>
  <c r="G42" i="22" s="1"/>
  <c r="G43" i="22" a="1"/>
  <c r="G43" i="22" s="1"/>
  <c r="G44" i="22" a="1"/>
  <c r="G44" i="22"/>
  <c r="G45" i="22" a="1"/>
  <c r="G45" i="22"/>
  <c r="G46" i="22" a="1"/>
  <c r="G46" i="22" s="1"/>
  <c r="G47" i="22" a="1"/>
  <c r="G47" i="22" s="1"/>
  <c r="G48" i="22" a="1"/>
  <c r="G48" i="22" s="1"/>
  <c r="G49" i="22" a="1"/>
  <c r="G49" i="22" s="1"/>
  <c r="G50" i="22" a="1"/>
  <c r="G50" i="22" s="1"/>
  <c r="G51" i="22" a="1"/>
  <c r="G51" i="22" s="1"/>
  <c r="G52" i="22" a="1"/>
  <c r="G52" i="22"/>
  <c r="G53" i="22" a="1"/>
  <c r="G53" i="22" s="1"/>
  <c r="G54" i="22" a="1"/>
  <c r="G54" i="22"/>
  <c r="G55" i="22" a="1"/>
  <c r="G55" i="22" s="1"/>
  <c r="G56" i="22" a="1"/>
  <c r="G56" i="22"/>
  <c r="G57" i="22" a="1"/>
  <c r="G57" i="22" s="1"/>
  <c r="G58" i="22" a="1"/>
  <c r="G58" i="22" s="1"/>
  <c r="G59" i="22" a="1"/>
  <c r="G59" i="22" s="1"/>
  <c r="G60" i="22" a="1"/>
  <c r="G60" i="22" s="1"/>
  <c r="G61" i="22" a="1"/>
  <c r="G61" i="22"/>
  <c r="G62" i="22" a="1"/>
  <c r="G62" i="22" s="1"/>
  <c r="G63" i="22" a="1"/>
  <c r="G63" i="22"/>
  <c r="G64" i="22" a="1"/>
  <c r="G64" i="22" s="1"/>
  <c r="G65" i="22" a="1"/>
  <c r="G65" i="22" s="1"/>
  <c r="G66" i="22" a="1"/>
  <c r="G66" i="22" s="1"/>
  <c r="G67" i="22" a="1"/>
  <c r="G67" i="22" s="1"/>
  <c r="G68" i="22" a="1"/>
  <c r="G68" i="22" s="1"/>
  <c r="G69" i="22" a="1"/>
  <c r="G69" i="22" s="1"/>
  <c r="G70" i="22" a="1"/>
  <c r="G70" i="22"/>
  <c r="G71" i="22" a="1"/>
  <c r="G71" i="22" s="1"/>
  <c r="G72" i="22" a="1"/>
  <c r="G72" i="22" s="1"/>
  <c r="G73" i="22" a="1"/>
  <c r="G73" i="22"/>
  <c r="G74" i="22" a="1"/>
  <c r="G74" i="22" s="1"/>
  <c r="G75" i="22" a="1"/>
  <c r="G75" i="22" s="1"/>
  <c r="G76" i="22" a="1"/>
  <c r="G76" i="22"/>
  <c r="G77" i="22" a="1"/>
  <c r="G77" i="22" s="1"/>
  <c r="G78" i="22" a="1"/>
  <c r="G78" i="22"/>
  <c r="G79" i="22" a="1"/>
  <c r="G79" i="22" s="1"/>
  <c r="G80" i="22" a="1"/>
  <c r="G80" i="22"/>
  <c r="G81" i="22" a="1"/>
  <c r="G81" i="22"/>
  <c r="G82" i="22" a="1"/>
  <c r="G82" i="22" s="1"/>
  <c r="G83" i="22" a="1"/>
  <c r="G83" i="22" s="1"/>
  <c r="G84" i="22" a="1"/>
  <c r="G84" i="22" s="1"/>
  <c r="G85" i="22" a="1"/>
  <c r="G85" i="22" s="1"/>
  <c r="G86" i="22" a="1"/>
  <c r="G86" i="22"/>
  <c r="G87" i="22" a="1"/>
  <c r="G87" i="22"/>
  <c r="G88" i="22" a="1"/>
  <c r="G88" i="22" s="1"/>
  <c r="G89" i="22" a="1"/>
  <c r="G89" i="22" s="1"/>
  <c r="G90" i="22" a="1"/>
  <c r="G90" i="22" s="1"/>
  <c r="G91" i="22" a="1"/>
  <c r="G91" i="22" s="1"/>
  <c r="G92" i="22" a="1"/>
  <c r="G92" i="22" s="1"/>
  <c r="G93" i="22" a="1"/>
  <c r="G93" i="22" s="1"/>
  <c r="G94" i="22" a="1"/>
  <c r="G94" i="22"/>
  <c r="G95" i="22" a="1"/>
  <c r="G95" i="22" s="1"/>
  <c r="G96" i="22" a="1"/>
  <c r="G96" i="22"/>
  <c r="G97" i="22" a="1"/>
  <c r="G97" i="22" s="1"/>
  <c r="G98" i="22" a="1"/>
  <c r="G98" i="22"/>
  <c r="G99" i="22" a="1"/>
  <c r="G99" i="22" s="1"/>
  <c r="G100" i="22" a="1"/>
  <c r="G100" i="22" s="1"/>
  <c r="G101" i="22" a="1"/>
  <c r="G101" i="22" s="1"/>
  <c r="G102" i="22" a="1"/>
  <c r="G102" i="22" s="1"/>
  <c r="G103" i="22" a="1"/>
  <c r="G103" i="22" s="1"/>
  <c r="G104" i="22" a="1"/>
  <c r="G104" i="22" s="1"/>
  <c r="G105" i="22" a="1"/>
  <c r="G105" i="22"/>
  <c r="G106" i="22" a="1"/>
  <c r="G106" i="22"/>
  <c r="G107" i="22" a="1"/>
  <c r="G107" i="22" s="1"/>
  <c r="G108" i="22" a="1"/>
  <c r="G108" i="22" s="1"/>
  <c r="G109" i="22" a="1"/>
  <c r="G109" i="22" s="1"/>
  <c r="G110" i="22" a="1"/>
  <c r="G110" i="22" s="1"/>
  <c r="G111" i="22" a="1"/>
  <c r="G111" i="22"/>
  <c r="G112" i="22" a="1"/>
  <c r="G112" i="22" s="1"/>
  <c r="G113" i="22" a="1"/>
  <c r="G113" i="22" s="1"/>
  <c r="G114" i="22" a="1"/>
  <c r="G114" i="22"/>
  <c r="G115" i="22" a="1"/>
  <c r="G115" i="22" s="1"/>
  <c r="G116" i="22" a="1"/>
  <c r="G116" i="22" s="1"/>
  <c r="G117" i="22" a="1"/>
  <c r="G117" i="22" s="1"/>
  <c r="G118" i="22" a="1"/>
  <c r="G118" i="22" s="1"/>
  <c r="G119" i="22" a="1"/>
  <c r="G119" i="22" s="1"/>
  <c r="G120" i="22" a="1"/>
  <c r="G120" i="22"/>
  <c r="G121" i="22" a="1"/>
  <c r="G121" i="22" s="1"/>
  <c r="G122" i="22" a="1"/>
  <c r="G122" i="22" s="1"/>
  <c r="G123" i="22" a="1"/>
  <c r="G123" i="22"/>
  <c r="G124" i="22" a="1"/>
  <c r="G124" i="22" s="1"/>
  <c r="G125" i="22" a="1"/>
  <c r="G125" i="22" s="1"/>
  <c r="G126" i="22" a="1"/>
  <c r="G126" i="22" s="1"/>
  <c r="G127" i="22" a="1"/>
  <c r="G127" i="22" s="1"/>
  <c r="G128" i="22" a="1"/>
  <c r="G128" i="22"/>
  <c r="G129" i="22" a="1"/>
  <c r="G129" i="22"/>
  <c r="G130" i="22" a="1"/>
  <c r="G130" i="22"/>
  <c r="G131" i="22" a="1"/>
  <c r="G131" i="22" s="1"/>
  <c r="G132" i="22" a="1"/>
  <c r="G132" i="22" s="1"/>
  <c r="G133" i="22" a="1"/>
  <c r="G133" i="22" s="1"/>
  <c r="G134" i="22" a="1"/>
  <c r="G134" i="22" s="1"/>
  <c r="G135" i="22" a="1"/>
  <c r="G135" i="22"/>
  <c r="G136" i="22" a="1"/>
  <c r="G136" i="22"/>
  <c r="G137" i="22" a="1"/>
  <c r="G137" i="22" s="1"/>
  <c r="G138" i="22" a="1"/>
  <c r="G138" i="22" s="1"/>
  <c r="G139" i="22" a="1"/>
  <c r="G139" i="22"/>
  <c r="G140" i="22" a="1"/>
  <c r="G140" i="22"/>
  <c r="G141" i="22" a="1"/>
  <c r="G141" i="22" s="1"/>
  <c r="G142" i="22" a="1"/>
  <c r="G142" i="22"/>
  <c r="G143" i="22" a="1"/>
  <c r="G143" i="22" s="1"/>
  <c r="G144" i="22" a="1"/>
  <c r="G144" i="22" s="1"/>
  <c r="G145" i="22" a="1"/>
  <c r="G145" i="22" s="1"/>
  <c r="G146" i="22" a="1"/>
  <c r="G146" i="22"/>
  <c r="G147" i="22" a="1"/>
  <c r="G147" i="22"/>
  <c r="G148" i="22" a="1"/>
  <c r="G148" i="22" s="1"/>
  <c r="G149" i="22" a="1"/>
  <c r="G149" i="22" s="1"/>
  <c r="G150" i="22" a="1"/>
  <c r="G150" i="22"/>
  <c r="G151" i="22" a="1"/>
  <c r="G151" i="22" s="1"/>
  <c r="G152" i="22" a="1"/>
  <c r="G152" i="22" s="1"/>
  <c r="G153" i="22" a="1"/>
  <c r="G153" i="22"/>
  <c r="G154" i="22" a="1"/>
  <c r="G154" i="22" s="1"/>
  <c r="G155" i="22" a="1"/>
  <c r="G155" i="22" s="1"/>
  <c r="G156" i="22" a="1"/>
  <c r="G156" i="22" s="1"/>
  <c r="G157" i="22" a="1"/>
  <c r="G157" i="22" s="1"/>
  <c r="G158" i="22" a="1"/>
  <c r="G158" i="22"/>
  <c r="G159" i="22" a="1"/>
  <c r="G159" i="22"/>
  <c r="G160" i="22" a="1"/>
  <c r="G160" i="22" s="1"/>
  <c r="G161" i="22" a="1"/>
  <c r="G161" i="22" s="1"/>
  <c r="G162" i="22" a="1"/>
  <c r="G162" i="22" s="1"/>
  <c r="G163" i="22" a="1"/>
  <c r="G163" i="22"/>
  <c r="G164" i="22" a="1"/>
  <c r="G164" i="22" s="1"/>
  <c r="G165" i="22" a="1"/>
  <c r="G165" i="22" s="1"/>
  <c r="G166" i="22" a="1"/>
  <c r="G166" i="22" s="1"/>
  <c r="G167" i="22" a="1"/>
  <c r="G167" i="22" s="1"/>
  <c r="G168" i="22" a="1"/>
  <c r="G168" i="22" s="1"/>
  <c r="G169" i="22" a="1"/>
  <c r="G169" i="22"/>
  <c r="G170" i="22" a="1"/>
  <c r="G170" i="22"/>
  <c r="G171" i="22" a="1"/>
  <c r="G171" i="22"/>
  <c r="G172" i="22" a="1"/>
  <c r="G172" i="22" s="1"/>
  <c r="G173" i="22" a="1"/>
  <c r="G173" i="22" s="1"/>
  <c r="G174" i="22" a="1"/>
  <c r="G174" i="22" s="1"/>
  <c r="G175" i="22" a="1"/>
  <c r="G175" i="22" s="1"/>
  <c r="G176" i="22" a="1"/>
  <c r="G176" i="22" s="1"/>
  <c r="G177" i="22" a="1"/>
  <c r="G177" i="22"/>
  <c r="G178" i="22" a="1"/>
  <c r="G178" i="22"/>
  <c r="G179" i="22" a="1"/>
  <c r="G179" i="22" s="1"/>
  <c r="G180" i="22" a="1"/>
  <c r="G180" i="22" s="1"/>
  <c r="G181" i="22" a="1"/>
  <c r="G181" i="22"/>
  <c r="G182" i="22" a="1"/>
  <c r="G182" i="22" s="1"/>
  <c r="G183" i="22" a="1"/>
  <c r="G183" i="22" s="1"/>
  <c r="G184" i="22" a="1"/>
  <c r="G184" i="22" s="1"/>
  <c r="G185" i="22" a="1"/>
  <c r="G185" i="22" s="1"/>
  <c r="G186" i="22" a="1"/>
  <c r="G186" i="22" s="1"/>
  <c r="G187" i="22" a="1"/>
  <c r="G187" i="22" s="1"/>
  <c r="G188" i="22" a="1"/>
  <c r="G188" i="22"/>
  <c r="G189" i="22" a="1"/>
  <c r="G189" i="22"/>
  <c r="G190" i="22" a="1"/>
  <c r="G190" i="22" s="1"/>
  <c r="G191" i="22" a="1"/>
  <c r="G191" i="22" s="1"/>
  <c r="G192" i="22" a="1"/>
  <c r="G192" i="22" s="1"/>
  <c r="G193" i="22" a="1"/>
  <c r="G193" i="22" s="1"/>
  <c r="G194" i="22" a="1"/>
  <c r="G194" i="22"/>
  <c r="G195" i="22" a="1"/>
  <c r="G195" i="22" s="1"/>
  <c r="G196" i="22" a="1"/>
  <c r="G196" i="22"/>
  <c r="G197" i="22" a="1"/>
  <c r="G197" i="22" s="1"/>
  <c r="G198" i="22" a="1"/>
  <c r="G198" i="22"/>
  <c r="G199" i="22" a="1"/>
  <c r="G199" i="22" s="1"/>
  <c r="G200" i="22" a="1"/>
  <c r="G200" i="22" s="1"/>
  <c r="G201" i="22" a="1"/>
  <c r="G201" i="22"/>
  <c r="G202" i="22" a="1"/>
  <c r="G202" i="22" s="1"/>
  <c r="G203" i="22" a="1"/>
  <c r="G203" i="22" s="1"/>
  <c r="G204" i="22" a="1"/>
  <c r="G204" i="22" s="1"/>
  <c r="G205" i="22" a="1"/>
  <c r="G205" i="22"/>
  <c r="G206" i="22" a="1"/>
  <c r="G206" i="22" s="1"/>
  <c r="G207" i="22" a="1"/>
  <c r="G207" i="22" s="1"/>
  <c r="G208" i="22" a="1"/>
  <c r="G208" i="22" s="1"/>
  <c r="G209" i="22" a="1"/>
  <c r="G209" i="22" s="1"/>
  <c r="G210" i="22" a="1"/>
  <c r="G210" i="22" s="1"/>
  <c r="G211" i="22" a="1"/>
  <c r="G211" i="22" s="1"/>
  <c r="G212" i="22" a="1"/>
  <c r="G212" i="22"/>
  <c r="G213" i="22" a="1"/>
  <c r="G213" i="22"/>
  <c r="G214" i="22" a="1"/>
  <c r="G214" i="22" s="1"/>
  <c r="G215" i="22" a="1"/>
  <c r="G215" i="22" s="1"/>
  <c r="G216" i="22" a="1"/>
  <c r="G216" i="22" s="1"/>
  <c r="G217" i="22" a="1"/>
  <c r="G217" i="22" s="1"/>
  <c r="G218" i="22" a="1"/>
  <c r="G218" i="22" s="1"/>
  <c r="G219" i="22" a="1"/>
  <c r="G219" i="22"/>
  <c r="G220" i="22" a="1"/>
  <c r="G220" i="22"/>
  <c r="G221" i="22" a="1"/>
  <c r="G221" i="22" s="1"/>
  <c r="G222" i="22" a="1"/>
  <c r="G222" i="22"/>
  <c r="G223" i="22" a="1"/>
  <c r="G223" i="22" s="1"/>
  <c r="G224" i="22" a="1"/>
  <c r="G224" i="22" s="1"/>
  <c r="G225" i="22" a="1"/>
  <c r="G225" i="22" s="1"/>
  <c r="G226" i="22" a="1"/>
  <c r="G226" i="22"/>
  <c r="G227" i="22" a="1"/>
  <c r="G227" i="22" s="1"/>
  <c r="G228" i="22" a="1"/>
  <c r="G228" i="22"/>
  <c r="G229" i="22" a="1"/>
  <c r="G229" i="22"/>
  <c r="G230" i="22" a="1"/>
  <c r="G230" i="22" s="1"/>
  <c r="G231" i="22" a="1"/>
  <c r="G231" i="22"/>
  <c r="G232" i="22" a="1"/>
  <c r="G232" i="22" s="1"/>
  <c r="G233" i="22" a="1"/>
  <c r="G233" i="22" s="1"/>
  <c r="G234" i="22" a="1"/>
  <c r="G234" i="22" s="1"/>
  <c r="G235" i="22" a="1"/>
  <c r="G235" i="22"/>
  <c r="G236" i="22" a="1"/>
  <c r="G236" i="22" s="1"/>
  <c r="G237" i="22" a="1"/>
  <c r="G237" i="22"/>
  <c r="G238" i="22" a="1"/>
  <c r="G238" i="22" s="1"/>
  <c r="G239" i="22" a="1"/>
  <c r="G239" i="22" s="1"/>
  <c r="Q13" i="20" a="1"/>
  <c r="Q13" i="20" s="1"/>
  <c r="R13" i="20" a="1"/>
  <c r="R13" i="20" s="1"/>
  <c r="S13" i="20" a="1"/>
  <c r="S13" i="20" s="1"/>
  <c r="G20" i="20" a="1"/>
  <c r="G20" i="20" s="1"/>
  <c r="G21" i="20" a="1"/>
  <c r="G21" i="20" s="1"/>
  <c r="G22" i="20" a="1"/>
  <c r="G22" i="20" s="1"/>
  <c r="G23" i="20" a="1"/>
  <c r="G23" i="20" s="1"/>
  <c r="G24" i="20" a="1"/>
  <c r="G24" i="20" s="1"/>
  <c r="G26" i="22" a="1"/>
  <c r="G26" i="22" s="1"/>
  <c r="G25" i="22" a="1"/>
  <c r="G25" i="22" s="1"/>
  <c r="G24" i="22" a="1"/>
  <c r="G24" i="22" s="1"/>
  <c r="G23" i="22" a="1"/>
  <c r="G23" i="22" s="1"/>
  <c r="G22" i="22" a="1"/>
  <c r="G22" i="22" s="1"/>
  <c r="G21" i="22" a="1"/>
  <c r="G21" i="22" s="1"/>
  <c r="G20" i="22" a="1"/>
  <c r="G20" i="22" s="1"/>
  <c r="G19" i="22" a="1"/>
  <c r="G19" i="22" s="1"/>
  <c r="G18" i="22" a="1"/>
  <c r="G18" i="22" s="1"/>
  <c r="G17" i="22" a="1"/>
  <c r="G17" i="22" s="1"/>
  <c r="G16" i="22" a="1"/>
  <c r="G16" i="22" s="1"/>
  <c r="G15" i="22" a="1"/>
  <c r="G15" i="22" s="1"/>
  <c r="G14" i="22" a="1"/>
  <c r="G14" i="22" s="1"/>
  <c r="X13" i="22" a="1"/>
  <c r="X13" i="22" s="1"/>
  <c r="AI13" i="22" s="1" a="1"/>
  <c r="AI13" i="22" s="1"/>
  <c r="W13" i="22" a="1"/>
  <c r="W13" i="22" s="1"/>
  <c r="AH13" i="22" s="1" a="1"/>
  <c r="AH13" i="22" s="1"/>
  <c r="V13" i="22" a="1"/>
  <c r="V13" i="22" s="1"/>
  <c r="AG13" i="22" s="1" a="1"/>
  <c r="AG13" i="22" s="1"/>
  <c r="U13" i="22" a="1"/>
  <c r="U13" i="22" s="1"/>
  <c r="AF13" i="22" s="1" a="1"/>
  <c r="AF13" i="22" s="1"/>
  <c r="T13" i="22" a="1"/>
  <c r="T13" i="22" s="1"/>
  <c r="AE13" i="22" s="1" a="1"/>
  <c r="AE13" i="22" s="1"/>
  <c r="S13" i="22" a="1"/>
  <c r="S13" i="22" s="1"/>
  <c r="AD13" i="22" s="1" a="1"/>
  <c r="AD13" i="22" s="1"/>
  <c r="R13" i="22" a="1"/>
  <c r="R13" i="22" s="1"/>
  <c r="AC13" i="22" s="1" a="1"/>
  <c r="AC13" i="22" s="1"/>
  <c r="Q13" i="22" a="1"/>
  <c r="Q13" i="22" s="1"/>
  <c r="G13" i="22" a="1"/>
  <c r="G13" i="22" s="1"/>
  <c r="J36" i="51" l="1" a="1"/>
  <c r="J36" i="51" s="1"/>
  <c r="J28" i="51" a="1"/>
  <c r="J28" i="51" s="1"/>
  <c r="J38" i="51" a="1"/>
  <c r="J38" i="51" s="1"/>
  <c r="J42" i="51" a="1"/>
  <c r="J42" i="51" s="1"/>
  <c r="J56" i="51" a="1"/>
  <c r="J56" i="51" s="1"/>
  <c r="J29" i="51" a="1"/>
  <c r="J29" i="51" s="1"/>
  <c r="J33" i="51" a="1"/>
  <c r="J33" i="51" s="1"/>
  <c r="J44" i="51" a="1"/>
  <c r="J44" i="51" s="1"/>
  <c r="J32" i="51" a="1"/>
  <c r="J32" i="51" s="1"/>
  <c r="J55" i="51" a="1"/>
  <c r="J55" i="51" s="1"/>
  <c r="J21" i="51" a="1"/>
  <c r="J21" i="51" s="1"/>
  <c r="J49" i="51" a="1"/>
  <c r="J49" i="51" s="1"/>
  <c r="J54" i="51" a="1"/>
  <c r="J54" i="51" s="1"/>
  <c r="J60" i="51" a="1"/>
  <c r="J60" i="51" s="1"/>
  <c r="J59" i="51" a="1"/>
  <c r="J59" i="51" s="1"/>
  <c r="J20" i="51" a="1"/>
  <c r="J20" i="51" s="1"/>
  <c r="J23" i="51" a="1"/>
  <c r="J23" i="51" s="1"/>
  <c r="J52" i="51" a="1"/>
  <c r="J52" i="51" s="1"/>
  <c r="J30" i="51" a="1"/>
  <c r="J30" i="51" s="1"/>
  <c r="J41" i="51" a="1"/>
  <c r="J41" i="51" s="1"/>
  <c r="J24" i="51" a="1"/>
  <c r="J24" i="51" s="1"/>
  <c r="J18" i="51" a="1"/>
  <c r="J18" i="51" s="1"/>
  <c r="J31" i="51" a="1"/>
  <c r="J31" i="51" s="1"/>
  <c r="J17" i="51" a="1"/>
  <c r="J17" i="51" s="1"/>
  <c r="J34" i="51" a="1"/>
  <c r="J34" i="51" s="1"/>
  <c r="J47" i="51" a="1"/>
  <c r="J47" i="51" s="1"/>
  <c r="J50" i="51" a="1"/>
  <c r="J50" i="51" s="1"/>
  <c r="J35" i="51" a="1"/>
  <c r="J35" i="51" s="1"/>
  <c r="J51" i="51" a="1"/>
  <c r="J51" i="51" s="1"/>
  <c r="J46" i="51" a="1"/>
  <c r="J46" i="51" s="1"/>
  <c r="J26" i="51" a="1"/>
  <c r="J26" i="51" s="1"/>
  <c r="J58" i="51" a="1"/>
  <c r="J58" i="51" s="1"/>
  <c r="J53" i="51" a="1"/>
  <c r="J53" i="51" s="1"/>
  <c r="J15" i="51" a="1"/>
  <c r="J15" i="51" s="1"/>
  <c r="J14" i="51" a="1"/>
  <c r="J14" i="51" s="1"/>
  <c r="AB17" i="45" a="1"/>
  <c r="AB17" i="45" s="1"/>
  <c r="J17" i="45" s="1" a="1"/>
  <c r="J17" i="45" s="1"/>
  <c r="AC17" i="45" a="1"/>
  <c r="AC17" i="45" s="1"/>
  <c r="AA17" i="45" a="1"/>
  <c r="AA17" i="45" s="1"/>
  <c r="Z17" i="45" a="1"/>
  <c r="Z17" i="45" s="1"/>
  <c r="Y17" i="45" a="1"/>
  <c r="Y17" i="45" s="1"/>
  <c r="AB14" i="45" a="1"/>
  <c r="AB14" i="45" s="1"/>
  <c r="AC14" i="45" a="1"/>
  <c r="AC14" i="45" s="1"/>
  <c r="AA14" i="45" a="1"/>
  <c r="AA14" i="45" s="1"/>
  <c r="Z14" i="45" a="1"/>
  <c r="Z14" i="45" s="1"/>
  <c r="Y14" i="45" a="1"/>
  <c r="Y14" i="45" s="1"/>
  <c r="AB27" i="45" a="1"/>
  <c r="AB27" i="45" s="1"/>
  <c r="AC27" i="45" a="1"/>
  <c r="AC27" i="45" s="1"/>
  <c r="AA27" i="45" a="1"/>
  <c r="AA27" i="45" s="1"/>
  <c r="Z27" i="45" a="1"/>
  <c r="Z27" i="45" s="1"/>
  <c r="Y27" i="45" a="1"/>
  <c r="Y27" i="45" s="1"/>
  <c r="J27" i="45" s="1" a="1"/>
  <c r="J27" i="45" s="1"/>
  <c r="AA29" i="45" a="1"/>
  <c r="AA29" i="45" s="1"/>
  <c r="J29" i="45" s="1" a="1"/>
  <c r="J29" i="45" s="1"/>
  <c r="AC29" i="45" a="1"/>
  <c r="AC29" i="45" s="1"/>
  <c r="AB29" i="45" a="1"/>
  <c r="AB29" i="45" s="1"/>
  <c r="Z29" i="45" a="1"/>
  <c r="Z29" i="45" s="1"/>
  <c r="Y29" i="45" a="1"/>
  <c r="Y29" i="45" s="1"/>
  <c r="AC18" i="45" a="1"/>
  <c r="AC18" i="45" s="1"/>
  <c r="Z18" i="45" a="1"/>
  <c r="Z18" i="45" s="1"/>
  <c r="AB18" i="45" a="1"/>
  <c r="AB18" i="45" s="1"/>
  <c r="AA18" i="45" a="1"/>
  <c r="AA18" i="45" s="1"/>
  <c r="Y18" i="45" a="1"/>
  <c r="Y18" i="45" s="1"/>
  <c r="AA34" i="45" a="1"/>
  <c r="AA34" i="45" s="1"/>
  <c r="Z34" i="45" a="1"/>
  <c r="Z34" i="45" s="1"/>
  <c r="AB34" i="45" a="1"/>
  <c r="AB34" i="45" s="1"/>
  <c r="AC34" i="45" a="1"/>
  <c r="AC34" i="45" s="1"/>
  <c r="Y34" i="45" a="1"/>
  <c r="Y34" i="45" s="1"/>
  <c r="AB25" i="45" a="1"/>
  <c r="AB25" i="45" s="1"/>
  <c r="AC25" i="45" a="1"/>
  <c r="AC25" i="45" s="1"/>
  <c r="Z25" i="45" a="1"/>
  <c r="Z25" i="45" s="1"/>
  <c r="J25" i="45" s="1" a="1"/>
  <c r="J25" i="45" s="1"/>
  <c r="AA25" i="45" a="1"/>
  <c r="AA25" i="45" s="1"/>
  <c r="Y25" i="45" a="1"/>
  <c r="Y25" i="45" s="1"/>
  <c r="AC26" i="45" a="1"/>
  <c r="AC26" i="45" s="1"/>
  <c r="Z26" i="45" a="1"/>
  <c r="Z26" i="45" s="1"/>
  <c r="AB26" i="45" a="1"/>
  <c r="AB26" i="45" s="1"/>
  <c r="AA26" i="45" a="1"/>
  <c r="AA26" i="45" s="1"/>
  <c r="Y26" i="45" a="1"/>
  <c r="Y26" i="45" s="1"/>
  <c r="AC31" i="45" a="1"/>
  <c r="AC31" i="45" s="1"/>
  <c r="Z31" i="45" a="1"/>
  <c r="Z31" i="45" s="1"/>
  <c r="AB31" i="45" a="1"/>
  <c r="AB31" i="45" s="1"/>
  <c r="AA31" i="45" a="1"/>
  <c r="AA31" i="45" s="1"/>
  <c r="Y31" i="45" a="1"/>
  <c r="Y31" i="45" s="1"/>
  <c r="J31" i="45" s="1" a="1"/>
  <c r="J31" i="45" s="1"/>
  <c r="Z28" i="45" a="1"/>
  <c r="Z28" i="45" s="1"/>
  <c r="AB28" i="45" a="1"/>
  <c r="AB28" i="45" s="1"/>
  <c r="AA28" i="45" a="1"/>
  <c r="AA28" i="45" s="1"/>
  <c r="AC28" i="45" a="1"/>
  <c r="AC28" i="45" s="1"/>
  <c r="Y28" i="45" a="1"/>
  <c r="Y28" i="45" s="1"/>
  <c r="J28" i="45" s="1" a="1"/>
  <c r="J28" i="45" s="1"/>
  <c r="AC15" i="45" a="1"/>
  <c r="AC15" i="45" s="1"/>
  <c r="AB15" i="45" a="1"/>
  <c r="AB15" i="45" s="1"/>
  <c r="Z15" i="45" a="1"/>
  <c r="Z15" i="45" s="1"/>
  <c r="AA15" i="45" a="1"/>
  <c r="AA15" i="45" s="1"/>
  <c r="Y15" i="45" a="1"/>
  <c r="Y15" i="45" s="1"/>
  <c r="Z37" i="45" a="1"/>
  <c r="Z37" i="45" s="1"/>
  <c r="AA37" i="45" a="1"/>
  <c r="AA37" i="45" s="1"/>
  <c r="AC37" i="45" a="1"/>
  <c r="AC37" i="45" s="1"/>
  <c r="AB37" i="45" a="1"/>
  <c r="AB37" i="45" s="1"/>
  <c r="Y37" i="45" a="1"/>
  <c r="Y37" i="45" s="1"/>
  <c r="AC32" i="45" a="1"/>
  <c r="AC32" i="45" s="1"/>
  <c r="AB32" i="45" a="1"/>
  <c r="AB32" i="45" s="1"/>
  <c r="AA32" i="45" a="1"/>
  <c r="AA32" i="45" s="1"/>
  <c r="Z32" i="45" a="1"/>
  <c r="Z32" i="45" s="1"/>
  <c r="Y32" i="45" a="1"/>
  <c r="Y32" i="45" s="1"/>
  <c r="J32" i="45" s="1" a="1"/>
  <c r="J32" i="45" s="1"/>
  <c r="AC36" i="45" a="1"/>
  <c r="AC36" i="45" s="1"/>
  <c r="J36" i="45" s="1" a="1"/>
  <c r="J36" i="45" s="1"/>
  <c r="AB36" i="45" a="1"/>
  <c r="AB36" i="45" s="1"/>
  <c r="Z36" i="45" a="1"/>
  <c r="Z36" i="45" s="1"/>
  <c r="AA36" i="45" a="1"/>
  <c r="AA36" i="45" s="1"/>
  <c r="Y36" i="45" a="1"/>
  <c r="Y36" i="45" s="1"/>
  <c r="AB24" i="45" a="1"/>
  <c r="AB24" i="45" s="1"/>
  <c r="AC24" i="45" a="1"/>
  <c r="AC24" i="45" s="1"/>
  <c r="AA24" i="45" a="1"/>
  <c r="AA24" i="45" s="1"/>
  <c r="Z24" i="45" a="1"/>
  <c r="Z24" i="45" s="1"/>
  <c r="Y24" i="45" a="1"/>
  <c r="Y24" i="45" s="1"/>
  <c r="J24" i="45" s="1" a="1"/>
  <c r="J24" i="45" s="1"/>
  <c r="AB20" i="45" a="1"/>
  <c r="AB20" i="45" s="1"/>
  <c r="Z20" i="45" a="1"/>
  <c r="Z20" i="45" s="1"/>
  <c r="AC20" i="45" a="1"/>
  <c r="AC20" i="45" s="1"/>
  <c r="AA20" i="45" a="1"/>
  <c r="AA20" i="45" s="1"/>
  <c r="Y20" i="45" a="1"/>
  <c r="Y20" i="45" s="1"/>
  <c r="J20" i="45" s="1" a="1"/>
  <c r="J20" i="45" s="1"/>
  <c r="Z33" i="45" a="1"/>
  <c r="Z33" i="45" s="1"/>
  <c r="J33" i="45" s="1" a="1"/>
  <c r="J33" i="45" s="1"/>
  <c r="AC33" i="45" a="1"/>
  <c r="AC33" i="45" s="1"/>
  <c r="AB33" i="45" a="1"/>
  <c r="AB33" i="45" s="1"/>
  <c r="AA33" i="45" a="1"/>
  <c r="AA33" i="45" s="1"/>
  <c r="Y33" i="45" a="1"/>
  <c r="Y33" i="45" s="1"/>
  <c r="Z30" i="45" a="1"/>
  <c r="Z30" i="45" s="1"/>
  <c r="AC30" i="45" a="1"/>
  <c r="AC30" i="45" s="1"/>
  <c r="AA30" i="45" a="1"/>
  <c r="AA30" i="45" s="1"/>
  <c r="AB30" i="45" a="1"/>
  <c r="AB30" i="45" s="1"/>
  <c r="Y30" i="45" a="1"/>
  <c r="Y30" i="45" s="1"/>
  <c r="L21" i="45"/>
  <c r="Z21" i="45" a="1"/>
  <c r="Z21" i="45" s="1"/>
  <c r="AC21" i="45" a="1"/>
  <c r="AC21" i="45" s="1"/>
  <c r="AB21" i="45" a="1"/>
  <c r="AB21" i="45" s="1"/>
  <c r="Y21" i="45" a="1"/>
  <c r="Y21" i="45" s="1"/>
  <c r="J21" i="45" s="1" a="1"/>
  <c r="J21" i="45" s="1"/>
  <c r="AA21" i="45" a="1"/>
  <c r="AA21" i="45" s="1"/>
  <c r="L22" i="45"/>
  <c r="AB22" i="45" a="1"/>
  <c r="AB22" i="45" s="1"/>
  <c r="J22" i="45" s="1" a="1"/>
  <c r="J22" i="45" s="1"/>
  <c r="AA22" i="45" a="1"/>
  <c r="AA22" i="45" s="1"/>
  <c r="Z22" i="45" a="1"/>
  <c r="Z22" i="45" s="1"/>
  <c r="AC22" i="45" a="1"/>
  <c r="AC22" i="45" s="1"/>
  <c r="Y22" i="45" a="1"/>
  <c r="Y22" i="45" s="1"/>
  <c r="AC16" i="45" a="1"/>
  <c r="AC16" i="45" s="1"/>
  <c r="AB16" i="45" a="1"/>
  <c r="AB16" i="45" s="1"/>
  <c r="AA16" i="45" a="1"/>
  <c r="AA16" i="45" s="1"/>
  <c r="Z16" i="45" a="1"/>
  <c r="Z16" i="45" s="1"/>
  <c r="Y16" i="45" a="1"/>
  <c r="Y16" i="45" s="1"/>
  <c r="J16" i="45" s="1" a="1"/>
  <c r="J16" i="45" s="1"/>
  <c r="L35" i="45"/>
  <c r="AB35" i="45" a="1"/>
  <c r="AB35" i="45" s="1"/>
  <c r="AA35" i="45" a="1"/>
  <c r="AA35" i="45" s="1"/>
  <c r="Z35" i="45" a="1"/>
  <c r="Z35" i="45" s="1"/>
  <c r="AC35" i="45" a="1"/>
  <c r="AC35" i="45" s="1"/>
  <c r="Y35" i="45" a="1"/>
  <c r="Y35" i="45" s="1"/>
  <c r="J35" i="45" s="1" a="1"/>
  <c r="J35" i="45" s="1"/>
  <c r="L23" i="45"/>
  <c r="AC23" i="45" a="1"/>
  <c r="AC23" i="45" s="1"/>
  <c r="AB23" i="45" a="1"/>
  <c r="AB23" i="45" s="1"/>
  <c r="AA23" i="45" a="1"/>
  <c r="AA23" i="45" s="1"/>
  <c r="Z23" i="45" a="1"/>
  <c r="Z23" i="45" s="1"/>
  <c r="Y23" i="45" a="1"/>
  <c r="Y23" i="45" s="1"/>
  <c r="J13" i="51" a="1"/>
  <c r="J13" i="51" s="1"/>
  <c r="L11" i="54"/>
  <c r="E25" i="4" s="1"/>
  <c r="L11" i="55"/>
  <c r="E26" i="4" s="1"/>
  <c r="L11" i="53"/>
  <c r="E24" i="4" s="1"/>
  <c r="J45" i="52" a="1"/>
  <c r="J45" i="52" s="1"/>
  <c r="J39" i="52" a="1"/>
  <c r="J39" i="52" s="1"/>
  <c r="J14" i="52" a="1"/>
  <c r="J14" i="52" s="1"/>
  <c r="J13" i="52" a="1"/>
  <c r="J13" i="52" s="1"/>
  <c r="J21" i="52" a="1"/>
  <c r="J21" i="52" s="1"/>
  <c r="J18" i="52" a="1"/>
  <c r="J18" i="52" s="1"/>
  <c r="J19" i="52" a="1"/>
  <c r="J19" i="52" s="1"/>
  <c r="J33" i="52" a="1"/>
  <c r="J33" i="52" s="1"/>
  <c r="J31" i="52" a="1"/>
  <c r="J31" i="52" s="1"/>
  <c r="J43" i="52" a="1"/>
  <c r="J43" i="52" s="1"/>
  <c r="J17" i="52" a="1"/>
  <c r="J17" i="52" s="1"/>
  <c r="J40" i="52" a="1"/>
  <c r="J40" i="52" s="1"/>
  <c r="J36" i="52" a="1"/>
  <c r="J36" i="52" s="1"/>
  <c r="J24" i="52" a="1"/>
  <c r="J24" i="52" s="1"/>
  <c r="J20" i="52" a="1"/>
  <c r="J20" i="52" s="1"/>
  <c r="J29" i="52" a="1"/>
  <c r="J29" i="52" s="1"/>
  <c r="J37" i="52" a="1"/>
  <c r="J37" i="52" s="1"/>
  <c r="L11" i="52"/>
  <c r="E23" i="4" s="1"/>
  <c r="J16" i="52" a="1"/>
  <c r="J16" i="52" s="1"/>
  <c r="J30" i="52" a="1"/>
  <c r="J30" i="52" s="1"/>
  <c r="J38" i="52" a="1"/>
  <c r="J38" i="52" s="1"/>
  <c r="J27" i="52" a="1"/>
  <c r="J27" i="52" s="1"/>
  <c r="J25" i="52" a="1"/>
  <c r="J25" i="52" s="1"/>
  <c r="J44" i="52" a="1"/>
  <c r="J44" i="52" s="1"/>
  <c r="J15" i="52" a="1"/>
  <c r="J15" i="52" s="1"/>
  <c r="J48" i="52" a="1"/>
  <c r="J48" i="52" s="1"/>
  <c r="J47" i="52" a="1"/>
  <c r="J47" i="52" s="1"/>
  <c r="J42" i="52" a="1"/>
  <c r="J42" i="52" s="1"/>
  <c r="J32" i="52" a="1"/>
  <c r="J32" i="52" s="1"/>
  <c r="J22" i="52" a="1"/>
  <c r="J22" i="52" s="1"/>
  <c r="L11" i="51"/>
  <c r="E22" i="4" s="1"/>
  <c r="AB13" i="22" a="1"/>
  <c r="AB13" i="22" s="1"/>
  <c r="L16" i="49"/>
  <c r="J38" i="49" a="1"/>
  <c r="J38" i="49" s="1"/>
  <c r="J15" i="49" a="1"/>
  <c r="J15" i="49" s="1"/>
  <c r="J42" i="49" a="1"/>
  <c r="J42" i="49" s="1"/>
  <c r="J20" i="48" a="1"/>
  <c r="J20" i="48" s="1"/>
  <c r="L41" i="48"/>
  <c r="L67" i="47"/>
  <c r="J67" i="47" a="1"/>
  <c r="J67" i="47" s="1"/>
  <c r="L66" i="47"/>
  <c r="J66" i="47" a="1"/>
  <c r="J66" i="47" s="1"/>
  <c r="L69" i="47"/>
  <c r="J69" i="47" a="1"/>
  <c r="J69" i="47" s="1"/>
  <c r="L68" i="47"/>
  <c r="J68" i="47" a="1"/>
  <c r="J68" i="47" s="1"/>
  <c r="L65" i="47"/>
  <c r="J65" i="47" a="1"/>
  <c r="J65" i="47" s="1"/>
  <c r="L39" i="46"/>
  <c r="J39" i="46" a="1"/>
  <c r="J39" i="46" s="1"/>
  <c r="J34" i="46" a="1"/>
  <c r="J34" i="46" s="1"/>
  <c r="L42" i="46"/>
  <c r="J42" i="46" a="1"/>
  <c r="J42" i="46" s="1"/>
  <c r="L52" i="46"/>
  <c r="J52" i="46" a="1"/>
  <c r="J52" i="46" s="1"/>
  <c r="J20" i="46" a="1"/>
  <c r="J20" i="46" s="1"/>
  <c r="L60" i="46"/>
  <c r="J60" i="46" a="1"/>
  <c r="J60" i="46" s="1"/>
  <c r="L13" i="46"/>
  <c r="L58" i="46"/>
  <c r="J58" i="46" a="1"/>
  <c r="J58" i="46" s="1"/>
  <c r="L47" i="46"/>
  <c r="J47" i="46" a="1"/>
  <c r="J47" i="46" s="1"/>
  <c r="L50" i="46"/>
  <c r="J50" i="46" a="1"/>
  <c r="J50" i="46" s="1"/>
  <c r="L62" i="46"/>
  <c r="J62" i="46" a="1"/>
  <c r="J62" i="46" s="1"/>
  <c r="L56" i="46"/>
  <c r="J56" i="46" a="1"/>
  <c r="J56" i="46" s="1"/>
  <c r="L38" i="46"/>
  <c r="J38" i="46" a="1"/>
  <c r="J38" i="46" s="1"/>
  <c r="L49" i="46"/>
  <c r="J49" i="46" a="1"/>
  <c r="J49" i="46" s="1"/>
  <c r="L59" i="46"/>
  <c r="J59" i="46" a="1"/>
  <c r="J59" i="46" s="1"/>
  <c r="L53" i="46"/>
  <c r="J53" i="46" a="1"/>
  <c r="J53" i="46" s="1"/>
  <c r="L48" i="46"/>
  <c r="J48" i="46" a="1"/>
  <c r="J48" i="46" s="1"/>
  <c r="L55" i="46"/>
  <c r="J55" i="46" a="1"/>
  <c r="J55" i="46" s="1"/>
  <c r="L51" i="46"/>
  <c r="J51" i="46" a="1"/>
  <c r="J51" i="46" s="1"/>
  <c r="L46" i="46"/>
  <c r="J46" i="46" a="1"/>
  <c r="J46" i="46" s="1"/>
  <c r="L45" i="46"/>
  <c r="J45" i="46" a="1"/>
  <c r="J45" i="46" s="1"/>
  <c r="J46" i="49" a="1"/>
  <c r="J46" i="49" s="1"/>
  <c r="L31" i="49"/>
  <c r="J31" i="49" a="1"/>
  <c r="J31" i="49" s="1"/>
  <c r="L20" i="49"/>
  <c r="J20" i="49" a="1"/>
  <c r="J20" i="49" s="1"/>
  <c r="L21" i="49"/>
  <c r="J21" i="49" a="1"/>
  <c r="J21" i="49" s="1"/>
  <c r="L33" i="49"/>
  <c r="J33" i="49" a="1"/>
  <c r="J33" i="49" s="1"/>
  <c r="L29" i="49"/>
  <c r="J29" i="49" a="1"/>
  <c r="J29" i="49" s="1"/>
  <c r="L25" i="49"/>
  <c r="J25" i="49" a="1"/>
  <c r="J25" i="49" s="1"/>
  <c r="L17" i="49"/>
  <c r="J17" i="49" a="1"/>
  <c r="J17" i="49" s="1"/>
  <c r="L45" i="49"/>
  <c r="J45" i="49" a="1"/>
  <c r="J45" i="49" s="1"/>
  <c r="L43" i="49"/>
  <c r="J43" i="49" a="1"/>
  <c r="J43" i="49" s="1"/>
  <c r="L44" i="49"/>
  <c r="J44" i="49" a="1"/>
  <c r="J44" i="49" s="1"/>
  <c r="L14" i="49"/>
  <c r="J14" i="49" a="1"/>
  <c r="J14" i="49" s="1"/>
  <c r="L28" i="49"/>
  <c r="J28" i="49" a="1"/>
  <c r="J28" i="49" s="1"/>
  <c r="L22" i="49"/>
  <c r="J22" i="49" a="1"/>
  <c r="J22" i="49" s="1"/>
  <c r="L23" i="49"/>
  <c r="J23" i="49" a="1"/>
  <c r="J23" i="49" s="1"/>
  <c r="L24" i="49"/>
  <c r="J24" i="49" a="1"/>
  <c r="J24" i="49" s="1"/>
  <c r="L37" i="49"/>
  <c r="J37" i="49" a="1"/>
  <c r="J37" i="49" s="1"/>
  <c r="L18" i="49"/>
  <c r="J18" i="49" a="1"/>
  <c r="J18" i="49" s="1"/>
  <c r="L39" i="49"/>
  <c r="J39" i="49" a="1"/>
  <c r="J39" i="49" s="1"/>
  <c r="L32" i="49"/>
  <c r="J32" i="49" a="1"/>
  <c r="J32" i="49" s="1"/>
  <c r="L34" i="49"/>
  <c r="J34" i="49" a="1"/>
  <c r="J34" i="49" s="1"/>
  <c r="L36" i="49"/>
  <c r="J36" i="49" a="1"/>
  <c r="J36" i="49" s="1"/>
  <c r="L26" i="49"/>
  <c r="J26" i="49" a="1"/>
  <c r="J26" i="49" s="1"/>
  <c r="L35" i="49"/>
  <c r="J35" i="49" a="1"/>
  <c r="J35" i="49" s="1"/>
  <c r="L40" i="49"/>
  <c r="J40" i="49" a="1"/>
  <c r="J40" i="49" s="1"/>
  <c r="L30" i="49"/>
  <c r="J30" i="49" a="1"/>
  <c r="J30" i="49" s="1"/>
  <c r="L41" i="49"/>
  <c r="J41" i="49" a="1"/>
  <c r="J41" i="49" s="1"/>
  <c r="H11" i="49"/>
  <c r="L13" i="49"/>
  <c r="Y13" i="49" a="1"/>
  <c r="Y13" i="49" s="1"/>
  <c r="J13" i="49" s="1" a="1"/>
  <c r="J13" i="49" s="1"/>
  <c r="J38" i="48" a="1"/>
  <c r="J38" i="48" s="1"/>
  <c r="J48" i="48" a="1"/>
  <c r="J48" i="48" s="1"/>
  <c r="J53" i="48" a="1"/>
  <c r="J53" i="48" s="1"/>
  <c r="J22" i="48" a="1"/>
  <c r="J22" i="48" s="1"/>
  <c r="J47" i="48" a="1"/>
  <c r="J47" i="48" s="1"/>
  <c r="J16" i="48" a="1"/>
  <c r="J16" i="48" s="1"/>
  <c r="L44" i="48"/>
  <c r="J44" i="48" a="1"/>
  <c r="J44" i="48" s="1"/>
  <c r="L31" i="48"/>
  <c r="J31" i="48" a="1"/>
  <c r="J31" i="48" s="1"/>
  <c r="L29" i="48"/>
  <c r="J29" i="48" a="1"/>
  <c r="J29" i="48" s="1"/>
  <c r="L19" i="48"/>
  <c r="L14" i="48"/>
  <c r="J14" i="48" a="1"/>
  <c r="J14" i="48" s="1"/>
  <c r="J46" i="48" a="1"/>
  <c r="J46" i="48" s="1"/>
  <c r="L34" i="48"/>
  <c r="J34" i="48" a="1"/>
  <c r="J34" i="48" s="1"/>
  <c r="L15" i="48"/>
  <c r="J15" i="48" a="1"/>
  <c r="J15" i="48" s="1"/>
  <c r="J42" i="48" a="1"/>
  <c r="J42" i="48" s="1"/>
  <c r="J39" i="48" a="1"/>
  <c r="J39" i="48" s="1"/>
  <c r="L43" i="48"/>
  <c r="J43" i="48" a="1"/>
  <c r="J43" i="48" s="1"/>
  <c r="J50" i="48" a="1"/>
  <c r="J50" i="48" s="1"/>
  <c r="L37" i="48"/>
  <c r="J37" i="48" a="1"/>
  <c r="J37" i="48" s="1"/>
  <c r="J23" i="48" a="1"/>
  <c r="J23" i="48" s="1"/>
  <c r="J30" i="48" a="1"/>
  <c r="J30" i="48" s="1"/>
  <c r="L17" i="48"/>
  <c r="J17" i="48" a="1"/>
  <c r="J17" i="48" s="1"/>
  <c r="L24" i="48"/>
  <c r="J24" i="48" a="1"/>
  <c r="J24" i="48" s="1"/>
  <c r="L21" i="48"/>
  <c r="J21" i="48" a="1"/>
  <c r="J21" i="48" s="1"/>
  <c r="L36" i="48"/>
  <c r="J36" i="48" a="1"/>
  <c r="J36" i="48" s="1"/>
  <c r="J40" i="48" a="1"/>
  <c r="J40" i="48" s="1"/>
  <c r="J25" i="48" a="1"/>
  <c r="J25" i="48" s="1"/>
  <c r="L49" i="48"/>
  <c r="J49" i="48" a="1"/>
  <c r="J49" i="48" s="1"/>
  <c r="L18" i="48"/>
  <c r="J18" i="48" a="1"/>
  <c r="J18" i="48" s="1"/>
  <c r="H11" i="48"/>
  <c r="L26" i="48"/>
  <c r="J26" i="48" a="1"/>
  <c r="J26" i="48" s="1"/>
  <c r="L52" i="48"/>
  <c r="J52" i="48" a="1"/>
  <c r="J52" i="48" s="1"/>
  <c r="L28" i="48"/>
  <c r="J28" i="48" a="1"/>
  <c r="J28" i="48" s="1"/>
  <c r="L45" i="48"/>
  <c r="J45" i="48" a="1"/>
  <c r="J45" i="48" s="1"/>
  <c r="L51" i="48"/>
  <c r="J51" i="48" a="1"/>
  <c r="J51" i="48" s="1"/>
  <c r="L33" i="48"/>
  <c r="J33" i="48" a="1"/>
  <c r="J33" i="48" s="1"/>
  <c r="J55" i="47" a="1"/>
  <c r="J55" i="47" s="1"/>
  <c r="L39" i="47"/>
  <c r="J39" i="47" a="1"/>
  <c r="J39" i="47" s="1"/>
  <c r="L37" i="47"/>
  <c r="J37" i="47" a="1"/>
  <c r="J37" i="47" s="1"/>
  <c r="L19" i="47"/>
  <c r="J19" i="47" a="1"/>
  <c r="J19" i="47" s="1"/>
  <c r="L53" i="47"/>
  <c r="J53" i="47" a="1"/>
  <c r="J53" i="47" s="1"/>
  <c r="L41" i="47"/>
  <c r="J41" i="47" a="1"/>
  <c r="J41" i="47" s="1"/>
  <c r="L16" i="47"/>
  <c r="J16" i="47" a="1"/>
  <c r="J16" i="47" s="1"/>
  <c r="L49" i="47"/>
  <c r="J49" i="47" a="1"/>
  <c r="J49" i="47" s="1"/>
  <c r="L32" i="47"/>
  <c r="J32" i="47" a="1"/>
  <c r="J32" i="47" s="1"/>
  <c r="L44" i="47"/>
  <c r="J44" i="47" a="1"/>
  <c r="J44" i="47" s="1"/>
  <c r="L21" i="47"/>
  <c r="J21" i="47" a="1"/>
  <c r="J21" i="47" s="1"/>
  <c r="L59" i="47"/>
  <c r="J59" i="47" a="1"/>
  <c r="J59" i="47" s="1"/>
  <c r="L23" i="47"/>
  <c r="J23" i="47" a="1"/>
  <c r="J23" i="47" s="1"/>
  <c r="L22" i="47"/>
  <c r="J22" i="47" a="1"/>
  <c r="J22" i="47" s="1"/>
  <c r="L58" i="47"/>
  <c r="J58" i="47" a="1"/>
  <c r="J58" i="47" s="1"/>
  <c r="L31" i="47"/>
  <c r="J31" i="47" a="1"/>
  <c r="J31" i="47" s="1"/>
  <c r="L47" i="47"/>
  <c r="J47" i="47" a="1"/>
  <c r="J47" i="47" s="1"/>
  <c r="L42" i="47"/>
  <c r="J42" i="47" a="1"/>
  <c r="J42" i="47" s="1"/>
  <c r="L48" i="47"/>
  <c r="J48" i="47" a="1"/>
  <c r="J48" i="47" s="1"/>
  <c r="L20" i="47"/>
  <c r="J20" i="47" a="1"/>
  <c r="J20" i="47" s="1"/>
  <c r="L52" i="47"/>
  <c r="J52" i="47" a="1"/>
  <c r="J52" i="47" s="1"/>
  <c r="L33" i="47"/>
  <c r="J33" i="47" a="1"/>
  <c r="J33" i="47" s="1"/>
  <c r="L29" i="47"/>
  <c r="J29" i="47" a="1"/>
  <c r="J29" i="47" s="1"/>
  <c r="L40" i="47"/>
  <c r="J40" i="47" a="1"/>
  <c r="J40" i="47" s="1"/>
  <c r="L64" i="47"/>
  <c r="J64" i="47" a="1"/>
  <c r="J64" i="47" s="1"/>
  <c r="L51" i="47"/>
  <c r="J51" i="47" a="1"/>
  <c r="J51" i="47" s="1"/>
  <c r="L18" i="47"/>
  <c r="J18" i="47" a="1"/>
  <c r="J18" i="47" s="1"/>
  <c r="L30" i="47"/>
  <c r="J30" i="47" a="1"/>
  <c r="J30" i="47" s="1"/>
  <c r="L14" i="47"/>
  <c r="J14" i="47" a="1"/>
  <c r="J14" i="47" s="1"/>
  <c r="L63" i="47"/>
  <c r="J63" i="47" a="1"/>
  <c r="J63" i="47" s="1"/>
  <c r="L57" i="47"/>
  <c r="J57" i="47" a="1"/>
  <c r="J57" i="47" s="1"/>
  <c r="L36" i="47"/>
  <c r="J36" i="47" a="1"/>
  <c r="J36" i="47" s="1"/>
  <c r="L62" i="47"/>
  <c r="J62" i="47" a="1"/>
  <c r="J62" i="47" s="1"/>
  <c r="L45" i="47"/>
  <c r="J45" i="47" a="1"/>
  <c r="J45" i="47" s="1"/>
  <c r="L38" i="47"/>
  <c r="J38" i="47" a="1"/>
  <c r="J38" i="47" s="1"/>
  <c r="L56" i="47"/>
  <c r="J56" i="47" a="1"/>
  <c r="J56" i="47" s="1"/>
  <c r="L24" i="47"/>
  <c r="J24" i="47" a="1"/>
  <c r="J24" i="47" s="1"/>
  <c r="H11" i="47"/>
  <c r="L13" i="47"/>
  <c r="Y13" i="47" a="1"/>
  <c r="Y13" i="47" s="1"/>
  <c r="J13" i="47" s="1" a="1"/>
  <c r="J13" i="47" s="1"/>
  <c r="L34" i="47"/>
  <c r="J34" i="47" a="1"/>
  <c r="J34" i="47" s="1"/>
  <c r="L17" i="47"/>
  <c r="J17" i="47" a="1"/>
  <c r="J17" i="47" s="1"/>
  <c r="L60" i="47"/>
  <c r="J60" i="47" a="1"/>
  <c r="J60" i="47" s="1"/>
  <c r="L28" i="47"/>
  <c r="J28" i="47" a="1"/>
  <c r="J28" i="47" s="1"/>
  <c r="L27" i="47"/>
  <c r="J27" i="47" a="1"/>
  <c r="J27" i="47" s="1"/>
  <c r="L35" i="47"/>
  <c r="J35" i="47" a="1"/>
  <c r="J35" i="47" s="1"/>
  <c r="L61" i="47"/>
  <c r="J61" i="47" a="1"/>
  <c r="J61" i="47" s="1"/>
  <c r="J54" i="47" a="1"/>
  <c r="J54" i="47" s="1"/>
  <c r="L54" i="47"/>
  <c r="L50" i="47"/>
  <c r="J50" i="47" a="1"/>
  <c r="J50" i="47" s="1"/>
  <c r="L43" i="47"/>
  <c r="J43" i="47" a="1"/>
  <c r="J43" i="47" s="1"/>
  <c r="L25" i="47"/>
  <c r="J25" i="47" a="1"/>
  <c r="J25" i="47" s="1"/>
  <c r="J15" i="47" a="1"/>
  <c r="J15" i="47" s="1"/>
  <c r="L15" i="47"/>
  <c r="L26" i="47"/>
  <c r="J26" i="47" a="1"/>
  <c r="J26" i="47" s="1"/>
  <c r="L46" i="47"/>
  <c r="J46" i="47" a="1"/>
  <c r="J46" i="47" s="1"/>
  <c r="J22" i="46" a="1"/>
  <c r="J22" i="46" s="1"/>
  <c r="L26" i="46"/>
  <c r="J26" i="46" a="1"/>
  <c r="J26" i="46" s="1"/>
  <c r="J25" i="46" a="1"/>
  <c r="J25" i="46" s="1"/>
  <c r="J29" i="46" a="1"/>
  <c r="J29" i="46" s="1"/>
  <c r="J30" i="46" a="1"/>
  <c r="J30" i="46" s="1"/>
  <c r="J27" i="46" a="1"/>
  <c r="J27" i="46" s="1"/>
  <c r="L36" i="46"/>
  <c r="J36" i="46" a="1"/>
  <c r="J36" i="46" s="1"/>
  <c r="L21" i="46"/>
  <c r="J21" i="46" a="1"/>
  <c r="J21" i="46" s="1"/>
  <c r="J15" i="46" a="1"/>
  <c r="J15" i="46" s="1"/>
  <c r="L15" i="46"/>
  <c r="L19" i="46"/>
  <c r="J19" i="46" a="1"/>
  <c r="J19" i="46" s="1"/>
  <c r="L16" i="46"/>
  <c r="J16" i="46" a="1"/>
  <c r="J16" i="46" s="1"/>
  <c r="L24" i="46"/>
  <c r="J24" i="46" a="1"/>
  <c r="J24" i="46" s="1"/>
  <c r="L23" i="46"/>
  <c r="J23" i="46" a="1"/>
  <c r="J23" i="46" s="1"/>
  <c r="H11" i="46"/>
  <c r="J23" i="45" a="1"/>
  <c r="J23" i="45" s="1"/>
  <c r="L16" i="45"/>
  <c r="L31" i="45"/>
  <c r="L28" i="45"/>
  <c r="L15" i="45"/>
  <c r="J15" i="45" a="1"/>
  <c r="J15" i="45" s="1"/>
  <c r="L37" i="45"/>
  <c r="J37" i="45" a="1"/>
  <c r="J37" i="45" s="1"/>
  <c r="L30" i="45"/>
  <c r="J30" i="45" a="1"/>
  <c r="J30" i="45" s="1"/>
  <c r="L34" i="45"/>
  <c r="J34" i="45" a="1"/>
  <c r="J34" i="45" s="1"/>
  <c r="H11" i="45"/>
  <c r="L13" i="45"/>
  <c r="AB13" i="45" a="1"/>
  <c r="AB13" i="45" s="1"/>
  <c r="Z13" i="45" a="1"/>
  <c r="Z13" i="45" s="1"/>
  <c r="Y13" i="45" a="1"/>
  <c r="Y13" i="45" s="1"/>
  <c r="AC13" i="45" a="1"/>
  <c r="AC13" i="45" s="1"/>
  <c r="AA13" i="45" a="1"/>
  <c r="AA13" i="45" s="1"/>
  <c r="L17" i="45"/>
  <c r="L25" i="45"/>
  <c r="L29" i="45"/>
  <c r="L18" i="45"/>
  <c r="J18" i="45" a="1"/>
  <c r="J18" i="45" s="1"/>
  <c r="L14" i="45"/>
  <c r="L36" i="45"/>
  <c r="L27" i="45"/>
  <c r="L24" i="45"/>
  <c r="L20" i="45"/>
  <c r="L33" i="45"/>
  <c r="L32" i="45"/>
  <c r="L26" i="45"/>
  <c r="J26" i="45" a="1"/>
  <c r="J26" i="45" s="1"/>
  <c r="H84" i="22"/>
  <c r="L84" i="22" s="1"/>
  <c r="H101" i="22"/>
  <c r="L101" i="22" s="1"/>
  <c r="G11" i="22"/>
  <c r="H97" i="22" s="1"/>
  <c r="G19" i="20" a="1"/>
  <c r="G19" i="20" s="1"/>
  <c r="G18" i="20" a="1"/>
  <c r="G18" i="20" s="1"/>
  <c r="G17" i="20" a="1"/>
  <c r="G17" i="20" s="1"/>
  <c r="G16" i="20" a="1"/>
  <c r="G16" i="20" s="1"/>
  <c r="G15" i="20" a="1"/>
  <c r="G15" i="20" s="1"/>
  <c r="G14" i="20" a="1"/>
  <c r="G14" i="20" s="1"/>
  <c r="X13" i="20" a="1"/>
  <c r="X13" i="20" s="1"/>
  <c r="W13" i="20" a="1"/>
  <c r="W13" i="20" s="1"/>
  <c r="V13" i="20" a="1"/>
  <c r="V13" i="20" s="1"/>
  <c r="U13" i="20" a="1"/>
  <c r="U13" i="20" s="1"/>
  <c r="T13" i="20" a="1"/>
  <c r="T13" i="20" s="1"/>
  <c r="AD13" i="20" a="1"/>
  <c r="AD13" i="20" s="1"/>
  <c r="L11" i="49" l="1"/>
  <c r="E20" i="4" s="1"/>
  <c r="L11" i="47"/>
  <c r="E18" i="4" s="1"/>
  <c r="L11" i="48"/>
  <c r="L11" i="46"/>
  <c r="E17" i="4" s="1"/>
  <c r="L11" i="45"/>
  <c r="E16" i="4" s="1"/>
  <c r="H44" i="22"/>
  <c r="L44" i="22" s="1"/>
  <c r="J13" i="45" a="1"/>
  <c r="J13" i="45" s="1"/>
  <c r="J14" i="45" a="1"/>
  <c r="J14" i="45" s="1"/>
  <c r="AG13" i="20" a="1"/>
  <c r="AG13" i="20" s="1"/>
  <c r="AI13" i="20" a="1"/>
  <c r="AI13" i="20" s="1"/>
  <c r="AE13" i="20" a="1"/>
  <c r="AE13" i="20" s="1"/>
  <c r="AF13" i="20" a="1"/>
  <c r="AF13" i="20" s="1"/>
  <c r="AH13" i="20" a="1"/>
  <c r="AH13" i="20" s="1"/>
  <c r="L97" i="22"/>
  <c r="J97" i="22" a="1"/>
  <c r="J97" i="22" s="1"/>
  <c r="J84" i="22" a="1"/>
  <c r="J84" i="22" s="1"/>
  <c r="J44" i="22" a="1"/>
  <c r="J44" i="22" s="1"/>
  <c r="J101" i="22" a="1"/>
  <c r="J101" i="22" s="1"/>
  <c r="H139" i="22"/>
  <c r="H122" i="22"/>
  <c r="H182" i="22"/>
  <c r="H166" i="22"/>
  <c r="H144" i="22"/>
  <c r="H192" i="22"/>
  <c r="H167" i="22"/>
  <c r="H204" i="22"/>
  <c r="H49" i="22"/>
  <c r="H170" i="22"/>
  <c r="H58" i="22"/>
  <c r="H205" i="22"/>
  <c r="H173" i="22"/>
  <c r="H216" i="22"/>
  <c r="H188" i="22"/>
  <c r="H56" i="22"/>
  <c r="H85" i="22"/>
  <c r="H38" i="22"/>
  <c r="H116" i="22"/>
  <c r="H158" i="22"/>
  <c r="H193" i="22"/>
  <c r="H70" i="22"/>
  <c r="H191" i="22"/>
  <c r="H42" i="22"/>
  <c r="H127" i="22"/>
  <c r="H106" i="22"/>
  <c r="H100" i="22"/>
  <c r="H239" i="22"/>
  <c r="H90" i="22"/>
  <c r="H145" i="22"/>
  <c r="H98" i="22"/>
  <c r="H234" i="22"/>
  <c r="H96" i="22"/>
  <c r="H163" i="22"/>
  <c r="H161" i="22"/>
  <c r="H179" i="22"/>
  <c r="H115" i="22"/>
  <c r="H197" i="22"/>
  <c r="H78" i="22"/>
  <c r="H124" i="22"/>
  <c r="H118" i="22"/>
  <c r="H36" i="22"/>
  <c r="H102" i="22"/>
  <c r="H157" i="22"/>
  <c r="H128" i="22"/>
  <c r="H146" i="22"/>
  <c r="H230" i="22"/>
  <c r="H200" i="22"/>
  <c r="H82" i="22"/>
  <c r="H136" i="22"/>
  <c r="H60" i="22"/>
  <c r="H114" i="22"/>
  <c r="H134" i="22"/>
  <c r="H151" i="22"/>
  <c r="H113" i="22"/>
  <c r="H83" i="22"/>
  <c r="H228" i="22"/>
  <c r="H80" i="22"/>
  <c r="H103" i="22"/>
  <c r="H95" i="22"/>
  <c r="H94" i="22"/>
  <c r="H88" i="22"/>
  <c r="H154" i="22"/>
  <c r="H121" i="22"/>
  <c r="H72" i="22"/>
  <c r="H104" i="22"/>
  <c r="H126" i="22"/>
  <c r="H176" i="22"/>
  <c r="H130" i="22"/>
  <c r="H35" i="22"/>
  <c r="H217" i="22"/>
  <c r="H218" i="22"/>
  <c r="H119" i="22"/>
  <c r="H203" i="22"/>
  <c r="H108" i="22"/>
  <c r="H206" i="22"/>
  <c r="H156" i="22"/>
  <c r="H92" i="22"/>
  <c r="H169" i="22"/>
  <c r="H212" i="22"/>
  <c r="H184" i="22"/>
  <c r="H142" i="22"/>
  <c r="H202" i="22"/>
  <c r="H53" i="22"/>
  <c r="H55" i="22"/>
  <c r="H223" i="22"/>
  <c r="H125" i="22"/>
  <c r="H209" i="22"/>
  <c r="H120" i="22"/>
  <c r="H236" i="22"/>
  <c r="H168" i="22"/>
  <c r="H43" i="22"/>
  <c r="H110" i="22"/>
  <c r="H187" i="22"/>
  <c r="H224" i="22"/>
  <c r="H73" i="22"/>
  <c r="H214" i="22"/>
  <c r="H67" i="22"/>
  <c r="H137" i="22"/>
  <c r="H215" i="22"/>
  <c r="H138" i="22"/>
  <c r="H180" i="22"/>
  <c r="H140" i="22"/>
  <c r="H199" i="22"/>
  <c r="H21" i="22"/>
  <c r="H33" i="22"/>
  <c r="H45" i="22"/>
  <c r="H57" i="22"/>
  <c r="H69" i="22"/>
  <c r="H81" i="22"/>
  <c r="H93" i="22"/>
  <c r="H105" i="22"/>
  <c r="H117" i="22"/>
  <c r="H129" i="22"/>
  <c r="H141" i="22"/>
  <c r="H153" i="22"/>
  <c r="H165" i="22"/>
  <c r="H177" i="22"/>
  <c r="H189" i="22"/>
  <c r="H201" i="22"/>
  <c r="H213" i="22"/>
  <c r="H225" i="22"/>
  <c r="H237" i="22"/>
  <c r="H63" i="22"/>
  <c r="H135" i="22"/>
  <c r="H207" i="22"/>
  <c r="H87" i="22"/>
  <c r="H123" i="22"/>
  <c r="H39" i="22"/>
  <c r="H99" i="22"/>
  <c r="H183" i="22"/>
  <c r="H195" i="22"/>
  <c r="H196" i="22"/>
  <c r="H231" i="22"/>
  <c r="H232" i="22"/>
  <c r="H51" i="22"/>
  <c r="H159" i="22"/>
  <c r="H52" i="22"/>
  <c r="H148" i="22"/>
  <c r="H171" i="22"/>
  <c r="H160" i="22"/>
  <c r="H111" i="22"/>
  <c r="H29" i="22"/>
  <c r="H30" i="22"/>
  <c r="H219" i="22"/>
  <c r="H31" i="22"/>
  <c r="H32" i="22"/>
  <c r="H229" i="22"/>
  <c r="H147" i="22"/>
  <c r="H27" i="22"/>
  <c r="H112" i="22"/>
  <c r="H132" i="22"/>
  <c r="H75" i="22"/>
  <c r="H172" i="22"/>
  <c r="H76" i="22"/>
  <c r="H28" i="22"/>
  <c r="H185" i="22"/>
  <c r="H186" i="22"/>
  <c r="H220" i="22"/>
  <c r="H131" i="22"/>
  <c r="H133" i="22"/>
  <c r="H190" i="22"/>
  <c r="H34" i="22"/>
  <c r="H238" i="22"/>
  <c r="H77" i="22"/>
  <c r="H47" i="22"/>
  <c r="H79" i="22"/>
  <c r="H143" i="22"/>
  <c r="H221" i="22"/>
  <c r="H150" i="22"/>
  <c r="H50" i="22"/>
  <c r="H198" i="22"/>
  <c r="H152" i="22"/>
  <c r="H211" i="22"/>
  <c r="H175" i="22"/>
  <c r="H65" i="22"/>
  <c r="H41" i="22"/>
  <c r="H89" i="22"/>
  <c r="H59" i="22"/>
  <c r="H91" i="22"/>
  <c r="H149" i="22"/>
  <c r="H227" i="22"/>
  <c r="H162" i="22"/>
  <c r="H62" i="22"/>
  <c r="H54" i="22"/>
  <c r="H210" i="22"/>
  <c r="H164" i="22"/>
  <c r="H37" i="22"/>
  <c r="H235" i="22"/>
  <c r="H181" i="22"/>
  <c r="H178" i="22"/>
  <c r="H208" i="22"/>
  <c r="H46" i="22"/>
  <c r="H40" i="22"/>
  <c r="H226" i="22"/>
  <c r="H64" i="22"/>
  <c r="H107" i="22"/>
  <c r="H71" i="22"/>
  <c r="H48" i="22"/>
  <c r="H109" i="22"/>
  <c r="H155" i="22"/>
  <c r="H233" i="22"/>
  <c r="H174" i="22"/>
  <c r="H68" i="22"/>
  <c r="H66" i="22"/>
  <c r="H222" i="22"/>
  <c r="H194" i="22"/>
  <c r="H61" i="22"/>
  <c r="H86" i="22"/>
  <c r="H74" i="22"/>
  <c r="H23" i="22"/>
  <c r="H22" i="22"/>
  <c r="H14" i="22"/>
  <c r="H13" i="22"/>
  <c r="H24" i="22"/>
  <c r="H15" i="22"/>
  <c r="H26" i="22"/>
  <c r="H16" i="22"/>
  <c r="H17" i="22"/>
  <c r="H19" i="22"/>
  <c r="H18" i="22"/>
  <c r="H20" i="22"/>
  <c r="H25" i="22"/>
  <c r="G11" i="20"/>
  <c r="H13" i="20" s="1"/>
  <c r="L194" i="22" l="1"/>
  <c r="J194" i="22" a="1"/>
  <c r="J194" i="22" s="1"/>
  <c r="L162" i="22"/>
  <c r="J162" i="22" a="1"/>
  <c r="J162" i="22" s="1"/>
  <c r="L50" i="22"/>
  <c r="J50" i="22" a="1"/>
  <c r="J50" i="22" s="1"/>
  <c r="L32" i="22"/>
  <c r="J32" i="22" a="1"/>
  <c r="J32" i="22" s="1"/>
  <c r="L232" i="22"/>
  <c r="J232" i="22" a="1"/>
  <c r="J232" i="22" s="1"/>
  <c r="L237" i="22"/>
  <c r="J237" i="22" a="1"/>
  <c r="J237" i="22" s="1"/>
  <c r="L93" i="22"/>
  <c r="J93" i="22" a="1"/>
  <c r="J93" i="22" s="1"/>
  <c r="L137" i="22"/>
  <c r="J137" i="22" a="1"/>
  <c r="J137" i="22" s="1"/>
  <c r="L108" i="22"/>
  <c r="J108" i="22" a="1"/>
  <c r="J108" i="22" s="1"/>
  <c r="L154" i="22"/>
  <c r="J154" i="22" a="1"/>
  <c r="J154" i="22" s="1"/>
  <c r="L60" i="22"/>
  <c r="J60" i="22" a="1"/>
  <c r="J60" i="22" s="1"/>
  <c r="L78" i="22"/>
  <c r="J78" i="22" a="1"/>
  <c r="J78" i="22" s="1"/>
  <c r="L100" i="22"/>
  <c r="J100" i="22" a="1"/>
  <c r="J100" i="22" s="1"/>
  <c r="L182" i="22"/>
  <c r="J182" i="22" a="1"/>
  <c r="J182" i="22" s="1"/>
  <c r="L66" i="22"/>
  <c r="J66" i="22" a="1"/>
  <c r="J66" i="22" s="1"/>
  <c r="L149" i="22"/>
  <c r="J149" i="22" a="1"/>
  <c r="J149" i="22" s="1"/>
  <c r="L219" i="22"/>
  <c r="J219" i="22" a="1"/>
  <c r="J219" i="22" s="1"/>
  <c r="L213" i="22"/>
  <c r="J213" i="22" a="1"/>
  <c r="J213" i="22" s="1"/>
  <c r="L55" i="22"/>
  <c r="J55" i="22" a="1"/>
  <c r="J55" i="22" s="1"/>
  <c r="L94" i="22"/>
  <c r="J94" i="22" a="1"/>
  <c r="J94" i="22" s="1"/>
  <c r="L115" i="22"/>
  <c r="J115" i="22" a="1"/>
  <c r="J115" i="22" s="1"/>
  <c r="L139" i="22"/>
  <c r="J139" i="22" a="1"/>
  <c r="J139" i="22" s="1"/>
  <c r="L68" i="22"/>
  <c r="J68" i="22" a="1"/>
  <c r="J68" i="22" s="1"/>
  <c r="L208" i="22"/>
  <c r="J208" i="22" a="1"/>
  <c r="J208" i="22" s="1"/>
  <c r="L143" i="22"/>
  <c r="J143" i="22" a="1"/>
  <c r="J143" i="22" s="1"/>
  <c r="L28" i="22"/>
  <c r="J28" i="22" a="1"/>
  <c r="J28" i="22" s="1"/>
  <c r="L30" i="22"/>
  <c r="J30" i="22" a="1"/>
  <c r="J30" i="22" s="1"/>
  <c r="L195" i="22"/>
  <c r="J195" i="22" a="1"/>
  <c r="J195" i="22" s="1"/>
  <c r="L201" i="22"/>
  <c r="J201" i="22" a="1"/>
  <c r="J201" i="22" s="1"/>
  <c r="L73" i="22"/>
  <c r="J73" i="22" a="1"/>
  <c r="J73" i="22" s="1"/>
  <c r="L218" i="22"/>
  <c r="J218" i="22" a="1"/>
  <c r="J218" i="22" s="1"/>
  <c r="L95" i="22"/>
  <c r="J95" i="22" a="1"/>
  <c r="J95" i="22" s="1"/>
  <c r="L200" i="22"/>
  <c r="J200" i="22" a="1"/>
  <c r="J200" i="22" s="1"/>
  <c r="L179" i="22"/>
  <c r="J179" i="22" a="1"/>
  <c r="J179" i="22" s="1"/>
  <c r="L205" i="22"/>
  <c r="J205" i="22" a="1"/>
  <c r="J205" i="22" s="1"/>
  <c r="L174" i="22"/>
  <c r="J174" i="22" a="1"/>
  <c r="J174" i="22" s="1"/>
  <c r="L59" i="22"/>
  <c r="J59" i="22" a="1"/>
  <c r="J59" i="22" s="1"/>
  <c r="L79" i="22"/>
  <c r="J79" i="22" a="1"/>
  <c r="J79" i="22" s="1"/>
  <c r="L29" i="22"/>
  <c r="J29" i="22" a="1"/>
  <c r="J29" i="22" s="1"/>
  <c r="L183" i="22"/>
  <c r="J183" i="22" a="1"/>
  <c r="J183" i="22" s="1"/>
  <c r="L189" i="22"/>
  <c r="J189" i="22" a="1"/>
  <c r="J189" i="22" s="1"/>
  <c r="L45" i="22"/>
  <c r="J45" i="22" a="1"/>
  <c r="J45" i="22" s="1"/>
  <c r="L224" i="22"/>
  <c r="J224" i="22" a="1"/>
  <c r="J224" i="22" s="1"/>
  <c r="L202" i="22"/>
  <c r="J202" i="22" a="1"/>
  <c r="J202" i="22" s="1"/>
  <c r="L217" i="22"/>
  <c r="J217" i="22" a="1"/>
  <c r="J217" i="22" s="1"/>
  <c r="L230" i="22"/>
  <c r="J230" i="22" a="1"/>
  <c r="J230" i="22" s="1"/>
  <c r="L161" i="22"/>
  <c r="J161" i="22" a="1"/>
  <c r="J161" i="22" s="1"/>
  <c r="L191" i="22"/>
  <c r="J191" i="22" a="1"/>
  <c r="J191" i="22" s="1"/>
  <c r="L58" i="22"/>
  <c r="J58" i="22" a="1"/>
  <c r="J58" i="22" s="1"/>
  <c r="L233" i="22"/>
  <c r="J233" i="22" a="1"/>
  <c r="J233" i="22" s="1"/>
  <c r="L172" i="22"/>
  <c r="J172" i="22" a="1"/>
  <c r="J172" i="22" s="1"/>
  <c r="L111" i="22"/>
  <c r="J111" i="22" a="1"/>
  <c r="J111" i="22" s="1"/>
  <c r="L33" i="22"/>
  <c r="J33" i="22" a="1"/>
  <c r="J33" i="22" s="1"/>
  <c r="L142" i="22"/>
  <c r="J142" i="22" a="1"/>
  <c r="J142" i="22" s="1"/>
  <c r="L35" i="22"/>
  <c r="J35" i="22" a="1"/>
  <c r="J35" i="22" s="1"/>
  <c r="L146" i="22"/>
  <c r="J146" i="22" a="1"/>
  <c r="J146" i="22" s="1"/>
  <c r="L170" i="22"/>
  <c r="J170" i="22" a="1"/>
  <c r="J170" i="22" s="1"/>
  <c r="L235" i="22"/>
  <c r="J235" i="22" a="1"/>
  <c r="J235" i="22" s="1"/>
  <c r="L41" i="22"/>
  <c r="J41" i="22" a="1"/>
  <c r="J41" i="22" s="1"/>
  <c r="L77" i="22"/>
  <c r="J77" i="22" a="1"/>
  <c r="J77" i="22" s="1"/>
  <c r="L160" i="22"/>
  <c r="J160" i="22" a="1"/>
  <c r="J160" i="22" s="1"/>
  <c r="L39" i="22"/>
  <c r="J39" i="22" a="1"/>
  <c r="J39" i="22" s="1"/>
  <c r="L165" i="22"/>
  <c r="J165" i="22" a="1"/>
  <c r="J165" i="22" s="1"/>
  <c r="L109" i="22"/>
  <c r="J109" i="22" a="1"/>
  <c r="J109" i="22" s="1"/>
  <c r="L37" i="22"/>
  <c r="J37" i="22" a="1"/>
  <c r="J37" i="22" s="1"/>
  <c r="L238" i="22"/>
  <c r="J238" i="22" a="1"/>
  <c r="J238" i="22" s="1"/>
  <c r="L171" i="22"/>
  <c r="J171" i="22" a="1"/>
  <c r="J171" i="22" s="1"/>
  <c r="L123" i="22"/>
  <c r="J123" i="22" a="1"/>
  <c r="J123" i="22" s="1"/>
  <c r="L153" i="22"/>
  <c r="J153" i="22" a="1"/>
  <c r="J153" i="22" s="1"/>
  <c r="L199" i="22"/>
  <c r="J199" i="22" a="1"/>
  <c r="J199" i="22" s="1"/>
  <c r="L43" i="22"/>
  <c r="J43" i="22" a="1"/>
  <c r="J43" i="22" s="1"/>
  <c r="L176" i="22"/>
  <c r="J176" i="22" a="1"/>
  <c r="J176" i="22" s="1"/>
  <c r="L83" i="22"/>
  <c r="J83" i="22" a="1"/>
  <c r="J83" i="22" s="1"/>
  <c r="L157" i="22"/>
  <c r="J157" i="22" a="1"/>
  <c r="J157" i="22" s="1"/>
  <c r="L234" i="22"/>
  <c r="J234" i="22" a="1"/>
  <c r="J234" i="22" s="1"/>
  <c r="L158" i="22"/>
  <c r="J158" i="22" a="1"/>
  <c r="J158" i="22" s="1"/>
  <c r="L204" i="22"/>
  <c r="J204" i="22" a="1"/>
  <c r="J204" i="22" s="1"/>
  <c r="L48" i="22"/>
  <c r="J48" i="22" a="1"/>
  <c r="J48" i="22" s="1"/>
  <c r="L164" i="22"/>
  <c r="J164" i="22" a="1"/>
  <c r="J164" i="22" s="1"/>
  <c r="L175" i="22"/>
  <c r="J175" i="22" a="1"/>
  <c r="J175" i="22" s="1"/>
  <c r="L34" i="22"/>
  <c r="J34" i="22" a="1"/>
  <c r="J34" i="22" s="1"/>
  <c r="L112" i="22"/>
  <c r="J112" i="22" a="1"/>
  <c r="J112" i="22" s="1"/>
  <c r="L148" i="22"/>
  <c r="J148" i="22" a="1"/>
  <c r="J148" i="22" s="1"/>
  <c r="L87" i="22"/>
  <c r="J87" i="22" a="1"/>
  <c r="J87" i="22" s="1"/>
  <c r="L141" i="22"/>
  <c r="J141" i="22" a="1"/>
  <c r="J141" i="22" s="1"/>
  <c r="L140" i="22"/>
  <c r="J140" i="22" a="1"/>
  <c r="J140" i="22" s="1"/>
  <c r="L168" i="22"/>
  <c r="J168" i="22" a="1"/>
  <c r="J168" i="22" s="1"/>
  <c r="L169" i="22"/>
  <c r="J169" i="22" a="1"/>
  <c r="J169" i="22" s="1"/>
  <c r="L126" i="22"/>
  <c r="J126" i="22" a="1"/>
  <c r="J126" i="22" s="1"/>
  <c r="L113" i="22"/>
  <c r="J113" i="22" a="1"/>
  <c r="J113" i="22" s="1"/>
  <c r="L102" i="22"/>
  <c r="J102" i="22" a="1"/>
  <c r="J102" i="22" s="1"/>
  <c r="L98" i="22"/>
  <c r="J98" i="22" a="1"/>
  <c r="J98" i="22" s="1"/>
  <c r="L116" i="22"/>
  <c r="J116" i="22" a="1"/>
  <c r="J116" i="22" s="1"/>
  <c r="L167" i="22"/>
  <c r="J167" i="22" a="1"/>
  <c r="J167" i="22" s="1"/>
  <c r="L226" i="22"/>
  <c r="J226" i="22" a="1"/>
  <c r="J226" i="22" s="1"/>
  <c r="L220" i="22"/>
  <c r="J220" i="22" a="1"/>
  <c r="J220" i="22" s="1"/>
  <c r="L125" i="22"/>
  <c r="J125" i="22" a="1"/>
  <c r="J125" i="22" s="1"/>
  <c r="L188" i="22"/>
  <c r="J188" i="22" a="1"/>
  <c r="J188" i="22" s="1"/>
  <c r="L46" i="22"/>
  <c r="J46" i="22" a="1"/>
  <c r="J46" i="22" s="1"/>
  <c r="L221" i="22"/>
  <c r="J221" i="22" a="1"/>
  <c r="J221" i="22" s="1"/>
  <c r="L185" i="22"/>
  <c r="J185" i="22" a="1"/>
  <c r="J185" i="22" s="1"/>
  <c r="L196" i="22"/>
  <c r="J196" i="22" a="1"/>
  <c r="J196" i="22" s="1"/>
  <c r="L69" i="22"/>
  <c r="J69" i="22" a="1"/>
  <c r="J69" i="22" s="1"/>
  <c r="L214" i="22"/>
  <c r="J214" i="22" a="1"/>
  <c r="J214" i="22" s="1"/>
  <c r="L119" i="22"/>
  <c r="J119" i="22" a="1"/>
  <c r="J119" i="22" s="1"/>
  <c r="L82" i="22"/>
  <c r="J82" i="22" a="1"/>
  <c r="J82" i="22" s="1"/>
  <c r="L127" i="22"/>
  <c r="J127" i="22" a="1"/>
  <c r="J127" i="22" s="1"/>
  <c r="L173" i="22"/>
  <c r="J173" i="22" a="1"/>
  <c r="J173" i="22" s="1"/>
  <c r="L53" i="22"/>
  <c r="J53" i="22" a="1"/>
  <c r="J53" i="22" s="1"/>
  <c r="L178" i="22"/>
  <c r="J178" i="22" a="1"/>
  <c r="J178" i="22" s="1"/>
  <c r="L181" i="22"/>
  <c r="J181" i="22" a="1"/>
  <c r="J181" i="22" s="1"/>
  <c r="L99" i="22"/>
  <c r="J99" i="22" a="1"/>
  <c r="J99" i="22" s="1"/>
  <c r="L80" i="22"/>
  <c r="J80" i="22" a="1"/>
  <c r="J80" i="22" s="1"/>
  <c r="L132" i="22"/>
  <c r="J132" i="22" a="1"/>
  <c r="J132" i="22" s="1"/>
  <c r="L74" i="22"/>
  <c r="J74" i="22" a="1"/>
  <c r="J74" i="22" s="1"/>
  <c r="L71" i="22"/>
  <c r="J71" i="22" a="1"/>
  <c r="J71" i="22" s="1"/>
  <c r="L210" i="22"/>
  <c r="J210" i="22" a="1"/>
  <c r="J210" i="22" s="1"/>
  <c r="L211" i="22"/>
  <c r="J211" i="22" a="1"/>
  <c r="J211" i="22" s="1"/>
  <c r="L190" i="22"/>
  <c r="J190" i="22" a="1"/>
  <c r="J190" i="22" s="1"/>
  <c r="L27" i="22"/>
  <c r="J27" i="22" a="1"/>
  <c r="J27" i="22" s="1"/>
  <c r="L52" i="22"/>
  <c r="J52" i="22" a="1"/>
  <c r="J52" i="22" s="1"/>
  <c r="L207" i="22"/>
  <c r="J207" i="22" a="1"/>
  <c r="J207" i="22" s="1"/>
  <c r="L129" i="22"/>
  <c r="J129" i="22" a="1"/>
  <c r="J129" i="22" s="1"/>
  <c r="L180" i="22"/>
  <c r="J180" i="22" a="1"/>
  <c r="J180" i="22" s="1"/>
  <c r="L236" i="22"/>
  <c r="J236" i="22" a="1"/>
  <c r="J236" i="22" s="1"/>
  <c r="L92" i="22"/>
  <c r="J92" i="22" a="1"/>
  <c r="J92" i="22" s="1"/>
  <c r="L104" i="22"/>
  <c r="J104" i="22" a="1"/>
  <c r="J104" i="22" s="1"/>
  <c r="L151" i="22"/>
  <c r="J151" i="22" a="1"/>
  <c r="J151" i="22" s="1"/>
  <c r="L36" i="22"/>
  <c r="J36" i="22" a="1"/>
  <c r="J36" i="22" s="1"/>
  <c r="L145" i="22"/>
  <c r="J145" i="22" a="1"/>
  <c r="J145" i="22" s="1"/>
  <c r="L38" i="22"/>
  <c r="J38" i="22" a="1"/>
  <c r="J38" i="22" s="1"/>
  <c r="L192" i="22"/>
  <c r="J192" i="22" a="1"/>
  <c r="J192" i="22" s="1"/>
  <c r="L76" i="22"/>
  <c r="J76" i="22" a="1"/>
  <c r="J76" i="22" s="1"/>
  <c r="L89" i="22"/>
  <c r="J89" i="22" a="1"/>
  <c r="J89" i="22" s="1"/>
  <c r="L177" i="22"/>
  <c r="J177" i="22" a="1"/>
  <c r="J177" i="22" s="1"/>
  <c r="L163" i="22"/>
  <c r="J163" i="22" a="1"/>
  <c r="J163" i="22" s="1"/>
  <c r="L65" i="22"/>
  <c r="J65" i="22" a="1"/>
  <c r="J65" i="22" s="1"/>
  <c r="L212" i="22"/>
  <c r="J212" i="22" a="1"/>
  <c r="J212" i="22" s="1"/>
  <c r="L86" i="22"/>
  <c r="J86" i="22" a="1"/>
  <c r="J86" i="22" s="1"/>
  <c r="L107" i="22"/>
  <c r="J107" i="22" a="1"/>
  <c r="J107" i="22" s="1"/>
  <c r="L54" i="22"/>
  <c r="J54" i="22" a="1"/>
  <c r="J54" i="22" s="1"/>
  <c r="L152" i="22"/>
  <c r="J152" i="22" a="1"/>
  <c r="J152" i="22" s="1"/>
  <c r="L133" i="22"/>
  <c r="J133" i="22" a="1"/>
  <c r="J133" i="22" s="1"/>
  <c r="L147" i="22"/>
  <c r="J147" i="22" a="1"/>
  <c r="J147" i="22" s="1"/>
  <c r="L159" i="22"/>
  <c r="J159" i="22" a="1"/>
  <c r="J159" i="22" s="1"/>
  <c r="L135" i="22"/>
  <c r="J135" i="22" a="1"/>
  <c r="J135" i="22" s="1"/>
  <c r="L117" i="22"/>
  <c r="J117" i="22" a="1"/>
  <c r="J117" i="22" s="1"/>
  <c r="L138" i="22"/>
  <c r="J138" i="22" a="1"/>
  <c r="J138" i="22" s="1"/>
  <c r="L120" i="22"/>
  <c r="J120" i="22" a="1"/>
  <c r="J120" i="22" s="1"/>
  <c r="L156" i="22"/>
  <c r="J156" i="22" a="1"/>
  <c r="J156" i="22" s="1"/>
  <c r="L72" i="22"/>
  <c r="J72" i="22" a="1"/>
  <c r="J72" i="22" s="1"/>
  <c r="L134" i="22"/>
  <c r="J134" i="22" a="1"/>
  <c r="J134" i="22" s="1"/>
  <c r="L118" i="22"/>
  <c r="J118" i="22" a="1"/>
  <c r="J118" i="22" s="1"/>
  <c r="L90" i="22"/>
  <c r="J90" i="22" a="1"/>
  <c r="J90" i="22" s="1"/>
  <c r="L85" i="22"/>
  <c r="J85" i="22" a="1"/>
  <c r="J85" i="22" s="1"/>
  <c r="L144" i="22"/>
  <c r="J144" i="22" a="1"/>
  <c r="J144" i="22" s="1"/>
  <c r="L222" i="22"/>
  <c r="J222" i="22" a="1"/>
  <c r="J222" i="22" s="1"/>
  <c r="L40" i="22"/>
  <c r="J40" i="22" a="1"/>
  <c r="J40" i="22" s="1"/>
  <c r="L227" i="22"/>
  <c r="J227" i="22" a="1"/>
  <c r="J227" i="22" s="1"/>
  <c r="L150" i="22"/>
  <c r="J150" i="22" a="1"/>
  <c r="J150" i="22" s="1"/>
  <c r="L186" i="22"/>
  <c r="J186" i="22" a="1"/>
  <c r="J186" i="22" s="1"/>
  <c r="L31" i="22"/>
  <c r="J31" i="22" a="1"/>
  <c r="J31" i="22" s="1"/>
  <c r="L231" i="22"/>
  <c r="J231" i="22" a="1"/>
  <c r="J231" i="22" s="1"/>
  <c r="L225" i="22"/>
  <c r="J225" i="22" a="1"/>
  <c r="J225" i="22" s="1"/>
  <c r="L81" i="22"/>
  <c r="J81" i="22" a="1"/>
  <c r="J81" i="22" s="1"/>
  <c r="L67" i="22"/>
  <c r="J67" i="22" a="1"/>
  <c r="J67" i="22" s="1"/>
  <c r="L223" i="22"/>
  <c r="J223" i="22" a="1"/>
  <c r="J223" i="22" s="1"/>
  <c r="L203" i="22"/>
  <c r="J203" i="22" a="1"/>
  <c r="J203" i="22" s="1"/>
  <c r="L88" i="22"/>
  <c r="J88" i="22" a="1"/>
  <c r="J88" i="22" s="1"/>
  <c r="L136" i="22"/>
  <c r="J136" i="22" a="1"/>
  <c r="J136" i="22" s="1"/>
  <c r="L197" i="22"/>
  <c r="J197" i="22" a="1"/>
  <c r="J197" i="22" s="1"/>
  <c r="L106" i="22"/>
  <c r="J106" i="22" a="1"/>
  <c r="J106" i="22" s="1"/>
  <c r="L216" i="22"/>
  <c r="J216" i="22" a="1"/>
  <c r="J216" i="22" s="1"/>
  <c r="L122" i="22"/>
  <c r="J122" i="22" a="1"/>
  <c r="J122" i="22" s="1"/>
  <c r="L91" i="22"/>
  <c r="J91" i="22" a="1"/>
  <c r="J91" i="22" s="1"/>
  <c r="L57" i="22"/>
  <c r="J57" i="22" a="1"/>
  <c r="J57" i="22" s="1"/>
  <c r="L42" i="22"/>
  <c r="J42" i="22" a="1"/>
  <c r="J42" i="22" s="1"/>
  <c r="L103" i="22"/>
  <c r="J103" i="22" a="1"/>
  <c r="J103" i="22" s="1"/>
  <c r="L47" i="22"/>
  <c r="J47" i="22" a="1"/>
  <c r="J47" i="22" s="1"/>
  <c r="L187" i="22"/>
  <c r="J187" i="22" a="1"/>
  <c r="J187" i="22" s="1"/>
  <c r="L70" i="22"/>
  <c r="J70" i="22" a="1"/>
  <c r="J70" i="22" s="1"/>
  <c r="L155" i="22"/>
  <c r="J155" i="22" a="1"/>
  <c r="J155" i="22" s="1"/>
  <c r="L75" i="22"/>
  <c r="J75" i="22" a="1"/>
  <c r="J75" i="22" s="1"/>
  <c r="L110" i="22"/>
  <c r="J110" i="22" a="1"/>
  <c r="J110" i="22" s="1"/>
  <c r="L184" i="22"/>
  <c r="J184" i="22" a="1"/>
  <c r="J184" i="22" s="1"/>
  <c r="L130" i="22"/>
  <c r="J130" i="22" a="1"/>
  <c r="J130" i="22" s="1"/>
  <c r="L228" i="22"/>
  <c r="J228" i="22" a="1"/>
  <c r="J228" i="22" s="1"/>
  <c r="L128" i="22"/>
  <c r="J128" i="22" a="1"/>
  <c r="J128" i="22" s="1"/>
  <c r="L96" i="22"/>
  <c r="J96" i="22" a="1"/>
  <c r="J96" i="22" s="1"/>
  <c r="L193" i="22"/>
  <c r="J193" i="22" a="1"/>
  <c r="J193" i="22" s="1"/>
  <c r="L49" i="22"/>
  <c r="J49" i="22" a="1"/>
  <c r="J49" i="22" s="1"/>
  <c r="L61" i="22"/>
  <c r="J61" i="22" a="1"/>
  <c r="J61" i="22" s="1"/>
  <c r="L64" i="22"/>
  <c r="J64" i="22" a="1"/>
  <c r="J64" i="22" s="1"/>
  <c r="L62" i="22"/>
  <c r="J62" i="22" a="1"/>
  <c r="J62" i="22" s="1"/>
  <c r="L198" i="22"/>
  <c r="J198" i="22" a="1"/>
  <c r="J198" i="22" s="1"/>
  <c r="L131" i="22"/>
  <c r="J131" i="22" a="1"/>
  <c r="J131" i="22" s="1"/>
  <c r="L229" i="22"/>
  <c r="J229" i="22" a="1"/>
  <c r="J229" i="22" s="1"/>
  <c r="L51" i="22"/>
  <c r="J51" i="22" a="1"/>
  <c r="J51" i="22" s="1"/>
  <c r="L63" i="22"/>
  <c r="J63" i="22" a="1"/>
  <c r="J63" i="22" s="1"/>
  <c r="L105" i="22"/>
  <c r="J105" i="22" a="1"/>
  <c r="J105" i="22" s="1"/>
  <c r="L215" i="22"/>
  <c r="J215" i="22" a="1"/>
  <c r="J215" i="22" s="1"/>
  <c r="L209" i="22"/>
  <c r="J209" i="22" a="1"/>
  <c r="J209" i="22" s="1"/>
  <c r="L206" i="22"/>
  <c r="J206" i="22" a="1"/>
  <c r="J206" i="22" s="1"/>
  <c r="L121" i="22"/>
  <c r="J121" i="22" a="1"/>
  <c r="J121" i="22" s="1"/>
  <c r="L114" i="22"/>
  <c r="J114" i="22" a="1"/>
  <c r="J114" i="22" s="1"/>
  <c r="L124" i="22"/>
  <c r="J124" i="22" a="1"/>
  <c r="J124" i="22" s="1"/>
  <c r="L239" i="22"/>
  <c r="J239" i="22" a="1"/>
  <c r="J239" i="22" s="1"/>
  <c r="L56" i="22"/>
  <c r="J56" i="22" a="1"/>
  <c r="J56" i="22" s="1"/>
  <c r="L166" i="22"/>
  <c r="J166" i="22" a="1"/>
  <c r="J166" i="22" s="1"/>
  <c r="L21" i="22"/>
  <c r="H21" i="20"/>
  <c r="AC21" i="20" s="1" a="1"/>
  <c r="AC21" i="20" s="1"/>
  <c r="H22" i="20"/>
  <c r="H24" i="20"/>
  <c r="H20" i="20"/>
  <c r="H23" i="20"/>
  <c r="H15" i="20"/>
  <c r="L16" i="22"/>
  <c r="L26" i="22"/>
  <c r="L15" i="22"/>
  <c r="L24" i="22"/>
  <c r="L13" i="22"/>
  <c r="L11" i="22" s="1"/>
  <c r="E31" i="4" s="1"/>
  <c r="Y13" i="22" a="1"/>
  <c r="Y13" i="22" s="1"/>
  <c r="H11" i="22"/>
  <c r="AA13" i="22" a="1"/>
  <c r="AA13" i="22" s="1"/>
  <c r="Z13" i="22" a="1"/>
  <c r="Z13" i="22" s="1"/>
  <c r="L14" i="22"/>
  <c r="L22" i="22"/>
  <c r="L25" i="22"/>
  <c r="L23" i="22"/>
  <c r="L20" i="22"/>
  <c r="L18" i="22"/>
  <c r="L19" i="22"/>
  <c r="L17" i="22"/>
  <c r="H19" i="20"/>
  <c r="H17" i="20"/>
  <c r="H16" i="20"/>
  <c r="H14" i="20"/>
  <c r="H18" i="20"/>
  <c r="Y20" i="20" l="1" a="1"/>
  <c r="Y20" i="20" s="1"/>
  <c r="Z20" i="20" a="1"/>
  <c r="Z20" i="20" s="1"/>
  <c r="AB20" i="20" a="1"/>
  <c r="AB20" i="20" s="1"/>
  <c r="AB18" i="20" a="1"/>
  <c r="AB18" i="20" s="1"/>
  <c r="Y18" i="20" a="1"/>
  <c r="Y18" i="20" s="1"/>
  <c r="AA18" i="20" a="1"/>
  <c r="AA18" i="20" s="1"/>
  <c r="Z18" i="20" a="1"/>
  <c r="Z18" i="20" s="1"/>
  <c r="Z15" i="20" a="1"/>
  <c r="Z15" i="20" s="1"/>
  <c r="Y15" i="20" a="1"/>
  <c r="Y15" i="20" s="1"/>
  <c r="AA15" i="20" a="1"/>
  <c r="AA15" i="20" s="1"/>
  <c r="Z17" i="20" a="1"/>
  <c r="Z17" i="20" s="1"/>
  <c r="Y17" i="20" a="1"/>
  <c r="Y17" i="20" s="1"/>
  <c r="AA17" i="20" a="1"/>
  <c r="AA17" i="20" s="1"/>
  <c r="AH23" i="20" a="1"/>
  <c r="AH23" i="20" s="1"/>
  <c r="AB23" i="20" a="1"/>
  <c r="AB23" i="20" s="1"/>
  <c r="Z23" i="20" a="1"/>
  <c r="Z23" i="20" s="1"/>
  <c r="AF23" i="20" a="1"/>
  <c r="AF23" i="20" s="1"/>
  <c r="Y23" i="20" a="1"/>
  <c r="Y23" i="20" s="1"/>
  <c r="AA23" i="20" a="1"/>
  <c r="AA23" i="20" s="1"/>
  <c r="AI23" i="20" a="1"/>
  <c r="AI23" i="20" s="1"/>
  <c r="AE23" i="20" a="1"/>
  <c r="AE23" i="20" s="1"/>
  <c r="AC23" i="20" a="1"/>
  <c r="AC23" i="20" s="1"/>
  <c r="AD23" i="20" a="1"/>
  <c r="AD23" i="20" s="1"/>
  <c r="AG23" i="20" a="1"/>
  <c r="AG23" i="20" s="1"/>
  <c r="AC24" i="20" a="1"/>
  <c r="AC24" i="20" s="1"/>
  <c r="AD24" i="20" a="1"/>
  <c r="AD24" i="20" s="1"/>
  <c r="Y24" i="20" a="1"/>
  <c r="Y24" i="20" s="1"/>
  <c r="AG24" i="20" a="1"/>
  <c r="AG24" i="20" s="1"/>
  <c r="AB24" i="20" a="1"/>
  <c r="AB24" i="20" s="1"/>
  <c r="AE24" i="20" a="1"/>
  <c r="AE24" i="20" s="1"/>
  <c r="AF24" i="20" a="1"/>
  <c r="AF24" i="20" s="1"/>
  <c r="AA24" i="20" a="1"/>
  <c r="AA24" i="20" s="1"/>
  <c r="AH24" i="20" a="1"/>
  <c r="AH24" i="20" s="1"/>
  <c r="Z24" i="20" a="1"/>
  <c r="Z24" i="20" s="1"/>
  <c r="AI24" i="20" a="1"/>
  <c r="AI24" i="20" s="1"/>
  <c r="AA14" i="20" a="1"/>
  <c r="AA14" i="20" s="1"/>
  <c r="Z14" i="20" a="1"/>
  <c r="Z14" i="20" s="1"/>
  <c r="Y14" i="20" a="1"/>
  <c r="Y14" i="20" s="1"/>
  <c r="AA16" i="20" a="1"/>
  <c r="AA16" i="20" s="1"/>
  <c r="Z16" i="20" a="1"/>
  <c r="Z16" i="20" s="1"/>
  <c r="Y16" i="20" a="1"/>
  <c r="Y16" i="20" s="1"/>
  <c r="AA19" i="20" a="1"/>
  <c r="AA19" i="20" s="1"/>
  <c r="Y19" i="20" a="1"/>
  <c r="Y19" i="20" s="1"/>
  <c r="AB19" i="20" a="1"/>
  <c r="AB19" i="20" s="1"/>
  <c r="Z19" i="20" a="1"/>
  <c r="Z19" i="20" s="1"/>
  <c r="Z22" i="20" a="1"/>
  <c r="Z22" i="20" s="1"/>
  <c r="AB22" i="20" a="1"/>
  <c r="AB22" i="20" s="1"/>
  <c r="Y22" i="20" a="1"/>
  <c r="Y22" i="20" s="1"/>
  <c r="AA20" i="20" a="1"/>
  <c r="AA20" i="20" s="1"/>
  <c r="AC20" i="20" a="1"/>
  <c r="AC20" i="20" s="1"/>
  <c r="AD20" i="20" a="1"/>
  <c r="AD20" i="20" s="1"/>
  <c r="Z21" i="20" a="1"/>
  <c r="Z21" i="20" s="1"/>
  <c r="Y21" i="20" a="1"/>
  <c r="Y21" i="20" s="1"/>
  <c r="AA21" i="20" a="1"/>
  <c r="AA21" i="20" s="1"/>
  <c r="AB21" i="20" a="1"/>
  <c r="AB21" i="20" s="1"/>
  <c r="L13" i="20"/>
  <c r="AA13" i="20" a="1"/>
  <c r="AA13" i="20" s="1"/>
  <c r="Z13" i="20" a="1"/>
  <c r="Z13" i="20" s="1"/>
  <c r="L15" i="20"/>
  <c r="J21" i="22" a="1"/>
  <c r="J21" i="22" s="1"/>
  <c r="L23" i="20"/>
  <c r="L24" i="20"/>
  <c r="L22" i="20"/>
  <c r="L20" i="20"/>
  <c r="L21" i="20"/>
  <c r="J18" i="22" a="1"/>
  <c r="J18" i="22" s="1"/>
  <c r="J19" i="22" a="1"/>
  <c r="J19" i="22" s="1"/>
  <c r="J26" i="22" a="1"/>
  <c r="J26" i="22" s="1"/>
  <c r="L17" i="20"/>
  <c r="L19" i="20"/>
  <c r="J20" i="22" a="1"/>
  <c r="J20" i="22" s="1"/>
  <c r="J24" i="22" a="1"/>
  <c r="J24" i="22" s="1"/>
  <c r="J17" i="22" a="1"/>
  <c r="J17" i="22" s="1"/>
  <c r="J15" i="22" a="1"/>
  <c r="J15" i="22" s="1"/>
  <c r="J25" i="22" a="1"/>
  <c r="J25" i="22" s="1"/>
  <c r="J13" i="22" a="1"/>
  <c r="J13" i="22" s="1"/>
  <c r="J22" i="22" a="1"/>
  <c r="J22" i="22" s="1"/>
  <c r="J23" i="22" a="1"/>
  <c r="J23" i="22" s="1"/>
  <c r="J14" i="22" a="1"/>
  <c r="J14" i="22" s="1"/>
  <c r="J16" i="22" a="1"/>
  <c r="J16" i="22" s="1"/>
  <c r="AC13" i="20" a="1"/>
  <c r="AC13" i="20" s="1"/>
  <c r="AB13" i="20" a="1"/>
  <c r="AB13" i="20" s="1"/>
  <c r="L18" i="20"/>
  <c r="L14" i="20"/>
  <c r="H11" i="20"/>
  <c r="Y13" i="20" a="1"/>
  <c r="Y13" i="20" s="1"/>
  <c r="L16" i="20"/>
  <c r="J24" i="20" l="1" a="1"/>
  <c r="J24" i="20" s="1"/>
  <c r="J20" i="20" a="1"/>
  <c r="J20" i="20" s="1"/>
  <c r="J16" i="20" a="1"/>
  <c r="J16" i="20" s="1"/>
  <c r="J17" i="20" a="1"/>
  <c r="J17" i="20" s="1"/>
  <c r="J23" i="20" a="1"/>
  <c r="J23" i="20" s="1"/>
  <c r="J21" i="20" a="1"/>
  <c r="J21" i="20" s="1"/>
  <c r="J22" i="20" a="1"/>
  <c r="J22" i="20" s="1"/>
  <c r="J13" i="20" a="1"/>
  <c r="J13" i="20" s="1"/>
  <c r="J15" i="20" a="1"/>
  <c r="J15" i="20" s="1"/>
  <c r="J19" i="20" a="1"/>
  <c r="J19" i="20" s="1"/>
  <c r="J14" i="20" a="1"/>
  <c r="J14" i="20" s="1"/>
  <c r="J18" i="20" a="1"/>
  <c r="J18" i="20" s="1"/>
  <c r="L11" i="20"/>
  <c r="E14" i="4" s="1"/>
  <c r="E27" i="4" s="1"/>
  <c r="E10" i="4" l="1"/>
  <c r="F8" i="5"/>
  <c r="D10" i="4" s="1"/>
  <c r="O20" i="2" a="1"/>
  <c r="O20" i="2" s="1"/>
  <c r="P20" i="2" a="1"/>
  <c r="P20" i="2" s="1"/>
  <c r="AA20" i="2" s="1" a="1"/>
  <c r="AA20" i="2" s="1"/>
  <c r="Q20" i="2" a="1"/>
  <c r="Q20" i="2" s="1"/>
  <c r="AB20" i="2" s="1" a="1"/>
  <c r="AB20" i="2" s="1"/>
  <c r="R20" i="2" a="1"/>
  <c r="R20" i="2" s="1"/>
  <c r="AC20" i="2" s="1" a="1"/>
  <c r="AC20" i="2" s="1"/>
  <c r="S20" i="2" a="1"/>
  <c r="S20" i="2" s="1"/>
  <c r="AD20" i="2" s="1" a="1"/>
  <c r="AD20" i="2" s="1"/>
  <c r="T20" i="2" a="1"/>
  <c r="T20" i="2" s="1"/>
  <c r="AE20" i="2" s="1" a="1"/>
  <c r="AE20" i="2" s="1"/>
  <c r="U20" i="2" a="1"/>
  <c r="U20" i="2" s="1"/>
  <c r="AF20" i="2" s="1" a="1"/>
  <c r="AF20" i="2" s="1"/>
  <c r="V20" i="2" a="1"/>
  <c r="V20" i="2" s="1"/>
  <c r="AG20" i="2" s="1" a="1"/>
  <c r="AG20" i="2" s="1"/>
  <c r="W20" i="2" a="1"/>
  <c r="W20" i="2" s="1"/>
  <c r="AH20" i="2" s="1" a="1"/>
  <c r="AH20" i="2" s="1"/>
  <c r="X20" i="2" a="1"/>
  <c r="X20" i="2" s="1"/>
  <c r="AI20" i="2" s="1" a="1"/>
  <c r="AI20" i="2" s="1"/>
  <c r="O21" i="2" a="1"/>
  <c r="O21" i="2" s="1"/>
  <c r="P21" i="2" a="1"/>
  <c r="P21" i="2" s="1"/>
  <c r="Q21" i="2" a="1"/>
  <c r="Q21" i="2" s="1"/>
  <c r="R21" i="2" a="1"/>
  <c r="R21" i="2" s="1"/>
  <c r="AC21" i="2" s="1" a="1"/>
  <c r="AC21" i="2" s="1"/>
  <c r="S21" i="2" a="1"/>
  <c r="S21" i="2" s="1"/>
  <c r="AD21" i="2" s="1" a="1"/>
  <c r="AD21" i="2" s="1"/>
  <c r="T21" i="2" a="1"/>
  <c r="T21" i="2" s="1"/>
  <c r="AE21" i="2" s="1" a="1"/>
  <c r="AE21" i="2" s="1"/>
  <c r="U21" i="2" a="1"/>
  <c r="U21" i="2" s="1"/>
  <c r="AF21" i="2" s="1" a="1"/>
  <c r="AF21" i="2" s="1"/>
  <c r="V21" i="2" a="1"/>
  <c r="V21" i="2" s="1"/>
  <c r="AG21" i="2" s="1" a="1"/>
  <c r="AG21" i="2" s="1"/>
  <c r="W21" i="2" a="1"/>
  <c r="W21" i="2" s="1"/>
  <c r="AH21" i="2" s="1" a="1"/>
  <c r="AH21" i="2" s="1"/>
  <c r="X21" i="2" a="1"/>
  <c r="X21" i="2" s="1"/>
  <c r="AI21" i="2" s="1" a="1"/>
  <c r="AI21" i="2" s="1"/>
  <c r="N21" i="2" a="1"/>
  <c r="N21" i="2" s="1"/>
  <c r="N20" i="2" a="1"/>
  <c r="N20" i="2" s="1"/>
  <c r="G21" i="2" a="1"/>
  <c r="G21" i="2" s="1"/>
  <c r="G20" i="2" a="1"/>
  <c r="G20" i="2" s="1"/>
  <c r="C6" i="5"/>
  <c r="C5" i="5"/>
  <c r="C4" i="5"/>
  <c r="C3" i="5"/>
  <c r="C2" i="5"/>
  <c r="C10" i="4" l="1"/>
  <c r="G18" i="2"/>
  <c r="H20" i="2" s="1"/>
  <c r="L20" i="2" l="1"/>
  <c r="Z20" i="2" a="1"/>
  <c r="Z20" i="2" s="1"/>
  <c r="Y20" i="2" a="1"/>
  <c r="Y20" i="2" s="1"/>
  <c r="H21" i="2"/>
  <c r="J20" i="2" l="1" a="1"/>
  <c r="J20" i="2" s="1"/>
  <c r="Y21" i="2" a="1"/>
  <c r="Y21" i="2" s="1"/>
  <c r="AB21" i="2" a="1"/>
  <c r="AB21" i="2" s="1"/>
  <c r="L21" i="2"/>
  <c r="Z21" i="2" a="1"/>
  <c r="Z21" i="2" s="1"/>
  <c r="AA21" i="2" a="1"/>
  <c r="AA21" i="2" s="1"/>
  <c r="H18" i="2"/>
  <c r="J21" i="2" l="1" a="1"/>
  <c r="J21" i="2" s="1"/>
  <c r="L1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tc={6EDE6644-28CA-4380-8D66-541E8BD7226B}</author>
    <author>tc={A7A9781F-8B9E-44C3-BBED-9270FFF55B72}</author>
    <author>Jacques Erasmus</author>
  </authors>
  <commentList>
    <comment ref="C13" authorId="0" shapeId="0" xr:uid="{6EDE6644-28CA-4380-8D66-541E8BD7226B}">
      <text>
        <t xml:space="preserve">[Threaded comment]
Your version of Excel allows you to read this threaded comment; however, any edits to it will get removed if the file is opened in a newer version of Excel. Learn more: https://go.microsoft.com/fwlink/?linkid=870924
Comment:
    The Business Requirement Specification document usually contains statements using business or plain English terminology. </t>
      </text>
    </comment>
    <comment ref="C15" authorId="1" shapeId="0" xr:uid="{A7A9781F-8B9E-44C3-BBED-9270FFF55B72}">
      <text>
        <t xml:space="preserve">[Threaded comment]
Your version of Excel allows you to read this threaded comment; however, any edits to it will get removed if the file is opened in a newer version of Excel. Learn more: https://go.microsoft.com/fwlink/?linkid=870924
Comment:
    The logical design document contains a Functional Decomposition Model which has translated the BRS statements into more usable functional statements for purposes of evaluation </t>
      </text>
    </comment>
    <comment ref="F18" authorId="2" shapeId="0" xr:uid="{D030DCB8-7869-417C-83CD-709C71EAA9D4}">
      <text>
        <r>
          <rPr>
            <b/>
            <sz val="9"/>
            <color indexed="81"/>
            <rFont val="Tahoma"/>
            <family val="2"/>
          </rPr>
          <t>Jacques Erasmus:</t>
        </r>
        <r>
          <rPr>
            <sz val="9"/>
            <color indexed="81"/>
            <rFont val="Tahoma"/>
            <family val="2"/>
          </rPr>
          <t xml:space="preserve">
This must be linked to the agreed associatedpercentage from the Scoring Summary sheet</t>
        </r>
      </text>
    </comment>
    <comment ref="B19" authorId="2" shapeId="0" xr:uid="{9D462F7C-8C21-4104-92BE-11224B824450}">
      <text>
        <r>
          <rPr>
            <b/>
            <sz val="9"/>
            <color indexed="81"/>
            <rFont val="Tahoma"/>
            <family val="2"/>
          </rPr>
          <t>Leon Jean Louis:</t>
        </r>
        <r>
          <rPr>
            <sz val="9"/>
            <color indexed="81"/>
            <rFont val="Tahoma"/>
            <family val="2"/>
          </rPr>
          <t xml:space="preserve">
1- In this column define and as far as possible quantify the business/functional requirements in a clear statement. 
2- The statement defines only ONE requirement that will be measured and the scoring guideline (column J) must align to this. </t>
        </r>
      </text>
    </comment>
    <comment ref="H19" authorId="2" shapeId="0" xr:uid="{F04559AF-06CB-404C-A8FA-E239DB3BD809}">
      <text>
        <r>
          <rPr>
            <b/>
            <sz val="9"/>
            <color indexed="81"/>
            <rFont val="Tahoma"/>
            <family val="2"/>
          </rPr>
          <t>Leon Jean-Louis:</t>
        </r>
        <r>
          <rPr>
            <sz val="9"/>
            <color indexed="81"/>
            <rFont val="Tahoma"/>
            <family val="2"/>
          </rPr>
          <t xml:space="preserve">
1- To adjust the question weight, change the priority description (column G)
2- The tab/category weight must only be adjusted on the scoring summary tab any changes to the weighting on the scoring summary tab will automatically update here.</t>
        </r>
      </text>
    </comment>
    <comment ref="M19" authorId="2" shapeId="0" xr:uid="{788F22BF-E414-4AFE-91A8-4E9EF56D7FCC}">
      <text>
        <r>
          <rPr>
            <b/>
            <sz val="9"/>
            <color indexed="81"/>
            <rFont val="Tahoma"/>
            <family val="2"/>
          </rPr>
          <t>Leon Jean-Louis:</t>
        </r>
        <r>
          <rPr>
            <sz val="9"/>
            <color indexed="81"/>
            <rFont val="Tahoma"/>
            <family val="2"/>
          </rPr>
          <t xml:space="preserve">
Evaluators must provide comments for every score given. The comments also assist evaluators to recall how they arrived at their score when asked at a later stage.</t>
        </r>
      </text>
    </comment>
    <comment ref="B20" authorId="2" shapeId="0" xr:uid="{286D35B0-5C6C-4361-BB29-EA88F386C03E}">
      <text>
        <r>
          <rPr>
            <b/>
            <sz val="9"/>
            <color indexed="81"/>
            <rFont val="Tahoma"/>
            <family val="2"/>
          </rPr>
          <t>Leon Jean-Louis:</t>
        </r>
        <r>
          <rPr>
            <sz val="9"/>
            <color indexed="81"/>
            <rFont val="Tahoma"/>
            <family val="2"/>
          </rPr>
          <t xml:space="preserve">
Note: The original statement from the BRS is not always specific enough to quantify scoring. Rather use the statements from the logical design/functional decomposition if it is available - its more technical &amp; specific to what is being evaluated. Where a logical design/functional decomposition is not available revise the BRS statements where applicable so they are specific to what will be evaluated.</t>
        </r>
      </text>
    </comment>
    <comment ref="C20" authorId="2" shapeId="0" xr:uid="{C39B3F16-C3B8-4F5E-976C-E321BDA8FDDB}">
      <text>
        <r>
          <rPr>
            <b/>
            <sz val="9"/>
            <color indexed="81"/>
            <rFont val="Tahoma"/>
            <family val="2"/>
          </rPr>
          <t>Leon Jean-Louis:</t>
        </r>
        <r>
          <rPr>
            <sz val="9"/>
            <color indexed="81"/>
            <rFont val="Tahoma"/>
            <family val="2"/>
          </rPr>
          <t xml:space="preserve">
Its good practice to ask a vendor to provide evidence for their answer but this is not mandatory.
NOTE: When evidence is requested, and a vendor does not provide the required evidence in their response, a TET member may not award points for that response.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tc={770B0815-E62C-4199-A7A0-9056B1518023}</author>
  </authors>
  <commentList>
    <comment ref="B5" authorId="0" shapeId="0" xr:uid="{770B0815-E62C-4199-A7A0-9056B1518023}">
      <text>
        <t xml:space="preserve">[Threaded comment]
Your version of Excel allows you to read this threaded comment; however, any edits to it will get removed if the file is opened in a newer version of Excel. Learn more: https://go.microsoft.com/fwlink/?linkid=870924
Comment:
    There is no tab for Architecture indicated on this technical evaluation Guide </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Jacques Erasmus</author>
  </authors>
  <commentList>
    <comment ref="C13" authorId="0" shapeId="0" xr:uid="{8559CFC2-EEFD-4762-B12B-00BBDF626F7C}">
      <text>
        <r>
          <rPr>
            <b/>
            <sz val="9"/>
            <color indexed="81"/>
            <rFont val="Tahoma"/>
            <family val="2"/>
          </rPr>
          <t>Jacques Erasmus:</t>
        </r>
        <r>
          <rPr>
            <sz val="9"/>
            <color indexed="81"/>
            <rFont val="Tahoma"/>
            <family val="2"/>
          </rPr>
          <t xml:space="preserve">
This is the MASTER Weight list. It must only be updated here. All other weights must refer to this one. This one must be decided FIRST.</t>
        </r>
      </text>
    </comment>
    <comment ref="D13" authorId="0" shapeId="0" xr:uid="{185A7574-67FD-4B53-8C19-1666ED4DD1A8}">
      <text>
        <r>
          <rPr>
            <b/>
            <sz val="9"/>
            <color indexed="81"/>
            <rFont val="Tahoma"/>
            <family val="2"/>
          </rPr>
          <t>Jacques Erasmus:</t>
        </r>
        <r>
          <rPr>
            <sz val="9"/>
            <color indexed="81"/>
            <rFont val="Tahoma"/>
            <family val="2"/>
          </rPr>
          <t xml:space="preserve">
Acceptable ratio of Score to Weight.
Insert as a percentage.</t>
        </r>
      </text>
    </comment>
    <comment ref="E13" authorId="0" shapeId="0" xr:uid="{D5EFC4A5-C7B2-48FD-8C57-1B71072A1517}">
      <text>
        <r>
          <rPr>
            <b/>
            <sz val="9"/>
            <color indexed="81"/>
            <rFont val="Tahoma"/>
            <family val="2"/>
          </rPr>
          <t>Jacques Erasmus:</t>
        </r>
        <r>
          <rPr>
            <sz val="9"/>
            <color indexed="81"/>
            <rFont val="Tahoma"/>
            <family val="2"/>
          </rPr>
          <t xml:space="preserve">
Condition shading when threshold not provided or threshold not met.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Jacques Erasmus</author>
  </authors>
  <commentList>
    <comment ref="F8" authorId="0" shapeId="0" xr:uid="{7A6D5A5C-47CD-4D7F-B825-81C378B982B7}">
      <text>
        <r>
          <rPr>
            <b/>
            <sz val="9"/>
            <color indexed="81"/>
            <rFont val="Tahoma"/>
            <family val="2"/>
          </rPr>
          <t>Jacques Erasmus:</t>
        </r>
        <r>
          <rPr>
            <sz val="9"/>
            <color indexed="81"/>
            <rFont val="Tahoma"/>
            <family val="2"/>
          </rPr>
          <t xml:space="preserve">
DO NOT DELETE</t>
        </r>
      </text>
    </comment>
    <comment ref="B9" authorId="0" shapeId="0" xr:uid="{5446D0B4-6330-405F-9207-6EE81791BDBA}">
      <text>
        <r>
          <rPr>
            <b/>
            <sz val="9"/>
            <color indexed="81"/>
            <rFont val="Tahoma"/>
            <family val="2"/>
          </rPr>
          <t>Jacques Erasmus:</t>
        </r>
        <r>
          <rPr>
            <sz val="9"/>
            <color indexed="81"/>
            <rFont val="Tahoma"/>
            <family val="2"/>
          </rPr>
          <t xml:space="preserve">
DELETE EMPTY ROWS</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<sst xmlns="http://schemas.openxmlformats.org/spreadsheetml/2006/main" count="4923" uniqueCount="1059">
  <si>
    <r>
      <t xml:space="preserve">This Tab provides guidance to the TET on how the evaluation criteria must be structured and where information can be sourced.
</t>
    </r>
    <r>
      <rPr>
        <b/>
        <u/>
        <sz val="12"/>
        <color rgb="FFFF0000"/>
        <rFont val="Arial"/>
        <family val="2"/>
      </rPr>
      <t>Delete this tab before the TEC is published with the RFP.</t>
    </r>
  </si>
  <si>
    <t>Response Guidelines</t>
  </si>
  <si>
    <t>Once all criteria questions are complete revise the response guidelines tab, the information provided is for vendors to understand what is required of them. 
You may need to rename or adjust the colour coding of the various tabs.
Read through all the information removing what is not applicable and adding important information you want vendors to be aware of.
The template has one reference sheet (Definitions and Abbreviations) it may be necessary to provide vendors with more reference information, which can be listed here.</t>
  </si>
  <si>
    <t>Scoring Summary</t>
  </si>
  <si>
    <t>Gatekeepers are captured here - Gatekeepers are limited to legislative and compliance related criteria only.
Desktop evaluations and demonstrations are separate evaluation stages and the scores may not be added together.
Ensure each stage has a defined threshold
Adjusting the weight for each category on the scoring summary tab will automatically reflect the changes on the respective sheets.
Evaluators scores in each category will also automatically pull through to this sheet
The EL must check the formulas to ensure all are working correctly before evaluations begin.</t>
  </si>
  <si>
    <t>Functional Tab</t>
  </si>
  <si>
    <r>
      <t xml:space="preserve">The functional evaluation specifically seeks to evaluate a given proposal/solution against the functional requirements which must listed in the scope of work. 
The functional requirements can be sourced from the Logical Architecture Design (LAD) where this is applicable. More specifically the Functional Decomposition Model </t>
    </r>
    <r>
      <rPr>
        <sz val="11"/>
        <color rgb="FFFF0000"/>
        <rFont val="Arial"/>
        <family val="2"/>
      </rPr>
      <t>contained within the LAD</t>
    </r>
    <r>
      <rPr>
        <sz val="11"/>
        <color theme="1"/>
        <rFont val="Arial"/>
        <family val="2"/>
      </rPr>
      <t>, lists all the Functional Requirements carefully aligned with industry best practice to ensure complete coverage of the business need. See below the example for the first evaluation criteria.</t>
    </r>
  </si>
  <si>
    <t>EXAMPLE for #1</t>
  </si>
  <si>
    <t>Business Requirement Specification Statement (from the BRS)</t>
  </si>
  <si>
    <t>"The displayed image needs to be flicker free"</t>
  </si>
  <si>
    <t>These statements are developed by a business analyst while engaging with the business in their own language.</t>
  </si>
  <si>
    <t>Functional Business Requirement (from the Logical Design/Functional Decomposition Model)</t>
  </si>
  <si>
    <t>The screen refresh rate should be 60 fps or higher</t>
  </si>
  <si>
    <t>These statements are developed by an architect, which is based on the BRS &amp; designed to be purely functional with a view to use for evaluation, mapping &amp; other analyses.</t>
  </si>
  <si>
    <t>Technical Requirements</t>
  </si>
  <si>
    <t>Vendor Responses</t>
  </si>
  <si>
    <t>Evaluator Scores</t>
  </si>
  <si>
    <t>Sectional Score:</t>
  </si>
  <si>
    <t>Intem#</t>
  </si>
  <si>
    <t xml:space="preserve">Business requirements </t>
  </si>
  <si>
    <r>
      <t xml:space="preserve">Mandatory Returnables - </t>
    </r>
    <r>
      <rPr>
        <sz val="9"/>
        <rFont val="Arial"/>
        <family val="2"/>
      </rPr>
      <t>This colunm lists the mandotory evidence to be provided by the vendor in the technical file and numbered to align with each criteria question.</t>
    </r>
    <r>
      <rPr>
        <b/>
        <sz val="9"/>
        <rFont val="Arial"/>
        <family val="2"/>
      </rPr>
      <t xml:space="preserve"> </t>
    </r>
  </si>
  <si>
    <r>
      <t xml:space="preserve">Vendor Response: </t>
    </r>
    <r>
      <rPr>
        <sz val="9"/>
        <rFont val="Arial"/>
        <family val="2"/>
      </rPr>
      <t>Vendor to indicate if, and to what extent they meet the requirement, detail must be provided in the tender submission</t>
    </r>
  </si>
  <si>
    <r>
      <t xml:space="preserve">Vendor Evidence: </t>
    </r>
    <r>
      <rPr>
        <sz val="9"/>
        <rFont val="Arial"/>
        <family val="2"/>
      </rPr>
      <t>Location of Supporting Document/detailed response in your tender submission (state the file number, section &amp; page number)</t>
    </r>
  </si>
  <si>
    <t>Priority Description</t>
  </si>
  <si>
    <t>Priority</t>
  </si>
  <si>
    <t>Weight</t>
  </si>
  <si>
    <t>Selection Option</t>
  </si>
  <si>
    <t>Option Score</t>
  </si>
  <si>
    <t>Evaluators Response (SELECT)</t>
  </si>
  <si>
    <t>Score</t>
  </si>
  <si>
    <t>Evaluator comments</t>
  </si>
  <si>
    <t>1</t>
  </si>
  <si>
    <t>2</t>
  </si>
  <si>
    <t>3</t>
  </si>
  <si>
    <t>4</t>
  </si>
  <si>
    <t>5</t>
  </si>
  <si>
    <t>6</t>
  </si>
  <si>
    <t>7</t>
  </si>
  <si>
    <t>8</t>
  </si>
  <si>
    <t>9</t>
  </si>
  <si>
    <t>10</t>
  </si>
  <si>
    <t>11</t>
  </si>
  <si>
    <t>12</t>
  </si>
  <si>
    <t>13</t>
  </si>
  <si>
    <t>14</t>
  </si>
  <si>
    <t>15</t>
  </si>
  <si>
    <t>16</t>
  </si>
  <si>
    <t>17</t>
  </si>
  <si>
    <t>18</t>
  </si>
  <si>
    <t>19</t>
  </si>
  <si>
    <t>20</t>
  </si>
  <si>
    <t>21</t>
  </si>
  <si>
    <t>22</t>
  </si>
  <si>
    <t>Eskom requires an application with a screen refresh rate of 60 fps or higher.
(This is the actual evaluation criteria against which the response is being judged - in this example it specifically quantifies how to determine if the screen will be flicker free &amp; smooth i.e. the lower the refresh rate of the screen the worse screen flicker will be evident to the end-user)</t>
  </si>
  <si>
    <t>In your technical response indicate the screen refresh rate and provide a technical specification as evidence of the refresh rate. Note this may also be requested to be physically demonstrated later in the RFP process.</t>
  </si>
  <si>
    <t>&lt;Example for how to complete this column: Technical File, section 5 (company background section), page 11&gt;</t>
  </si>
  <si>
    <t>Important</t>
  </si>
  <si>
    <t>Refresh rate &gt;=60,
Refresh rate &lt;60</t>
  </si>
  <si>
    <t>Refresh rate &gt;=60</t>
  </si>
  <si>
    <t>Appendix G</t>
  </si>
  <si>
    <t>Show stopper</t>
  </si>
  <si>
    <t>abc,
klm,
pqr,
xyz</t>
  </si>
  <si>
    <t xml:space="preserve">
pqr</t>
  </si>
  <si>
    <t>Demonstration tab</t>
  </si>
  <si>
    <t xml:space="preserve">The demonstration tab has important notes to vendors in rows 10 to 13, read these and edit as required by your criteria and evaluation plan. After editing, there must not be any blue text remaining.
If a requirement was evaluated during the desktop evaluation, it may be evaluated again at the demo if there is a need to see/verify the information. 
The demonstration duration agreed to must be strictly adhered to for all vendors for fairness. </t>
  </si>
  <si>
    <t>Tenderer to take note of the following key instructions:</t>
  </si>
  <si>
    <t>Technical Evaluation Guidelines</t>
  </si>
  <si>
    <t>*</t>
  </si>
  <si>
    <r>
      <t xml:space="preserve">Complete </t>
    </r>
    <r>
      <rPr>
        <b/>
        <u/>
        <sz val="11"/>
        <color rgb="FFC00000"/>
        <rFont val="Calibri"/>
        <family val="2"/>
      </rPr>
      <t>ALL</t>
    </r>
    <r>
      <rPr>
        <sz val="11"/>
        <color rgb="FF000000"/>
        <rFont val="Calibri"/>
        <family val="2"/>
      </rPr>
      <t xml:space="preserve"> </t>
    </r>
    <r>
      <rPr>
        <sz val="11"/>
        <color indexed="8"/>
        <rFont val="Calibri"/>
        <family val="2"/>
      </rPr>
      <t>the worksheets listed below.</t>
    </r>
  </si>
  <si>
    <t>Scoring Summary (Gatekeeper questions)</t>
  </si>
  <si>
    <t>Gatekeepers</t>
  </si>
  <si>
    <t>Key Requirements</t>
  </si>
  <si>
    <t>Functional</t>
  </si>
  <si>
    <t>Non-Functional</t>
  </si>
  <si>
    <t>Integration</t>
  </si>
  <si>
    <t>Testing</t>
  </si>
  <si>
    <t>Security</t>
  </si>
  <si>
    <t>Demonstration</t>
  </si>
  <si>
    <t xml:space="preserve"> </t>
  </si>
  <si>
    <t>Reference Information</t>
  </si>
  <si>
    <t xml:space="preserve">Definitions and Abbreviations
</t>
  </si>
  <si>
    <t>Provides information on the definitions and abbreviations used in the Evaluation workbook.</t>
  </si>
  <si>
    <t>Tender Number:</t>
  </si>
  <si>
    <t>&lt;insert before tender publication&gt;</t>
  </si>
  <si>
    <t>Transaction Description:</t>
  </si>
  <si>
    <t>Evaluated Tenderer's Registered Name:</t>
  </si>
  <si>
    <t>&lt;Evaluator to complete&gt;</t>
  </si>
  <si>
    <t>Evaluator Name and Surname:</t>
  </si>
  <si>
    <t>Eskom Group Technology:  Technical Evaluation Criteria</t>
  </si>
  <si>
    <t>Date of Evaluation</t>
  </si>
  <si>
    <t>Evaluator Signature</t>
  </si>
  <si>
    <t>Ver 7</t>
  </si>
  <si>
    <t>Gatekeeper Evaluation</t>
  </si>
  <si>
    <t>Tick to indicate if there are gatekeepers for this assessment:</t>
  </si>
  <si>
    <t>Desktop Evaluation Scoring Summary</t>
  </si>
  <si>
    <t>Evaluation Category</t>
  </si>
  <si>
    <t>Minimum Threshold</t>
  </si>
  <si>
    <t xml:space="preserve">1. Bidder Capability Requirements </t>
  </si>
  <si>
    <t>2a. Vendor Master Data Management</t>
  </si>
  <si>
    <t xml:space="preserve">2b. Procurement Management     </t>
  </si>
  <si>
    <t>2c. Electronic Auction (including asset disposal and recovery)</t>
  </si>
  <si>
    <t xml:space="preserve">2d. Electronic Tendering     </t>
  </si>
  <si>
    <t xml:space="preserve">2e. Contract Establishment and Administration </t>
  </si>
  <si>
    <t xml:space="preserve">2f. Supplier Development, Localisation and Indsutrialisation (SDL&amp;I) </t>
  </si>
  <si>
    <t>2g. Basic Document Management</t>
  </si>
  <si>
    <t>2h. Architecture, Integration and Testing 
Requirements</t>
  </si>
  <si>
    <t>2i. Cloud Requirements</t>
  </si>
  <si>
    <t>2j. Data Privacy Requirements</t>
  </si>
  <si>
    <t>2k.Data Migration Requirements</t>
  </si>
  <si>
    <t>2l. Security Requirements</t>
  </si>
  <si>
    <t xml:space="preserve">Total </t>
  </si>
  <si>
    <t>Demonstration Scoring Summary</t>
  </si>
  <si>
    <t>Digital Procurement: Wave 2 - Vendor Master Data Management</t>
  </si>
  <si>
    <t>By signing this document, the people listed record their agreement on the contents of this document.</t>
  </si>
  <si>
    <t>DOCUMENT ACCEPTANCE</t>
  </si>
  <si>
    <t>Business Analysis</t>
  </si>
  <si>
    <t xml:space="preserve">Name: </t>
  </si>
  <si>
    <t>Avela Katoo</t>
  </si>
  <si>
    <t>Signature:</t>
  </si>
  <si>
    <t>____________________________________</t>
  </si>
  <si>
    <t>Date:</t>
  </si>
  <si>
    <t xml:space="preserve"> IT Architecture</t>
  </si>
  <si>
    <t xml:space="preserve">Charles Malaka </t>
  </si>
  <si>
    <t>Business Relationship Manager</t>
  </si>
  <si>
    <t>Monyake Moikangoa</t>
  </si>
  <si>
    <t>Portfolio Manager</t>
  </si>
  <si>
    <t>Loretta Tibbatts</t>
  </si>
  <si>
    <t>Enterprise Architecture</t>
  </si>
  <si>
    <t>Azwi Sigama</t>
  </si>
  <si>
    <t xml:space="preserve">Senior Manager Business Solutions Development Services </t>
  </si>
  <si>
    <t>Anthenia Phuku</t>
  </si>
  <si>
    <t>Shared Services Vendor Maste Data Management</t>
  </si>
  <si>
    <t>Rajen John</t>
  </si>
  <si>
    <t>Corporate Procurement &amp; Supply Chain Senior Manager &amp; Data Governor</t>
  </si>
  <si>
    <t>Bathusi Montwedi</t>
  </si>
  <si>
    <t>NTCSA Procurement &amp; Supply Chain Senior Manager &amp; Data Governor</t>
  </si>
  <si>
    <t>Ezekiel Thuntsane</t>
  </si>
  <si>
    <t>Distribution Procurement &amp; Supply Chain Senior Manager &amp; Data Governor</t>
  </si>
  <si>
    <t>Simphiwe Mbonambi</t>
  </si>
  <si>
    <t>Generation Procurement &amp; Supply Chain Senior Manager &amp; Data Governor</t>
  </si>
  <si>
    <t>Tebogo Moromane</t>
  </si>
  <si>
    <t>Nuclear Procurement &amp; Supply Chain Senior Manager &amp; Data Governor</t>
  </si>
  <si>
    <t>Pieter Le Roux</t>
  </si>
  <si>
    <t>PED Procurement &amp; Supply Chain Senior Manager &amp; Data Governor</t>
  </si>
  <si>
    <t>Vuyisile Ncube</t>
  </si>
  <si>
    <t>Group Capital Procurement &amp; Supply Chain Senior Manager &amp; Data Governor</t>
  </si>
  <si>
    <t>Antonie Mammes</t>
  </si>
  <si>
    <t>ERI Procurement &amp; Supply Chain Senior Manager &amp; Data Governor</t>
  </si>
  <si>
    <t>Bongani Madlala</t>
  </si>
  <si>
    <t>Leonard Moya</t>
  </si>
  <si>
    <t>Digital Procurement eProcurement Wave 1A and 1B: Technical Evaluation</t>
  </si>
  <si>
    <t>Solution Architect</t>
  </si>
  <si>
    <t>Charles Malaka</t>
  </si>
  <si>
    <t>Integration CoE</t>
  </si>
  <si>
    <t>Leigh-Ann Vermaak</t>
  </si>
  <si>
    <t>Testing CoE</t>
  </si>
  <si>
    <t>Kholo Motadi</t>
  </si>
  <si>
    <t>Skhumbuzo Gama</t>
  </si>
  <si>
    <t>Application Support</t>
  </si>
  <si>
    <t>Nombulelo Bopape</t>
  </si>
  <si>
    <t>Senior Management Business Solutions Development Services</t>
  </si>
  <si>
    <t>Anthenia Phukiu</t>
  </si>
  <si>
    <t>Group IT Governance Services Snr. Manager</t>
  </si>
  <si>
    <t>Norbit Williams</t>
  </si>
  <si>
    <t>Sibongile Venkile</t>
  </si>
  <si>
    <t>Senior Manager: Application Operations</t>
  </si>
  <si>
    <t>Varsha Pillay</t>
  </si>
  <si>
    <t>Eskom Group Technology: 
Technical Evaluation Criteria
GATEKEEPER CRITERIA</t>
  </si>
  <si>
    <t>GateKeeper Requirements</t>
  </si>
  <si>
    <r>
      <t xml:space="preserve">Mandatory Returnables - </t>
    </r>
    <r>
      <rPr>
        <sz val="8"/>
        <rFont val="Arial"/>
        <family val="2"/>
      </rPr>
      <t>Evidence below to be provided in the technical file and numbered to align with each criteria question.</t>
    </r>
    <r>
      <rPr>
        <b/>
        <sz val="8"/>
        <rFont val="Arial"/>
        <family val="2"/>
      </rPr>
      <t xml:space="preserve"> </t>
    </r>
  </si>
  <si>
    <r>
      <t xml:space="preserve">Vendor Response: </t>
    </r>
    <r>
      <rPr>
        <sz val="8"/>
        <rFont val="Arial"/>
        <family val="2"/>
      </rPr>
      <t>Vendor to provide answer the questions below and provide detail in their tender submission</t>
    </r>
  </si>
  <si>
    <r>
      <t xml:space="preserve">Vendor Evidence: </t>
    </r>
    <r>
      <rPr>
        <sz val="8"/>
        <rFont val="Arial"/>
        <family val="2"/>
      </rPr>
      <t>Location of Supporting Document/detailed response in your tender submission (state the file number, section &amp; page number)</t>
    </r>
  </si>
  <si>
    <t>Scoring</t>
  </si>
  <si>
    <t>Confirm that the solution presented in this bid is a Software as a Service (SaaS) solution.</t>
  </si>
  <si>
    <t>In your technical response provide a company signed letter indicating the requirements.</t>
  </si>
  <si>
    <t>Confirm that ALL data hosting and processing is within South Africa and or a location under GDPR (European Union) jurisdiction.</t>
  </si>
  <si>
    <t>Provide a company signed letter indicating the locations in which the data will be hosted and processed.</t>
  </si>
  <si>
    <t>Eskom Group Technology:
Technical Evaluation Criteria</t>
  </si>
  <si>
    <t>Item#</t>
  </si>
  <si>
    <r>
      <t xml:space="preserve">Mandatory Returnables - </t>
    </r>
    <r>
      <rPr>
        <sz val="9"/>
        <rFont val="Arial"/>
        <family val="2"/>
      </rPr>
      <t>This column lists the mandatory evidence to be provided by the vendor in the technical file and numbered to align with each criteria question.</t>
    </r>
    <r>
      <rPr>
        <b/>
        <sz val="9"/>
        <rFont val="Arial"/>
        <family val="2"/>
      </rPr>
      <t xml:space="preserve"> </t>
    </r>
  </si>
  <si>
    <t>Selection Options</t>
  </si>
  <si>
    <t>Provide the total number of employees currently employed by the organisation</t>
  </si>
  <si>
    <t>Vendor to provide on the company's letterhead, the following information :
1. Company name
2. Industry
3. Geographical footprint/presence
4. The number of employee
5. Employees in your organisation dedicated to Customer Success,  include employee number per  geographical location
6. Employees in your organisation dedicated to delivering Professional Services,  include employee number per  geographical location
7. Employees in your organisation dedicated to Technical Support, include employee number per  geographical location</t>
  </si>
  <si>
    <t>Very important</t>
  </si>
  <si>
    <t>100%: &gt; 1000 employees,
50%: 101 to 1000 employees,
0%: blank or no employees</t>
  </si>
  <si>
    <t>Provide the number of employees within your organisation who are specifically dedicated to Customer Success</t>
  </si>
  <si>
    <t>100%: &gt; 20 employees,
50%: 1 - 20 employees,
0%: blank or no employees</t>
  </si>
  <si>
    <t>Provide the number of employees within your organisation who are specifically dedicated to delivering Professional Services.</t>
  </si>
  <si>
    <t>Critical</t>
  </si>
  <si>
    <t>100%: &gt; 100 employees,
50%: 20 - 100 employees,
0%: blank or no employees</t>
  </si>
  <si>
    <t>Provide the number of employees within your organisation who are specifically dedicated to Technical Support</t>
  </si>
  <si>
    <t>Confirm whether your company has an established presence in South Africa. This includes, but is not limited to, registered offices, operational teams, or support personnel located within the country.</t>
  </si>
  <si>
    <t>100%: Full Presence in RSA, 
50: Presence in RSA via 3rd parties (e.g. distributor reseller),
0%: No presence in RSA</t>
  </si>
  <si>
    <t>Specify the geographical locations of the personnel assigned to this engagement, specifically those responsible for:
- Customer Success
- Professional Services
- Technical Support</t>
  </si>
  <si>
    <t>100%: All located in South Africa,
75%: Customer Success in South Africa AND Technical and or Professional Services partially in South Africa and outside, 
50%: Customer Success in south Africa AND Technical and or Professional services outside of South Africa,
0%: No Customer Success in South Africa and or all resources outside of south Africa</t>
  </si>
  <si>
    <t>Provide a detailed explanation of your relationship management program and methodology for establishing and maintaining high-quality customer engagements</t>
  </si>
  <si>
    <t>Provide a proposed relationship management program approach (in Annexure A) for establishing ongoing quality customer engagements that includes:
1. Communications
2. Performance management
3. Exception and dispute resolution
4. Advisory roles
5. Onsite representatives</t>
  </si>
  <si>
    <t xml:space="preserve">100%: Comprehensive information that reflects proactive and value adding customer and performance management,
75%: Most information provided with minor deficiencies in proactive customer and performance management,
50%: Information provided with gaps in performance management onsite representatives and customer engagement,
0%: No information provided/blank </t>
  </si>
  <si>
    <t>Provide details of  successful implementations of a solution of similar nature and complexity within the past 1 to 5 years.</t>
  </si>
  <si>
    <t xml:space="preserve">Provide reference letter(s) from the companies where the solutions were successfully implemented.
Indicate the following in the reference letter:
1. Company name
2. Referee Details
3. Company Industry
4. Company size (employees and revenue)
5. Number of users
6. Size of the implementation team from your company (indicate numbers per roles)
7. Data Migration KPIs achieved
8. Implementation timelines and milestones
</t>
  </si>
  <si>
    <t xml:space="preserve">100%: 5  valid company reference letters  &gt;  1000 employees utility industry and or public sector  &gt; 1000 users implementation scope (procurement management sourcing supplier performance management spend management contract lifecycle management),
75%: 4 valid company reference letters &gt;  1000 employees other industry (i.e. nonutility or public sector)  &gt; 1000 users implementation scope (procurement management sourcing supplier performance management spend management contract lifecycle management),
50%: 3 valid company reference letters 1 to 1000 employees utility and or public sector 1 to 1000 users implementation scope (procurement management sourcing supplier performance management spend management contract lifecycle management),
25%: 1 to 2  valid company reference letters 1 to 1000 employees other industries (i.e. nonutility or public sector) 1 to 1000 users implementation scope (procurement management sourcing supplier performance management spend contract lifecycle management),
0%: no valid company reference letters or &lt;3 companies implementation of similar scope or not all in scope implemented
</t>
  </si>
  <si>
    <t>Provide a detailed account of key challenges encountered during the implementation of similar solutions at referenced sites within the past 1 to 5 years</t>
  </si>
  <si>
    <t>Provide customer testimonials (in Annexure B)  for each of the referenced sites  rating the following from 1 to 10, 1 being the lowest and 10 the highest favourable rating: 
1. Project implementation expertise.
2. Ability to scale resources in real-time when required
3. Proactivity, accountability and collaboration in resolving issues timeously
4. Adherence to governance and regulatory requirements</t>
  </si>
  <si>
    <t>100%: The average of dimension 1 to 4 &gt;= 7  for 5  companies with valid references,
75%: The average of dimension 1 to 4 &gt;= 7  for 4 companies with valid references,
50%: The average of dimension 1 to 4 &gt;= 7  for 3 companies with valid references,
25%: The average of dimension 1 to 4 &gt;= 7  for 2 companies with valid references,
0%: The average of dimension 1 to 4 &lt; 7  for 3 or more  companies with valid references or no data provided</t>
  </si>
  <si>
    <t>Provide a proposed implementation plan to be used and the phases included in the methodology in line with the delivery of this project.</t>
  </si>
  <si>
    <t>Provide a proposed implementation plan (in Annexure A) for the solution which includes:
1. Delivery approach (for optimized time delivery) including estimated timelines for each milestone
2.  Work breakdown structure for the following deliverables:
     - Analysis &amp; Design, 
     - Build &amp; Unit testing
     - Training, 
     - Deployment , 
     - Data Migration, and 
     - Stabilisation
3. Resource allocation (this should indicate ramp up requirements in case of the need to fast track delivery should this be required)</t>
  </si>
  <si>
    <t>100%: Accelerated implementation plan with timelines of not more than 12 months for all phases a phased approach aimed at exposing priority functionality first  legal separation clearly defined resource allocation and ramp up per milestone, 
75%: Implementation plan with timelines between 12 and 15 months for all phases a phased approach aimed at exposing priority functionality first  legal separation clearly defined resource allocation and ramp up per milestone, 
50%: Implementation plan with timelines between 15 and 18 months for all phases a phased approach aimed at exposing priority functionality first  legal separation clearly defined resource allocation and ramp up per milestone, 
0%: Implementation plan with timelines  beyond 18 months for all phases a phased approach aimed at exposing priority functionality first  legal separation clearly defined resource allocation and ramp up per milestone,</t>
  </si>
  <si>
    <t>Provide a comprehensive user training approach as part of the solution implementation</t>
  </si>
  <si>
    <t>Provide a proposed user training approach (in Annexure A) for the solution during implementation that includes:
1. Training strategy and methodology 
2. Training delivery methods
3. Content quality
4. User Group support (internal and external users
5. Post training support
6. Risk mitigation and contingency
7. Feeback and assessment</t>
  </si>
  <si>
    <t>100%: Training is delivered through various interactive methods (online  trainer the trainer  instructor led) aligned to project milestones with assessments and refresher courses ensuring knowledge transfer and tracking adoption,
75%: Training is delivered through limited methods (no online only trainer the trainer and  instructor led) aligned to project milestones with assessments and refresher courses ensuring knowledge transfer and tracking adoption,
50%: Training is delivered through limited methods (e.g. no online only  trainer the trainer and  instructor led only) limited alignment with project milestones with assessments and limited to no refresher courses and knowledge transfer,
0%: Training is delivered through limited methods no alignment with project milestones  no assessments and  no refresher courses and knowledge transfer,</t>
  </si>
  <si>
    <t>Provide a detailed proposal for the ongoing maintenance and support of the solution.</t>
  </si>
  <si>
    <t>Provide details of your proposal (in annexure A) for the maintenance and support of the solution indicating the following:
1.  Support Services (SLA uptime and commitments, response times, guaranteed uptime and penalty clauses )
2.  Support model and availability ( Service desk availability, tiered support levels, local presence and escalation procedures)
3.  Maintenance Services ( scope and frequency of updates, feature enhancements in(ex)clouded, compatibility management
4. Incident and Problem Management (real-time visibility of issue resolution status, root cause analysis mechanisms, indicate resolution metrices MTTRepair and Resolve)
5.  Data Recovery and Business Continuity ( automated regular backups, system restoration times, system redundancy to prevent downtime, DR plan and frequency of testing)
6.  Scalability and support (ability for support services to handle increases in the number of users and suppliers using the platform)
7.  Reference and track record (demonstrate proven track record of providing reliable support and maintenance services for similar projects)</t>
  </si>
  <si>
    <t>100%: SLA uptime exceeds 99% with penalty clauses in contract Automated backups defined restoration times system redundancy and a tested disaster recovery plan Service desk available locally with over five years of SaaS support for similar projects,
50%: SLA uptime exceeds 99% with penalty clauses in contract Automated backups defined restoration times system redundancy and a tested disaster recovery plan  3 to 5 years of SaaS support for similar projects,
0%: SLA uptime exceeds 99% with penalty clauses in contract Automated backups defined restoration times system redundancy and a tested disaster recovery plan  less than3 years of SaaS support for similar projects,</t>
  </si>
  <si>
    <t>Comments from the business</t>
  </si>
  <si>
    <t>Supports workflow enabled review and approval process for vendor onboarding</t>
  </si>
  <si>
    <t>Provide the Technical Proposal, Data Sheet and Technical specification or confirmation from the OEM on capability.</t>
  </si>
  <si>
    <t>100%: Supported as delivered out of the box,
75%: Supported via modifications (config),
50%: Supported via a third party solution,
25%: Supported via customisation (source code changes),
 0%: Not currently supported</t>
  </si>
  <si>
    <t>Supports full seamless integration with external regulatory databases e.g. SARS, COIDA , RMA,SARS  for supplier information verification</t>
  </si>
  <si>
    <t>Supports tracking of suppliers or sub-contractor hierarchies (e.g., project related contract)</t>
  </si>
  <si>
    <t xml:space="preserve">Supports automatic addition of supplier organizational hierarchy structure inflation </t>
  </si>
  <si>
    <t xml:space="preserve">Supports detection of duplicate supplier registrations and  alert notifications to user before registration completes </t>
  </si>
  <si>
    <t xml:space="preserve">Supports business rule driven template, form and checklist creation and maintenance </t>
  </si>
  <si>
    <t>Supports documents, checklists and forms validation based on business rules</t>
  </si>
  <si>
    <t>Supports bidirectional and native  integration with internal core systems in scope e.g. SAP ERP, CRM etc.</t>
  </si>
  <si>
    <t>Supports document uploads of various file types (MS Office, multimedia, supplier returnables) e.g. governance reports, market research results etc.</t>
  </si>
  <si>
    <t>Supports supplier information maintenance, capture, updates and deletions with end to end information flow between systems in scope</t>
  </si>
  <si>
    <t xml:space="preserve">Supports documents, checklists and forms validation and trigger notifications  with rejection reasons based on business rules </t>
  </si>
  <si>
    <t>Supports mandatory field creation and flagging based on business rules, e.g. validity dates of supplier blocking/flagging</t>
  </si>
  <si>
    <t xml:space="preserve">Supports easily configurable, self-service workflow capability to route transactions, documentation for actioning and approval with clear visibility of status across the transaction flow based on business rules, e.g. approval of task order, contract modification etc. </t>
  </si>
  <si>
    <t xml:space="preserve">Supports supplier communication tools in-platform messaging and email notifications - integration with MS Outlook, e.g. successful supplier information update, e.g. ability to send notification to flagged suppliers </t>
  </si>
  <si>
    <t xml:space="preserve">Supports supplier classification, categorisation and segmentation based on business rules </t>
  </si>
  <si>
    <t>Supports supplier data collection and verification  from 3rd party systems, e.g. tax number, registration certificates, BBBEE, banking details, probity checks,  insurance, EHS, quality, licenses etc</t>
  </si>
  <si>
    <t>Supports business rule driven supplier (un)blocking, (un)flagging or (de)restriction, e.g. delimited vendors,  no longer in business or liquidated vendors, inactive vendors not used in a specific period - requires integration with CSD</t>
  </si>
  <si>
    <t xml:space="preserve">Supports integration with CSD to flag/delimit suppliers  who are Eskom or government employees before registration </t>
  </si>
  <si>
    <t>Supports standard, customised and self-service reporting based on defined fields/data (e.g. customised reports- BBBEE report; , standard reports- vendor listing report); noncompliant supplier listing report letter of good standing report supplier status report etc.)</t>
  </si>
  <si>
    <t>Supports generation of audit trail reports based on changes made to the supplier file.</t>
  </si>
  <si>
    <t xml:space="preserve">Supports capturing of multiple fields for specific supplier information, e.g. email addresses,  bank account and VAT details
</t>
  </si>
  <si>
    <t xml:space="preserve">Supports tight real-time integration with contract management  and in scope systems with line of sight of all supplier data including status changes related to supplier information , i.e.  360 degree view of supplier information. </t>
  </si>
  <si>
    <t>Supports business rule driven automatic proactive tracking of specific conditions and trigger actions via workflow based on business rules, e.g. proactively tracking and flagging supplier documentation about to expire and trigger an update process via workflow. This includes internal and external notifications</t>
  </si>
  <si>
    <t>Supports suppliers to read and accept  predefined conditions, e.g.  Code of conduct, terms and conditions based on predefined templates and business rules.</t>
  </si>
  <si>
    <t>Supports existing vendor search using key identifiers based on business rules, e.g. vendor number, registration number, legal name etc.</t>
  </si>
  <si>
    <t>Supports data capturing and tracking supplier performance, e.g. SLAs, quality and KPIs related  based on business rules</t>
  </si>
  <si>
    <t xml:space="preserve">Supports business rule driven automation of process escalations via workflow </t>
  </si>
  <si>
    <t>Supports ability to load a supplier against multiple commodities</t>
  </si>
  <si>
    <t xml:space="preserve">Supports supplier access control and user roles including self-service registration and password management based on business rules. Suppliers must log into one place, using a single set of credentials to collaborate  for all functions in the solution </t>
  </si>
  <si>
    <t>Supports complex data requirements such as company code extensions where the same data elements might be different for different company codes. This enables extension of existing suppliers across all company codes in Eskom.</t>
  </si>
  <si>
    <t>Supports team and resource management (allocation, activity tracking, SLAs, easily configurable workflows) including dashboards, reporting and notifications - email integration required.</t>
  </si>
  <si>
    <r>
      <rPr>
        <sz val="9"/>
        <color rgb="FF000000"/>
        <rFont val="Arial"/>
      </rPr>
      <t>Supports automated data profiling across SAP S/4HANA, the eProcurement solution and legacy vendor systems, including frequency distribution, uniqueness, completeness, and outlier detection. The platform must automatically scan vendor datasets in SAP S/4HANA, the eProcurement solution (e.g., eProcurement solution),</t>
    </r>
    <r>
      <rPr>
        <sz val="9"/>
        <color rgb="FFFF0000"/>
        <rFont val="Arial"/>
      </rPr>
      <t xml:space="preserve"> </t>
    </r>
    <r>
      <rPr>
        <sz val="9"/>
        <color rgb="FF000000"/>
        <rFont val="Arial"/>
      </rPr>
      <t>and legacy systems to compute core profiling stats—frequency distributions, uniqueness/distinctness, completeness (nulls/missing), and outliers/anomalies—on schedules or events, at Eskom scale, without manual scripting.</t>
    </r>
  </si>
  <si>
    <t>Supports multi-domain profiling for supplier, contractor, consultant, and related master data (bank details, tax IDs, B-BBEE status). Multi-domain profiling = the platform profiles each vendor sub-domain (supplier/contractor/consultant entities and their linked data such as bank accounts, tax IDs, B-BBEE), and also checks cross-domain consistency (e.g., VAT in Tax domain agrees with the Vendor record; B-BBEE expiry consistent with onboarding status)</t>
  </si>
  <si>
    <t>Supports accuracy, validity, completeness, timeliness, and consistency  measurement of vendor records. The platform must quantify data quality for vendor master by computing five core dimensions—accuracy, validity, completeness, timeliness, and consistency—on every relevant attribute (e.g., legal name, CIPC reg no, VAT, bank account, B-BBEE level, addresses) and roll those up into dashboards, alerts, and steward workflows.</t>
  </si>
  <si>
    <t>Supports scheduled and event-driven profiling jobs with incremental updates.</t>
  </si>
  <si>
    <t>Supports scalable profiling for millions of vendor records across Eskom’s hybrid environment. The platform must profile very large vendor datasets (millions of rows, hundreds of fields) across Eskom’s hybrid estate (Azure Stack/private + optional public cloud) and deliver core stats—frequency distributions, distinctness, completeness, patterns, outliers—quickly, reliably, and repeatably without manual scripting.</t>
  </si>
  <si>
    <t>Supports cross-system discovery to identify vendor records across ERP, procurement, and finance systems. The solution can automatically find, link, and keep in sync all instances of the same supplier that live in different applications (e.g., SAP S/4HANA, eProcurement solution, legacy/AP/GL/treasury tools), even when names, IDs, and formats differ. It builds and maintains a cross-reference (XREF) map from each local system ID to a single golden vendor.</t>
  </si>
  <si>
    <t>Supports semantic recognition of vendor attributes (CIPC registration, VAT number, B-BBEE certificate). That is the system can understand what a data field is (its meaning), not just what it’s called. E.g. It can spot a CIPC registration number, a VAT number, or a B-BBEE certificate field even if column names are inconsistent, misspelled, in different languages, or embedded in documents—and then treat them appropriately (validate, standardise, enrich, and govern).</t>
  </si>
  <si>
    <t>Supports data lineage mapping to trace vendor data flows between systems. The platform can show, end-to-end, where each vendor attribute came from, how it was transformed, and where it went—from source systems (e.g., SAP S/4HANA, eProcurement solution) through integrations and MDM (rules, match-merge, survivorship) to downstream consumers. It should work at table, job, and column/field level, with timestamps, rule versions, and user actions.</t>
  </si>
  <si>
    <t>Supports duplicate detection &amp; entity resolution using fuzzy matching (e.g., name, address, bank details). The platform must find and link duplicate or related vendor records—within one system and across SAP S/4HANA, eProcurement, and legacy/AP/GL—using fuzzy matching on names, addresses, contacts, and bank details, then group them and maintain one golden vendor with cross-references.</t>
  </si>
  <si>
    <t>Useful</t>
  </si>
  <si>
    <t>Supports Artificial Intelligence/Machine Learning discovery to detect anomalies (inactive vendors with transactions, duplicate accounts). The platform automatically learns “normal” patterns for vendors and related activity, then flags suspicious records or events—e.g., inactive vendors receiving transactions, multiple vendors sharing the same bank account, sudden bank-detail changes followed by large payments, or duplicate vendor identities—so stewards can review and remediate.</t>
  </si>
  <si>
    <t>Supports rule-based validation: the application of configurable business rules to vendor data—e.g., “VAT number must be a valid SA format”, “B-BBEE certificate must be current”, “CIPC registration must be well-formed and verifiable”—in real time (during create/update) and in batch (backfills, migrations), then returns clear pass/fail results, severity, and guidance.</t>
  </si>
  <si>
    <t>Support for data-exchange standards (ISO 20022, XML, JSON). The platform can produce, consume, validate, and transform vendor-master payloads in ISO 20022-compliant XML, generic XML (with XSD validation), and JSON (with JSON Schema/OpenAPI)—so Eskom can interoperate with banks, ERPs, and eProcurement systems without brittle custom formats.</t>
  </si>
  <si>
    <t>Supports third-party enrichment where the platform can connect to external vendor-risk data providers, pull back attributes (e.g., sanctions/PEP, adverse media, credit/financial health, cyber risk, ESG, beneficial ownership), normalize and map them to Eskom’s canonical vendor model, and use them in rules, scoring, and workflows—in real time and batch—under POPIA-aligned controls.</t>
  </si>
  <si>
    <t>Supports vendor risk scoring based on compliance, financial stability, and ESG factors where the platform combines Compliance, Financial Stability, and ESG signals into a single, explainable score/tier for each vendor, used at onboarding and continuously thereafter to drive approvals, extra checks, or blocks.</t>
  </si>
  <si>
    <t>Supports data masking for sensitive vendor attributes (bank accounts, tax IDs).</t>
  </si>
  <si>
    <t>Supports a self-service User Interface that lets business users and data stewards do their day-to-day work—profile data, search vendors, validate/cleanse records, create rules, review exceptions, approve changes, view dashboards, and export reports—without IT or coding. It must be fast, explainable, secure, and auditable.</t>
  </si>
  <si>
    <t>Supports Data stewardship hub for managing vendor data initiatives. Provides a central workspace where procurement, finance, and data teams plan, run, and track vendor-data initiatives (cleansing, deduping, validations, enrichment, policy rollouts). It provides queues, SLAs, dashboards, governance links (policy ↔ rule ↔ data), collaboration, and full audit—without needing IT.</t>
  </si>
  <si>
    <t>Supports large data processing with high throughput and low latency by running Eskom’s full vendor-data pipelines—ingest → standardise → validate → match-merge → enrich → publish—over multi-million-row datasets quickly and reliably, and also handle low-latency per-record operations (e.g., real-time validations on create/update)</t>
  </si>
  <si>
    <t>The platform supports the definition running, and governing of multiple rule types—field-level, cross-field, cross-entity, temporal/effective-date, referential, geo, and external-lookup—in real time and batch, with explainability, versioning, and audit.</t>
  </si>
  <si>
    <t>Supports South Africa–specific validators: SARS Tax/VAT formats, CIPC IDs, B-BBEE certificate validity; bank account &amp; branch code checks; address standardisation.</t>
  </si>
  <si>
    <t>Supports data validation against  governed reference data (bank code tables, supplier types, commodity codes) with cache in real-time.</t>
  </si>
  <si>
    <t>Supports Rule metadata maintenance where the platform stores and manages a complete register of every validation/business rule—with fields like name, ID, description, owner, domain, version, lifecycle state, tags, risk level, applicability—and keeps this info searchable, versioned, auditable, and linked to data, policies, and runs.</t>
  </si>
  <si>
    <t>Supports reusable, parameterised rules with libraries and inheritance where a rule is authored once (e.g., “Phone must be E.164”), then reused across Vendor, Bank, Address (and sub-entities) by passing parameters (field name, severity, country). Allows the grouping of rules into libraries, and the use of  inheritance/overrides so child entities or business units extend or relax parent policies without copy-pasting.</t>
  </si>
  <si>
    <t>Supports reliable resolution of rule conflicts by using an explicit precedence policy, short-circuit/continue controls, rule grouping semantics, and a dependency graph so rules execute in the right order, skip unsafe steps, and produce consistent, explainable outcomes in real time and batch.</t>
  </si>
  <si>
    <t>Supports parsing of composite supplier names and addresses into clean, structured fields—legal name, trading name, street, city/town, province, postal code, country—and normalise them to Eskom standards for downstream validation, matching, and publishing</t>
  </si>
  <si>
    <t>Supports Abbreviation Expansion: Expand common abbreviations/acronyms (e.g., Pty→(Pty) Ltd, Rd→Road) using governed dictionaries with locale awareness.</t>
  </si>
  <si>
    <t>Supports Case &amp; Diacritics Normalisation: Proper-case person/place names, preserve acronyms, normalise Unicode and remove illegal characters.</t>
  </si>
  <si>
    <t>Supports Field Formatting: Enforce standard formats (phone E.164, email RFC 5322, postcode formats, IBAN/account patterns where applicable).</t>
  </si>
  <si>
    <t>Supports Standards Catalogues: Maintain canonical formats for vendor attributes (organisation type, vendor category, SME flag, tax type).</t>
  </si>
  <si>
    <t>Supports Geo Standardisation: Normalise addresses to SANS/UPU with geocoding confidence scores; suburb/province canonical lists.</t>
  </si>
  <si>
    <t>Supports CSD API Enrichment: Retrieve and attach BBBEE level, status, and expiry; supplier registration status; commodity categories from the South African CSD.</t>
  </si>
  <si>
    <t>Supports SARS Validation: Validate VAT status and Tax PIN via SARS APIs or approved data services with consent and audit.</t>
  </si>
  <si>
    <t>Supports CIPC Verification: Verify company registration number, status, and directors snapshot where available.</t>
  </si>
  <si>
    <t>Supports Bank Account Verification: Real-time account holder name match and branch verification via participating banks or service bureaus.</t>
  </si>
  <si>
    <t>Supports Sanctions/PEP &amp; Adverse Media: Optional enrichment with watchlists and risk signals from reputable providers.</t>
  </si>
  <si>
    <t>Supports Credit &amp; Financial Health: Optional enrichment of credit score/limits and delinquency indicators for vendors.</t>
  </si>
  <si>
    <t>Supports Geo &amp; Contact Enrichment: Reverse geocoding, standardised time zone, validation of email/phone via reputable services.</t>
  </si>
  <si>
    <t>Supports Consent &amp; POPIA: Capture supplier consent or lawful basis for each external check; maintain processing registers.</t>
  </si>
  <si>
    <t>Supports Configuration over Code: Dictionaries, mappings, and rules editable by stewards; hot-reload without downtime.</t>
  </si>
  <si>
    <t>Supports Scalable matching to handle millions of vendor records in batch and near-real-time.</t>
  </si>
  <si>
    <t>Supports Audit trail of steward actions (merge, split, override, delete).</t>
  </si>
  <si>
    <t>Supports Trend analysis and historical comparison of data quality over time.</t>
  </si>
  <si>
    <t>Supports Data quality dashboards showing vendor data health KPIs.</t>
  </si>
  <si>
    <t>Supports Dashboards showing data quality KPIs (completeness, accuracy, duplicates, timeliness).</t>
  </si>
  <si>
    <t>Supports a complete Vendor domain logical &amp; physical data model (entities: vendor, legal entity, trading name, addresses, bank accounts, tax IDs, BBBEE certificates, contacts, categories, risk profile).</t>
  </si>
  <si>
    <t>Supports attribute-level metadata definition: business definition, data type/length, nullability, format/regex, units, allowed values, default, sensitivity/classification.</t>
  </si>
  <si>
    <t>Supports maintenance of  a searchable metadata repository/glossary with steward ownership, policies, tags, and cross-links to rules and reports.</t>
  </si>
  <si>
    <t>Supports the capture of end‑to‑end lineage from source systems through transformations to the Golden Record, including rule versions applied. The platform must capture and show end-to-end lineage for vendor data—from source systems (e.g., SAP S/4HANA, eProcurement solution, legacy) through ingestion, parsing/standardisation, validations, match-merge/survivorship—to the Golden Record, including which rule IDs/versions were applied at each step.</t>
  </si>
  <si>
    <t>Support schema evolution and impact analysis (versioning, deprecation, promotion Dev→Test→Prod). The platform can safely change data models over time (add/rename/deprecate fields, change types, split/merge entities) and predict who/what will break—rules, pipelines, APIs, dashboards—before publishing the change. It should automate versioning, compatibility checks, migration guidance, and rollback.</t>
  </si>
  <si>
    <t>Supports the exposure of metadata via open APIs and import/export (CSV/JSON), integrate with BI tools and catalogues. The platform must expose and exchange metadata openly—via standards-based APIs and CSV/JSON import/export—so Eskom can integrate with BI tools (e.g., Power BI/Tableau) and data catalogues. Metadata includes datasets, schemas, fields, rules, lineage, KPIs/scorecards, reference data, policies, and owners.</t>
  </si>
  <si>
    <t>Supports the definition of code lists/controlled vocabularies (e.g., vendor type, commodity, province) with versioning and stewardship. Code lists / controlled vocabularies are the governed sets of allowed values—e.g., Vendor Type, Commodity/UNSPSC, Province—with owners, versions, effective dates, aliases, and deprecations. The platform must let Eskom define, publish, validate against, and evolve these lists under stewardship, and track usage/lineage across rules, datasets, and APIs.</t>
  </si>
  <si>
    <t>Supports the mapping of POPIA/legal policy to attributes (purpose, retention, consent requirement) with enforcement hooks. The platform must let Eskom map POPIA/legal policy to every vendor attribute—e.g., purpose, lawful basis/consent requirement, retention period &amp; trigger, sensitivity/classification—and enforce those policies automatically in pipelines, APIs, searches, dashboards, and exports (block/warn/mask/purge), with full audit.</t>
  </si>
  <si>
    <t>Provides a single gateway for ingesting new/changed vendor records via Batch (files), Streaming (Kafka/Event Hub), and Synchronous APIs.</t>
  </si>
  <si>
    <t>Supports pre‑ingest duplicate check with match thresholds and suggested candidate links.</t>
  </si>
  <si>
    <t>Supports Quarantine/Dead‑Letter handling with reason codes, retry policies, and feedback to source, i.e. any record/event that cannot be processed is safely parked (no loss), labelled with a reason code, retried according to policy, and the source is informed (sync error or async callback/report). Stewards can fix/replay items; poison messages never loop endlessly.</t>
  </si>
  <si>
    <t>Supports replay/backfill and cut‑over with checkpoints and ordering guarantees, i.e. the reprocessing of history or missed data (by date/key/partition), switch pipelines with zero data loss, and keep event/order correctness—using durable checkpoints, idempotent outputs, and per-key ordering—for batch, streaming/CDC, and API paths.</t>
  </si>
  <si>
    <t>Supports manual steward override with rationale capture and rollback.</t>
  </si>
  <si>
    <t>Provides queues, assignment, SLAs, and escalations for cleansing/approval tasks (maker‑checker).</t>
  </si>
  <si>
    <t>Supports comments, attachments, and collaboration; integration with ServiceNow/Jira optional.</t>
  </si>
  <si>
    <t>Supports the maintenance of full audit of steward actions (who, what, when, why) with export.</t>
  </si>
  <si>
    <t>Provides domain scorecards for data quality KPIs, adoption (CRUD volumes), and policy compliance.</t>
  </si>
  <si>
    <t>Supports trend analysis, drill‑down to records/rules, and segmentation by BU/region/category.</t>
  </si>
  <si>
    <t>Supports Executive/Board views with printable PDFs and scheduled delivery.</t>
  </si>
  <si>
    <t>Provides a central repository for policies, standards, SOPs, and data principles mapped to rules, datasets, and KPIs. Eskom uses OpenText for document repository. This must offer seamless integration with the Open Text solution.</t>
  </si>
  <si>
    <t>Supports the maintenance of RACI for roles (data owner, steward, custodian, architect) with attestation cycles.</t>
  </si>
  <si>
    <t>Supports review cycles, approvals, and versioning for governance artefacts. Every governed object—policies, rules, schemas/models, code lists, thresholds/KPIs, lineage definitions, APIs/contracts, workflows—has a review cadence, a maker–checker approval flow, and semantic versioning with diffs, release notes, rollback, and impact analysis.</t>
  </si>
  <si>
    <t>Supports the ability to model corporate hierarchies and relationships between organisations—parent–subsidiary, Ultimate Beneficial Ownership (UBO), joint venture (JV), franchise, reseller/distributor, affiliate—with effective dating and provenance, so you can answer “who owns/controls whom, as-of a date?”, roll up exposure/spend, propagate risk, and support stewardship/audit.</t>
  </si>
  <si>
    <t>Supports ability to search and visualise vendor relationship graphs (vendors, parents/subs, UBOs, JV/affiliate links), detect cycles and other anomalies, and roll up exposures/counts (e.g., spend, number of subsidiaries, sanctions hits) across the family tree—as of any date—for risk and stewardship.</t>
  </si>
  <si>
    <t>Supports the ability to assign risk tiers and compliance statuses to any vendor or related entity (parent, subsidiary, JV, reseller) and automatically propagate those states up to parents and down to children according to configurable policies (e.g., sanctions = Critical risk propagates to all parents/subs immediately). Propagation must be explainable, time-aware, and reversible.</t>
  </si>
  <si>
    <t>Supports import from external hierarchy sources (D&amp;B, CIPC where available) and manual curation with audit.</t>
  </si>
  <si>
    <t>Supports seamless integration with OpenText to offer a central repository for all documentation</t>
  </si>
  <si>
    <t>Supports checking and validation of  supplier commodities and other pertinent business data/processes (e.g. SHEQ) on the CSD database vs. the ones in the vendor master data solution and trigger workflow enabled actions based on business rules</t>
  </si>
  <si>
    <t xml:space="preserve">Supports business rule driven templates, form and checklist creation and maintenance </t>
  </si>
  <si>
    <t>100%: Supported as delivered "out of the box",
75%: Supported via modifications (config),
50%: Supported via a third party solution,
25%: Supported via customisation (source code changes),
 0%: Not currently supported</t>
  </si>
  <si>
    <t>Supports business rule driven dynamic template, form checklist and document creation based on criteria at various points of the  process stages e.g.  Determination report  data generates condonation report which in turn generates National Treasury report at a later stage</t>
  </si>
  <si>
    <t>Supports creation and maintenance of procurement plan and strategy based on templates, forms , checklists  and business rules (ability to update the plan and strategy at any stage of the process)</t>
  </si>
  <si>
    <t xml:space="preserve">Supports ability to indicate the type of transaction that will be used to effect the strategy </t>
  </si>
  <si>
    <t>Supports procurement category management</t>
  </si>
  <si>
    <t>Supports business rule enabled multiple type requisition creation based on templates, forms and checklists( e.g. condonation PR, sole sources, formal tender etc.)</t>
  </si>
  <si>
    <t>Supports PR, PO link to multiple contracts</t>
  </si>
  <si>
    <t>Supports mandatory field creation and flagging e.g. mandatory field in PR for designated commodities construction projects etc.</t>
  </si>
  <si>
    <t>Supports document uploads of various file types (of, MS Office, multimedia) e.g. governance reports, market research results etc.</t>
  </si>
  <si>
    <t>Supports documents, checklists and forms validation and trigger notifications  with rejection reasons based on business rules</t>
  </si>
  <si>
    <t>Supports documents, checklists and forms validation and trigger notifications  with rejection reasons based on business rules using Artificial intelligence</t>
  </si>
  <si>
    <t xml:space="preserve">Supports easily configurable workflow capability to route transactions and documentation. Must be able to trigger activity requests to  internal and external Business Units for actioning and approval  (e.g. sole source, LPO transactions, governance reports, committee minutes, condonation assessments) with clear visibility of status across the transaction flow. </t>
  </si>
  <si>
    <t xml:space="preserve">Supports business rule based validation of PR against Procurement Plan </t>
  </si>
  <si>
    <t>Supports grouping and linking of all PR checklists and associated documentation</t>
  </si>
  <si>
    <t>Supports Register creation and maintenance based on business rules e.g. Condonation register</t>
  </si>
  <si>
    <t>Supports validation of predefined condonation request checklist based on business rules. Should not allow a request to be successfully logged if checklist criteria is not met.</t>
  </si>
  <si>
    <t>Supports allocation of unique identifiers for all transactions, PRs, procurement plans etc. in the process lifecycle.</t>
  </si>
  <si>
    <t>Supports template, form, checklist and document downloads from the system in PDF and MS Office file types</t>
  </si>
  <si>
    <t>Supports internal resource NDA and Declarations of Interest completion and approval in platform via workflow</t>
  </si>
  <si>
    <t>Supports spend analysis (including historical spend) for contract or commodity items</t>
  </si>
  <si>
    <t>Supports integration to internal and 3rd party systems e.g. CSD, commodity market price solution, CIDB etc.</t>
  </si>
  <si>
    <t>Supports flagging and linking of  risk assessment requests to preselected suppliers (Procurement Quality  Engineering)</t>
  </si>
  <si>
    <t>Supports business rule driven supplier risk assessments  (Procurement Quality  Engineering)</t>
  </si>
  <si>
    <t>Supports PFMA and Treasury Regulation alignment</t>
  </si>
  <si>
    <t>Supports standard and configurable templates, forms and checklists to enable key procurement artefact creation (e.g. mandate to conclude, procurement plan,  sourcing strategy, disposal strategy etc.) based on business rules</t>
  </si>
  <si>
    <t>Supports mandatory field creation and flagging -e.g. mandatory field in disposal strategy template</t>
  </si>
  <si>
    <t>Supports multiple types of disposal mechanisms and categorisation based on business rules</t>
  </si>
  <si>
    <t>Supports business rule based multiple disposal mechanism allocation per transaction</t>
  </si>
  <si>
    <t>Supports document uploads of various file types MS Office, multimedia, pdf ( e.g. governance reports , request submissions, supplier documents)</t>
  </si>
  <si>
    <t xml:space="preserve">Supports easily configurable workflow capability to route transactions, documentation and trigger activity requests to internal and external Business Units for approval  (e.g. auction approvals, disposal requests, governance reports, emergency disposals) with clear visibility of status across the transaction flow. </t>
  </si>
  <si>
    <t>Supports validation of transaction routing via workflow based on business rules (e.g. mandatory fields, supporting documentation)</t>
  </si>
  <si>
    <t>Supports visibility of workflow activity via dashboards and reporting</t>
  </si>
  <si>
    <t>Supports automation of governance processes (including committee approvals and decision making) via easily configurable workflow capability</t>
  </si>
  <si>
    <t>Supports team and resource management (allocation, activity tracking, SLAs, easily configurable workflows) including dashboards and reporting.</t>
  </si>
  <si>
    <t>Supports integration with sourcing or tendering module or functionality for enquiry (e.g. RFQ, RFP) issue, submission, evaluation and award</t>
  </si>
  <si>
    <t>Supports Register creation and maintenance to automate mandatory supplier site meeting attendance based on business rules</t>
  </si>
  <si>
    <t>Supports flagging of supplier status based on attendance register status based on business rules (e.g. supplier not proceeding to the next stage if compulsory site meeting was not attended).</t>
  </si>
  <si>
    <t>Supports multiple auction types (Reverse, Forward, Dutch, Japanese, Forward, Reverse etc.) based on best practices</t>
  </si>
  <si>
    <t>Supports creation of auctions based on business rules and business roles</t>
  </si>
  <si>
    <t>Supports lotting and bundling of auction items for grouping items into lots (e.g. vehicle disposal with multiple vehicles group into a lot)</t>
  </si>
  <si>
    <t>Supports ability to sell  low value items ( e.g. sales to staff)</t>
  </si>
  <si>
    <t>Supports business rule driven auction setup and configuration that enables multiphase events (e.g. technical and commercial) based on reusable templates, and workflow approval</t>
  </si>
  <si>
    <t>Supports multiple currencies and units of measure</t>
  </si>
  <si>
    <t>Supports bidder addition , invitation and on-boarding  based on in-platform messaging and email - requires integration with MS Outlook</t>
  </si>
  <si>
    <t>Supports  supplier access control and user roles including self-service registration and password management based on business rules</t>
  </si>
  <si>
    <t>Supports supplier registration compliance (e.g. acceptance of user license agreement) based on business rules</t>
  </si>
  <si>
    <t>Supports supplier pre-qualification checks (e.g. regulatory, BBBEE etc. compliance) - integration with 3rd party systems</t>
  </si>
  <si>
    <t xml:space="preserve">Supports in platform mandatory supplier training  </t>
  </si>
  <si>
    <t>Supports visibility of supplier training status</t>
  </si>
  <si>
    <t>Supports validation of supplier training completion based on business rules</t>
  </si>
  <si>
    <t>Supports supplier communication tools in-platform messaging and email notifications - integration with MS Outlook (e.g. successful registration for event participation, event notifications etc.)</t>
  </si>
  <si>
    <t>Supports event scheduling including countdown timers</t>
  </si>
  <si>
    <t>Supports automatic event notifications and reminders to suppliers and stakeholders</t>
  </si>
  <si>
    <t>Supports allocation of unique identifier to each bidder (enables protection of bidder information)</t>
  </si>
  <si>
    <t>Supports custom bidding windows per lot or event</t>
  </si>
  <si>
    <t>Supports real-time and online bidding with instant feedback</t>
  </si>
  <si>
    <t>Supports bidder ranking based on business rules</t>
  </si>
  <si>
    <t>Supports range-only feedback to show bidder position without revealing bidder prices, name and rank, only range should be provided</t>
  </si>
  <si>
    <t>Supports auction event management within a specified time frame includes time extensions and bid closure based on business rules</t>
  </si>
  <si>
    <t>Supports business rule based segregation or ringfencing of different types of auctions or events</t>
  </si>
  <si>
    <t>Supports bidding price range creation based on bidder responses</t>
  </si>
  <si>
    <t>Supports supplier access to auction event information and status based on business rules (e.g. only suppliers registered for an event can view information. Information of other suppliers must not be visible at all times)</t>
  </si>
  <si>
    <t>Supports bid confirmation of last bid by bidder and procurement practitioner based on business rules (e.g. price)</t>
  </si>
  <si>
    <t>Supports real-time bid watch to enable procurement practitioners to view bid activity in real-time</t>
  </si>
  <si>
    <t>Supports event dashboards for  tracking (real-time and post event) visible to procurement practitioners and suppliers based on business rules</t>
  </si>
  <si>
    <t>Supports bid validation rules to prevent invalid entries</t>
  </si>
  <si>
    <t>Supports activity logs of all user actions including reporting</t>
  </si>
  <si>
    <t>Supports audit trails for full transparency and traceability including quick retrieval of audit reports</t>
  </si>
  <si>
    <t>Supports bid analysis and comparison tools</t>
  </si>
  <si>
    <t>Supports business rule based winning bid and award</t>
  </si>
  <si>
    <t>Supports manual or automatic award decision workflows</t>
  </si>
  <si>
    <t>Supports business rule based standard and self-service custom reporting (e.g. report upon bid closure, standard reports for governance etc.)</t>
  </si>
  <si>
    <t>Supports single repository for all bid related documentation linked through unique identifiers</t>
  </si>
  <si>
    <t>Supports sales order and invoice generation - integration with SAP S/4 HANA required</t>
  </si>
  <si>
    <t xml:space="preserve">Supports secure payments by bidders including OTPs and payment status tracking </t>
  </si>
  <si>
    <t>Supports trackable PO lifecycle from PR creation to  PO generation</t>
  </si>
  <si>
    <t xml:space="preserve">Supports business rule driven templates , form and checklist creation and maintenance </t>
  </si>
  <si>
    <t>Supports creation of different types of  enquiries based on predefined templates, checklists and forms  and business rules</t>
  </si>
  <si>
    <t>Supports generation of unique identifiers for all PRs, POs, enquiries etc. This should enable searching and tracking of transactions and activities</t>
  </si>
  <si>
    <t xml:space="preserve">Supports mandatory field creation and flagging, e.g. mandatory field in PR for designated commodities construction projects, tender reissue field etc. This must support business rule requirements for the mandatory field e.g. tender reissue requires previous enquiry number and the reason for reissue. </t>
  </si>
  <si>
    <t>Supports validation of enquiry against procurement strategy and deviation flagging thereof in  system; including sending notifications to relevant stakeholders</t>
  </si>
  <si>
    <t>Supports ability to search for existing contracts with the same scope as the PR for emergency procurement</t>
  </si>
  <si>
    <t>Supports tight integration with contract management module/functionality</t>
  </si>
  <si>
    <t>Supports bidirectional integration with internal systems in scope e.g. SAP ERP, CRM etc.</t>
  </si>
  <si>
    <t>Supports documents, checklists and forms validation and trigger notifications  with rejection reasons based on business rules e.g. sourcing strategy selecting at this stage must match the one defined at procurement strategy creation stage., if not the enquiry creation cannot continue.</t>
  </si>
  <si>
    <t xml:space="preserve">Supports easily configurable workflow capability to route transactions, documentation and trigger activity requests to internal and external Business Units for actioning and approval  (e.g. approval of transaction LPO, RFQ , Sole Source etc.;  adjudication, negotiation outcome and condonation assessment reports, tender committee approvals etc; modifications to tender closure dates; selected suppliers and any process activity that requires approval ) with clear visibility of status across the transaction flow. </t>
  </si>
  <si>
    <t xml:space="preserve">Supports mandatory documentation uploads linked to mandatory fields based on business rules e.g. tender cancellation reason field, mandatory to attach supporting documentation </t>
  </si>
  <si>
    <t>Supports multiple specification creation for an enquiry e.g. mandatory enquiry returnables, technical specifications, financial criteria (90/10 or 80/20 )</t>
  </si>
  <si>
    <t>Supports the preparation and upload of enquiry returnables in platform based on roles and business rules e.g. business rule: returnable include price, technical specifications, SHEQ, BBBEE</t>
  </si>
  <si>
    <t>Supports supplier segmentation - strategic, transactional, etc.</t>
  </si>
  <si>
    <t>Supports business rule driven potential supplier selection for RFQ and LPO PRs - requires integration with CSD.</t>
  </si>
  <si>
    <t>Supports business rule driven potential supplier rotation for RFQ and LPO PRs - requires integration with CSD.</t>
  </si>
  <si>
    <t>Supports enquiry issue to suppliers and publishing on multiple in scope tender bulletins (Eskom, National Treasury , construction Industry Development Board). This requires integration with internal and 3rd party systems</t>
  </si>
  <si>
    <t>Supports the issue of closed tenders to pre-selected suppliers. This includes communication to only the selected suppliers.</t>
  </si>
  <si>
    <t>Supports supplier invitation and on-boarding  based on in-platform messaging and email - requires integration with MS Outlook</t>
  </si>
  <si>
    <t>Supports supplier qualification and probity checks (e.g. regulatory, BBBE compliance, CSD number etc.) - requires integration with 3rd party systems</t>
  </si>
  <si>
    <t>Supports supplier communication tools in-platform messaging and email notifications - integration with MS Outlook (e.g. successful registration for event participation, event notifications, quote requests for RFQs etc.)</t>
  </si>
  <si>
    <t>Supports supplier information protection and  confidentiality when communicating to suppliers via email and in platform i.e. no supplier should have access to any other supplier information even in email communication</t>
  </si>
  <si>
    <t>Supports ability for supplier to search and view  open tenders on the system based on predefined criteria and provide the suggested results and search history  - requires integration with tender bulletins and CIDB site</t>
  </si>
  <si>
    <t>Supports supplier response  to the enquiry in platform including uploading relevant documentation. Multiple document file types must be supported (e.g. MS Office, PDF, multimedia etc. with allowance of up to 500mb file size)</t>
  </si>
  <si>
    <t xml:space="preserve">Supports supplier ability to change, amend or add documentation as part of the submission process before tender  closure and maintain an audit trail of the original submission. No modifications are allowed once tender is closed.
</t>
  </si>
  <si>
    <t>Supports business rule driven supplier blocking, flagging or restriction. Blocked suppliers should not be allowed to submit a response to an enquiry. Communication or notification to supplier must be triggered in that instance- requires integration with CSD.</t>
  </si>
  <si>
    <t>Supports validation of supplier responses and uploads based on business rules. A successful submission is only allowed when all criteria is met. If not, notification to supplier must be sent/communicated including reasons of submission failure.</t>
  </si>
  <si>
    <t>Supports visibility of supplier activity during enquiry process via real-time dashboards based on business rules, e.g. ability for practitioner to view successful responses during an RFQ process, visibility of all transactions with a summary of sourcing initiatives in progress, their status, timelines, and real-time notifications, based on the user profiles</t>
  </si>
  <si>
    <t>Supports business driven validation of mandatory returnables from supplier at or after submission - this is a design decision based on solution capability. Preference is for validation of content correctness and completion at submission stage. This may require AI capability.</t>
  </si>
  <si>
    <t>Support supplier submission and document integrity i.e. once a supplier successfully submits documents, document alteration and deletion not allowed. The original copies of supplier submissions must be kept and maintained at all times. This applies internally and externally. Electronic watermarking is mandatory.</t>
  </si>
  <si>
    <t>Supports unique identification of supplier enquiry submissions including all uploaded documentation</t>
  </si>
  <si>
    <t>Supports notification to supplier of successful enquiry submission based on business rules.</t>
  </si>
  <si>
    <t>Supports business rule driven  automatic tender closure dates. This must make provision for tender closure extensions. Tender submissions are not allowed after tender closure! A notification must be sent to the supplier when attempting to make submissions after closure.</t>
  </si>
  <si>
    <t>Supports ability to notify  suppliers and update tender bulletins when tender status changes occur. E.g. issue, cancellation, closure, validity and other  extensions etc. This includes updates to Eskom, CIDB, National Treasury and other 3rd party platforms - requires integration to systems</t>
  </si>
  <si>
    <t xml:space="preserve">Supports ability to proactively notify suppliers  when tender validity extensions occur. This is typically  once the enquiry is closed and during evaluation stage. The relevant suppliers should be notified and enabled to provide acceptance of the validity based on predefined rules. </t>
  </si>
  <si>
    <t xml:space="preserve">Supports  alternative proposals  submissions for a tender provided thar the requirements of the main offer are met before allowing alternative proposal submission based on business rules. </t>
  </si>
  <si>
    <t>Supports the ability to proactively notify the appropriate internal stakeholders of a potential tender validity expiry based on business rules. This must allow approval where extensions are required.</t>
  </si>
  <si>
    <t>Supports tender validity field flagging and provision of reporting thereof based on business rules</t>
  </si>
  <si>
    <t>Supports tight integration with procurement management for all resource management functionality and reporting</t>
  </si>
  <si>
    <t>Supports commercial and technical evaluations in platform. Also supports automatic scoring and criteria weights; and person based evaluations in the system based on business rules.</t>
  </si>
  <si>
    <t>Supports market price validation of enquiry items/commodity via an internal system - requires integration</t>
  </si>
  <si>
    <t>Supports concurrent evaluations and segregation of tasks based on business rules and predefined templates.</t>
  </si>
  <si>
    <t>Supports multiple types of evaluations based on best practices e.g. multi-state, multi-round, sealed bidding, blin evaluation evaluations</t>
  </si>
  <si>
    <t>Supports supplier question and answer management in the system  i.e. clarification sessions - integration with email is required.</t>
  </si>
  <si>
    <t>Supports pricing evaluation based on predefined formulae and business rules</t>
  </si>
  <si>
    <t>Supports business rule driven automatic and human based supplier ranking based on roles.</t>
  </si>
  <si>
    <t>Supports business rule driven  evaluation score ranking to compare supplier responses - use of AI would be advantageous.</t>
  </si>
  <si>
    <t>Supports business rule driven evaluation consolidation per supplier into a single report</t>
  </si>
  <si>
    <t>Supports business rule driven monitoring of evaluation process in system to prevent data leakage and unauthorised access to information, particularly for high value transactions.</t>
  </si>
  <si>
    <t>Supports multi-awards per event/bid</t>
  </si>
  <si>
    <t>Supports ability to issue a system generated instruction for a supplier to start work once the quote is received and it is approved based on predefined data. Send regret letters to the unsuccessful bidders automatically once an enquiry is awarded based on business rules e.g. triggered by the PO issue</t>
  </si>
  <si>
    <t>Supports standard, custom and self-service reporting  with drill down capability) for all tender/enquiry related data based on predefined templates and business rules e.g. number of times tender is reissued and reasons, number of responsive/nonresponsive enquiries,  all suppliers that have responded; status of all enquiries based on defined criteria, suppliers that met all requirements in terms of mandatory returnables,  basic compliance report, commercial report, SDLI &amp; designated sector report; evaluation reports, financial  and audit  reports</t>
  </si>
  <si>
    <t xml:space="preserve">Supports business rule driven templates , forms and checklists creation and maintenance  and version control </t>
  </si>
  <si>
    <t>Supports easily configurable , self-service workflow capability to route transactions, documentation for actioning and approval with clear visibility of status across the transaction flow, e.g. approval of task order, contract modification etc.,  based on business rules</t>
  </si>
  <si>
    <t>Supports document uploads of various file types (MS Office, multimedia, supplier returnables) e.g. governance reports, market research results,  mandatory SDL&amp;I undertaking documents that include SDL&amp;I obligations (local content, skills development, job creation ) , supplier performance evidence etc.</t>
  </si>
  <si>
    <t>Supports documents, checklists and forms validation based on business rules, e.g. verify the accuracy of a loaded/amended contract against business rules. - may require integration</t>
  </si>
  <si>
    <t>Supports business rule driven, template based contract creation and categorisation based on data from a successful enquiry/tender, e.g. signed copy of the awarded contract</t>
  </si>
  <si>
    <t>Supports validation of contract commodities against a catalogue code - tight integration with catalogue system required.</t>
  </si>
  <si>
    <t>Supports catalogue updates with new codes emanating from a contract - integration with SAP ERP and Master Data System required</t>
  </si>
  <si>
    <t>Supports proactive monitoring of mandatory expired contract documents  and trigger notification and action requests via workflow based on business rules</t>
  </si>
  <si>
    <t>Supports  contract creation and maintenance  based on parent child hierarchy (e.g. a framework agreement for multiple suppliers with embedded child contracts)</t>
  </si>
  <si>
    <t>Supports linking of POs to a framework agreement</t>
  </si>
  <si>
    <t>Supports  business rule driven supplier rotation  for contract allocation in a panel (contract with multiple suppliers)</t>
  </si>
  <si>
    <t>Support contract type specification and associate spend allocation  across suppliers based on business rules</t>
  </si>
  <si>
    <t xml:space="preserve">Supports inking of  contracts to a PR in SAP ERP - requires integration
</t>
  </si>
  <si>
    <t>Supports visibility of flagged/blocked or restricted suppliers in the CSD- requires integration with 3rd party system</t>
  </si>
  <si>
    <t>Supports business rule driven task order creation based on predefined templates, checklists and forms</t>
  </si>
  <si>
    <t>Supports generation of unique identifiers for all task orders, contracts and associated documentation</t>
  </si>
  <si>
    <t>Supports business rule driven mandatory field creation and flagging for contracts and task orders, e.g. flag a contract with designated commodities or sectors.</t>
  </si>
  <si>
    <t>Supports creation of a purchase order in SAP ERP and linked unique PO to a task order. This must include the ability to track the linked PO - requires integration</t>
  </si>
  <si>
    <t>Supports end-to-end visibility of contract/ framework agreement status and insights, e.g. spend analysis, available funds etc. across suppliers, including contract performance.</t>
  </si>
  <si>
    <t>Supports business rule driven contract and associated checklist maintenance (updates, deletions , CPA data capturing or adjustments, etc.) enabled through workflow capability</t>
  </si>
  <si>
    <t>Supports upload of contracts generated outside the platform , e.g. PDF, Ms Office and other document types</t>
  </si>
  <si>
    <t xml:space="preserve">Supports creation and maintenance of  Contract Clause Library, including  contract amendment and termination clauses
</t>
  </si>
  <si>
    <t>Supports extraction and analysis of commodities per contract term, e.g. labour rates, settlement discounts, rebates, commodity prices at national and regional levels including historic analysis based on business rules</t>
  </si>
  <si>
    <t>Supports internal and external stakeholder communication and notification in system and email based of contract related activities, e.g. notify user groups about new or amendments to contracts in the system</t>
  </si>
  <si>
    <t>Supports incorporation of supplier details in a contract, e.g. payment terms, BEE status, pricing per line item, agreed lead times</t>
  </si>
  <si>
    <t>Supports use of AI/ML or  GenAI to improve the contract lifecycle management, e.g.  help create contracts based on company playbooks, past precedent or best practice</t>
  </si>
  <si>
    <t>Supports fallback clauses, metadata and clause tagging for dynamic population of contracts/ task orders based on business rules</t>
  </si>
  <si>
    <t>Supports contract authoring using a word processing tool, allowing the author to manage all editing within that tool, e.g. MS Word integration</t>
  </si>
  <si>
    <t xml:space="preserve">Supports maintenance of  a detailed task history for all workflow tasks in progress and/or completed for a contract </t>
  </si>
  <si>
    <t xml:space="preserve">Supports contract template interoperability with the clause library for alternate clause inclusion during contract creation and/or negotiation. </t>
  </si>
  <si>
    <t>Supports email integration for notifications based on business rules</t>
  </si>
  <si>
    <t>Supports electronic collaboration with external parties for contract negotiation in system and email enabled by business rule driven workflows</t>
  </si>
  <si>
    <t>Supports e-signature  capabilities for contract signing</t>
  </si>
  <si>
    <t>Supports automated contract reviews, e.g. clause identification and comparison to org defined acceptable clauses</t>
  </si>
  <si>
    <t>Supports keyword, text-based search for text within the contract documents and contract artifacts/attachments</t>
  </si>
  <si>
    <t>Supports bundling of proposed contract modifications for workflow approval</t>
  </si>
  <si>
    <t>Supports business rule driven proactive contract modifications  enabled by workflows</t>
  </si>
  <si>
    <t>Supports supplier performance management and obligation tracking</t>
  </si>
  <si>
    <t>Supports standard, custom and  self-service reporting, supplier performance reports based on business rules.</t>
  </si>
  <si>
    <t>Supports dashboard enabled visibility of supplier performance and compliance insights, e.g. spend, payment terms, ongoing projects, invoice details, scorecard metrics, risk tier, etc.</t>
  </si>
  <si>
    <t>Supports analytical, interactive and customizable dashboards for the contract management life-cycle, e.g. contract completion lead times, contract expiry analysis, contract status, contract volumes against categories, percentage of contracts completed on time,  contract modifications and adjustments based on business rules</t>
  </si>
  <si>
    <t xml:space="preserve">Supports mandatory field creation and flagging, e.g. mandatory field in SDL&amp;I strategy and contract templates based on predefined criteria and business rules (e.g. NIPP transaction flag) and make associated fields data input mandatory e.g.  NIPP requirement, ability to create supplier development targets </t>
  </si>
  <si>
    <t>Supports ability to obtain predefined data from the Central Supplier Database (CSD) or the internal Eskom Vendor Database (currently VRP) and integrate with the system. (e.g. ability to check availability of suppliers in the CSD to satisfy obligation requirements and targets)</t>
  </si>
  <si>
    <t xml:space="preserve">Supports SD&amp;L strategy creation and maintenance in the system based on a predefined templates and business rules this includes mandatory fields, flagged fields, fields that capture obligation targets e.g.  local content field in the contract template,  mandatory for local content % if SD&amp;L field is yes. </t>
  </si>
  <si>
    <t>Supports document uploads of various file types (of, MS Office, multimedia) e.g. governance reports, market research result, Declaration of Interest (DoI), Non-Disclosure Agreement (NDA), Enterprise Development Agreement, development service provider engagement outcomes , supplier performance resulting from development interventions</t>
  </si>
  <si>
    <t>Supports documents, checklists and forms validation based on business rules  e.g.  check if the required documents are loaded or grey out the submit button once they are loaded</t>
  </si>
  <si>
    <t xml:space="preserve">Supports  linkage and end to end visibility from PR , Procurement strategy, SD&amp;L strategy  and contract. The linkage is bidirectional. The SDL&amp;I strategy is embedded in the Procurement Plan based on business rules e.g. business rule to validate if there are SDL&amp;I obligations to be included when a contract is created </t>
  </si>
  <si>
    <t>Supports capturing of negotiated and approved SD&amp;L targets commitments against a contract based on a predefined template once a contract is awarded.  Mandatory</t>
  </si>
  <si>
    <t xml:space="preserve">Supports end to end visibility of SD&amp;L targets linked to contracts through searches and dashboard reporting. There needs to be visibility of SD&amp;L targets for contracts to facilitate ease of comparison and reuse. </t>
  </si>
  <si>
    <t>Supports easily configurable workflow capability to route transactions and documentation with clear visibility of status across the transaction flow.  e.g. ability to approve the SD&amp;L strategy, assign strategy to procurement practitioner, task allocation from CRM, supplier assessment recommendation to the relevant governance bodies for approval -- will require system integration</t>
  </si>
  <si>
    <t>Supports ability to evaluate an enquiry based on the predefined requirements in the SD&amp;L and Procurement strategy</t>
  </si>
  <si>
    <t>Supports the ability to input the SD&amp;L negotiation results in the system</t>
  </si>
  <si>
    <t>Supports ability to create and maintain various SDL&amp;I obligations based on business rules e.g. NIPP, designated commodities, skills development, etc. enabled by a predefined workflow for approval</t>
  </si>
  <si>
    <t>Supports ability to validate value, currencies, various SDL&amp;I obligations based on business rules (e.g. signing of an NIPP agreement before a contract is created based on an obligation threshold trigger) enabled by a predefined workflow for approval</t>
  </si>
  <si>
    <t xml:space="preserve">Supports data inputs for various activities based on predefined templates and business rules  e.g. Declaration of Interest, NIPP participation declaration form, development service provider engagement outcomes, supplier performance resulting from development interventions, </t>
  </si>
  <si>
    <t xml:space="preserve">Supports template field flagging based on business rules e.g. all contracts with foreign content which exceed $5million, suppliers with unmet obligations, flag commodities per designated sector
</t>
  </si>
  <si>
    <t>Supports standard, custom and self service reporting based on business requirements. E.g. ability to draw monthly/ quarterly/ and annual report – this will thus include the flagging system for all contracts with mandatory NIPP requirements , supplier assessment reports, supplier performance and development status,  supplier’s performance after training/development interventions, contracts that were issued and fall under designated sector commodities</t>
  </si>
  <si>
    <t>Supports supplier communication tools in-platform messaging and email notifications including all stakeholders (e.g. NT, DTIC) e.g. invite suppliers to bid, supplier registration, send and respond to questionnaires, supplier assessment results to the relevant stakeholders,  send designated sector report to the DTiC via the system ----- integration with MS Outlook and 3rd party systems</t>
  </si>
  <si>
    <t xml:space="preserve">Supports supplier information capturing and maintenance in platform based on fields, predefined templates and business rules </t>
  </si>
  <si>
    <t>Supports end to end visibility of supplier information status across the value chain e.g. view if supplier is blocked, evaluation threshold gaps, supplier assessment results after training intervention, supplier performance against contract  (developed and not developed e.g. any NCRs, BEE status, Late delivery ) ,  contracts awarded to a supplier earmarked for development before and after development intervention</t>
  </si>
  <si>
    <t>Supports end to end visibility and identification of supplier training history, training gaps, training required across Eskom's divisions and subsidiaries  e.g.  training gaps, intervention required etc. --system integration required.</t>
  </si>
  <si>
    <t>Supports supplier performance monitoring and evaluation in platform across the life cycle and divisions (provide performance insights, plans and obligation management) e.g. monitor supplier SD&amp;L obligation performance based on planned vs. actuals - integration to Eskom's application will be required</t>
  </si>
  <si>
    <t>Supports SD&amp;L performance measures calculation based on business rules</t>
  </si>
  <si>
    <t>Supports the triggering of contract activities via workflow, field updates and documentation uploads e.g. provide contract closure SD&amp;L report and recommendations, provide performance status and recommendations for active contracts</t>
  </si>
  <si>
    <t xml:space="preserve">Supports subcontract creation specifying  associated percentage,  and linkage to main contract for the development candidates </t>
  </si>
  <si>
    <t>Supports supplier spend analysis and reporting</t>
  </si>
  <si>
    <t>Supports access central repository to validate previously submitted documentation during the tendering process.</t>
  </si>
  <si>
    <t>Supports supplier information search based on a unique supplier id, contract id</t>
  </si>
  <si>
    <t>Supports supplier verification and probity checks e.g.  validate vendor company status via Companies and Intellectual Property Commission (CIPC), Tax status (CSD), supplier details (DTIC) -- 3rd party system integration required.</t>
  </si>
  <si>
    <t>Supports ability to search and attach designated sector documentation to the reports</t>
  </si>
  <si>
    <t>Supports standard, custom and self service supplier performance reporting based on business rules and predefined criteria. E.g. Procurement (BBBEE) spend, Local content Contracted per period, Supplier Overall Performance, Assurance review of the supplier's performance (external audit), Job creation (employment statistics), B-BBEE scorecard (certification),  Department of Trade, Industry &amp; Competition (the DTiC,) Commodities Demand t, Contracts exceeding $5million of foreign contracts (imported content) reports.</t>
  </si>
  <si>
    <t xml:space="preserve">Supports tracking and flagging spend on foreign contracts with repetitive drill downs where spend is $5 million and above
</t>
  </si>
  <si>
    <t xml:space="preserve">Supports  multicurrency conversion to US dollars for imported content  
</t>
  </si>
  <si>
    <t xml:space="preserve">Supports visibility and communication of  suppliers and contracts to be blocked  designated procurement practitioners in the life cycle i.e. SD&amp;L, Buyers etc.
</t>
  </si>
  <si>
    <t>Ability load, store and maintain documents required across the P2P lifecycle (e.g. business review documents and meeting minutes , vendor registration documentation, tender returnables, minutes etc.)  based on defined business rules, checklists and templates</t>
  </si>
  <si>
    <t>Ability to maintain templates and checklist version control via workflow</t>
  </si>
  <si>
    <t>Ability to convert physical documents and records to electronic formats (Digitisation via record imaging such as scanning)  for uploads and downloads</t>
  </si>
  <si>
    <t>Ability to provide a single repository of documents across the P2P lifecycle accessed via predefined roles and business rules</t>
  </si>
  <si>
    <t>Ability to store, search and retrieve all P2P  documentation and attachments in the system in a PDF and Word format (e.g. PR and governance documentation, signed contract )</t>
  </si>
  <si>
    <t>Ability to load governance committee, National Treasury and other key stakeholder decisions, terms and related documents  for contracts across all stages of the lifecycle in the system  (e.g. minutes, determination report from Loss Control)</t>
  </si>
  <si>
    <t>Ability to support the functionality to import and reconcile revisions made using Microsoft word/google doc to allow for the tracking of redlines, term changes, and comments entered using Microsoft word</t>
  </si>
  <si>
    <t>Ability to  provide e-signature capabilities for all documents</t>
  </si>
  <si>
    <t>Ability to perform text searchable documents - Optical Character Recognition (OCR)</t>
  </si>
  <si>
    <t xml:space="preserve">Ability to support a keyword, text-based search for text within the contract documents and contract document repository </t>
  </si>
  <si>
    <t xml:space="preserve">Ability to  support concept searches  (find associated language that is conceptually similar to the search query) </t>
  </si>
  <si>
    <t xml:space="preserve">Ability to provide digital watermarking (visible and invisible, digital signature and other security measures to prevent modification of tender documents based on business rules </t>
  </si>
  <si>
    <t>Ability to archive specified documents based on business rules for at least 5 years</t>
  </si>
  <si>
    <t>Ability to track and retrieve documents related to the P2P lifecycle with ease. This includes ability to search for archived documentation based on defined criteria</t>
  </si>
  <si>
    <t>Ability to approve access to archived documentation via workflow and defined roles</t>
  </si>
  <si>
    <t>Ability to enable audit trail for usage, making of changes on the record/s and version control. Showing the date, time, username, what information/ pages were downloaded or printed for all defined activities across the P2P lifecycle</t>
  </si>
  <si>
    <t>Ability to allow seamless integration between the collaboration platform (SharePoint / MS Office) SAP ERP, SAP HCM, Microsoft Dynamix CRM to enable access of documentation and data to and from these systems</t>
  </si>
  <si>
    <t>Ability to link parent to child documents i.e. Common Process of Indexing Records. Document/Record Unique Identifier Generator</t>
  </si>
  <si>
    <t>Ability to mark obsolete electronic documents to be kept for future reference(raise risk associated with the requirement)</t>
  </si>
  <si>
    <t xml:space="preserve">Ability to manage retention, review and disposal schedules for records </t>
  </si>
  <si>
    <t>Ability to provide audit trail on all submitted returnables and their state including standard and custom reporting thereof</t>
  </si>
  <si>
    <t>Business requirements</t>
  </si>
  <si>
    <t>Mandatory Returnables - This column lists the mandatory evidence to be provided by the vendor in the technical file and numbered to align with each criteria question.</t>
  </si>
  <si>
    <t>How does the application support RBAC (Role Based Access Control) rules/principles? Provide more details to support your response.</t>
  </si>
  <si>
    <t>Architecture Requirements. VE FOR Q1</t>
  </si>
  <si>
    <t>100%: Supported as delivered "out of the box",
75%: Supported via modifications (config),
50%: Supported via a third party solution,
25%: Supported via customisation (source code changes), 0%: Not currently supported</t>
  </si>
  <si>
    <t>The vendor must provide the number of resources, including comprehensive CVs of Data/Information/Solution Architects to be deployed to deliver the Architectural requirements as stipulated in the Scope of Work document (RFP document).</t>
  </si>
  <si>
    <t>Architecture Requirements. VE FOR Q2</t>
  </si>
  <si>
    <t>How does the application support separation of concerns principle (a design principle that involves breaking down a software system into distinct, independent components or modules)? That is, separation of presentation, business logic and data access layers.</t>
  </si>
  <si>
    <t>Architecture Requirements. VE FOR Q3</t>
  </si>
  <si>
    <t>Can the application functionality be exposed as a service (i.e. identify specific functions within the application, wrap them in a web service framework (like REST or SOAP), and deploy them using cloud platforms)?</t>
  </si>
  <si>
    <t>Is the application web-based or is there a client component that must be installed on the desktop?</t>
  </si>
  <si>
    <t>Very Important</t>
  </si>
  <si>
    <t>Does the application support API access via Java and other services (i.e. consuming external APIs within Java applications and exposing Java application functionality as APIs for other services to consume)?</t>
  </si>
  <si>
    <t>The application to have the ability to support integration with external supplier and commodity databases to identify potential suppliers (CSD, DTIC, SARS COID , external probity check solutions, SANAS website), through middleware integration services, open API's etc.</t>
  </si>
  <si>
    <t>How does the application support the utilisation of external business rule engines (i.e. how is the external rules engine utilized to centralize and automate complex business decisions by evaluating data against pre-configured conditions, enabling consistent, rule-based decision-making across various applications -both internally and externally)?</t>
  </si>
  <si>
    <t>To what extent is your solution assembled from reusable components (i.e. to what extent does the solution support application componetisation principle - this approach enhances flexibility, allows for independent development and deployment, and improves overall maintainability and scalability of the application)?</t>
  </si>
  <si>
    <t>Does the application support anytime access, 24X7 availability, with no down time allowed for batch processing?</t>
  </si>
  <si>
    <t>How does the application support zero latency, i.e. near real-time information processing?</t>
  </si>
  <si>
    <t>How does the application support the self-management service (i.e. the ability to proactively respond to system problems, for example, if a service is not available the system must first attempt to re-establish the service on its own, and if not successful, then follow an escalation process)?</t>
  </si>
  <si>
    <t>Does the application have the ability to provide system access to both internal &amp; external users via a standard internet browser? State all the standard web browsers supported by the application.</t>
  </si>
  <si>
    <t>How does the application support the ability to load external inflationary indices?</t>
  </si>
  <si>
    <t>Is the application database support based on native services API's, ODBC(Open Database Connector)/JDBC(Java Database Connector)? Native services, often provided by the database vendor, offer the highest performance and feature access but are vendor-specific. JDBC is the standard for Java-based applications, offering platform independence and efficient Java integration, while ODBC is a language-agnostic standard, ideal for non-Java applications, especially those on Windows, though it can introduce a performance overhead.</t>
  </si>
  <si>
    <t>Does the application have the ability to re-establish connection, immediately upon severance of communication (i.e. accidentally ending conversation/connection between communicating parties)? How to maintain connection between components?</t>
  </si>
  <si>
    <t>What's the number of users that the application can be able to support simultaneous per server without services degradation?</t>
  </si>
  <si>
    <t>What's the number of database queries (in 5 minute interval) can the application support without service degradation?</t>
  </si>
  <si>
    <t>Does the application have the ability to work with other applications without conflicts, for example Terminal Services, Anti-Virus Software etc.?</t>
  </si>
  <si>
    <t>How does the application track and trace an audit trail of all user actions and transactions?</t>
  </si>
  <si>
    <t>Does the application support data imports and exports in multiple formats? Provide more details about the different data formats that are supported by your application.</t>
  </si>
  <si>
    <t>Does the system have the ability to validate input data formats coming from external sources?</t>
  </si>
  <si>
    <t>Does the system have the ability to declare certain fields mandatory?</t>
  </si>
  <si>
    <t>Does the system have the ability to enable users to work offline and update/synchronise at a later stage, when the application is back online?</t>
  </si>
  <si>
    <t>How does the application support (re)assignment of tasks on the workflow between users?</t>
  </si>
  <si>
    <t>How does the application support specification of alternate workflow approvers when primary approver is not available, (i.e. auto-escalation of tasks based on business rules)?</t>
  </si>
  <si>
    <t>How does the application support approval or rejection of individual workflow line items?</t>
  </si>
  <si>
    <t>How does the application support automatic re-notification of an approver about an outstanding item on the workflow after a specified time period has lapsed?</t>
  </si>
  <si>
    <t>How does the application support addition of comments to approvals and rejections?</t>
  </si>
  <si>
    <t>How does the application support configurable various workflow creation and maintenance based on business rules, for example, specific value or range of values, an individual user, a specific department, a specific cost-centre, specific transaction type etc.?</t>
  </si>
  <si>
    <t>How does the application support automated notifications for each approval process via : e-mail or SMS (Text Message)?</t>
  </si>
  <si>
    <t>Provide details of how the application supports real-time data synchronization or data replication to a secondary or disaster recovery (DR) site, located in different regions.</t>
  </si>
  <si>
    <t>Provide details on how the application supports Backup and Restore Plan and Services that is annually tested and test results shared with Eskom.</t>
  </si>
  <si>
    <t>Provide details on how the application supports embedded AI(Artificial Intelligence)/ML(Machine Learning)/GenAI (Generative AI) functionality, if any. Provide any additional details and information on any of the offered capabilities.</t>
  </si>
  <si>
    <t>Does the system have the ability to enforce legislative requirements and other changes within 5 business days?</t>
  </si>
  <si>
    <t>Eskom requires the solution to have an average hit rate greater than 114 hits / sec for 500 concurrent users. Provide details on how your application is able to meet this requirements.</t>
  </si>
  <si>
    <t>Provide performance testing results for average hits per second for 500 concurrent users, in your technical response.</t>
  </si>
  <si>
    <t>Eskom requires the solution to have the 90th percentile transaction response time for 500 concurrent users to be less or equal to 3 seconds. Provide details on how your application is able to meet this requirement.</t>
  </si>
  <si>
    <t>In your technical response, please provide performance testing results for 90th percentile transaction response time for 500 concurrent users.</t>
  </si>
  <si>
    <t>Eskom requires the solution to support average throughput for 500 concurrent users to be 142000 bytes / sec or more. Provide details on how your application is able to meet this requirement.</t>
  </si>
  <si>
    <t>Provide performance testing results average throughput bytes / sec for 500 concurrent users, in the technical response</t>
  </si>
  <si>
    <t>Eskom requires the solution to be able to handle over 500 concurrent users. Can your application be able to meet this requirement? Provide more details.</t>
  </si>
  <si>
    <t>In your technical response, provide performance testing results showing how many concurrent users the solution can handle.</t>
  </si>
  <si>
    <t>Does your application support API-based integration? Provide more details on how will the application be able to meet this requirement.</t>
  </si>
  <si>
    <t>How does the application support API's exposure as services? Provide more details.</t>
  </si>
  <si>
    <t>How does the application support seamless integration with internal systems such as, SAP ERP , MS TEAMS, MS OFFICE, Windows Directory for authentication, SharePoint, Supplier Training System, Internal Supplier Database , Maximo, CC&amp;B Billing, Coal Optimization, Prism, SAP MDM, Microsoft dynamix CRM (refer to list of system to be integrated)? Provide more details including available methods/mechanism to meet this requirement - API's, Bus Integration Middleware etc.</t>
  </si>
  <si>
    <t>Does the application support standard protocols such as  SOAP, HTML, JMS etc?</t>
  </si>
  <si>
    <t>How does the system support Application Business Services that can receive an Integration reply with a full-service response (pre-defined message structure) in case the Application is invoking an Integration Web Service? Provide details on how will this requirement be achieved.</t>
  </si>
  <si>
    <t>How does the system provide application Business Services that can communicate via One-Way or Two-Way certificate (SSL/TLS) to secure the channel? Provide more details to substantiate your response.</t>
  </si>
  <si>
    <t>How does the system provide application Business Services that support Basic Authentication for Web Services, Database or SFTP for Authentication security. Provide more details to substantiate your response.</t>
  </si>
  <si>
    <t>How does the system provide application Business Service with the capability to distinguish between Technical and Business error and handle each one in a separate manner? Provide more details to substantiate your response.</t>
  </si>
  <si>
    <t>Does the system have ability to manage instances where the same record is publish multiple time, without creating duplicates? Provide more details to support your response.</t>
  </si>
  <si>
    <t>What is your SaaS pricing model for the capabilities being evaluated?
(Upfront commitment: fixed license volume with no downward elasticity
Hybrid: fixed baseline volume for a set period with the ability to flex up and down from this baseline
Entirely consumption-based: flexible volume based on usage)</t>
  </si>
  <si>
    <t>Provide a clear and detailed description of your SaaS pricing model, specifically indicating which of the above models applies to your offering. This should include:
The selected pricing model (one or more of the listed options)
Terms and conditions associated with the model (e.g., minimum commitment, flexibility, billing frequency)
Any supporting documentation or pricing tables that clarify how costs are calculated
If applicable, justification or explanation of how the model aligns with the capabilities being evaluated</t>
  </si>
  <si>
    <t>100%: Entirely consumption-based: flexible volume based on usage,
50%: Hybrid: fixed baseline volume for a set period with the ability to flex up and down from this baseline,
0%:    Upfront commitment: fixed license volume with no downward elasticity</t>
  </si>
  <si>
    <t>Are there any embedded costs within the solution?  E.g. supplier costs associated with system use etc.</t>
  </si>
  <si>
    <t>Provide a formal statement confirming whether any hidden or embedded costs exist, and if so, providing full transparency.</t>
  </si>
  <si>
    <t>100%: No,
0%:     Yes</t>
  </si>
  <si>
    <t>If there are embedded costs, what is the pricing model?</t>
  </si>
  <si>
    <t>Provide supporting documents such as pricing schedules, rate cards, or pricing models that outline these embedded costs</t>
  </si>
  <si>
    <t>100%: Entirely consumption-based: flexible volume based on usage or there are no embedded costs,
50%: Hybrid: fixed baseline volume for a set period with the ability to flex up and down from this baseline,
0%:    Upfront commitment: fixed license volume with no downward elasticity</t>
  </si>
  <si>
    <t>Does your contract include nondiminishment of the functionality and its end-of-life protection over the course of the term?</t>
  </si>
  <si>
    <t>Provide a clear contractual clause or formal statement in the contract:
- confirming that the solution’s functionality will not be diminished during the contract term.
- assurance that features, capabilities, and performance levels will be maintained or improved.</t>
  </si>
  <si>
    <t>100%: Yes,
0%:     No</t>
  </si>
  <si>
    <t>Does your contract include nonrebundling or renaming protections of  functionality/package offering over the course of the term?</t>
  </si>
  <si>
    <t>Provide a clear contractual clause or formal statement in the contract where this is addressed.</t>
  </si>
  <si>
    <t>Does your contract include nondiminishment of its terms/policies/agreements over the course of the term?</t>
  </si>
  <si>
    <t>Is your renewal price cap uplift a locked-in one-time flat uplift or an annual uplift?</t>
  </si>
  <si>
    <t>100%: Annual uplift,
0%: Locked in one time flat uplift</t>
  </si>
  <si>
    <t xml:space="preserve">Do you offer customers the ability to reduce their license quantities by a certain percentage at renewal without repricing? </t>
  </si>
  <si>
    <t xml:space="preserve">100%: Yes,
0%:     No </t>
  </si>
  <si>
    <t>Does your contract allow termination at the vendors discretion during contract or at renewal?</t>
  </si>
  <si>
    <t xml:space="preserve">100%:  Allows termination during contract term based on predefined conditions,
0%:     No </t>
  </si>
  <si>
    <t xml:space="preserve">Are innovations or upgrades included in customers subscription fees? </t>
  </si>
  <si>
    <t>Does your contract offer flexibility  not to require payments until full production is achieved during customers implementation? i.e. only implementation license costs are billed during the implementation phase</t>
  </si>
  <si>
    <t xml:space="preserve">Does your contract offer the ability for customers to ramp up functionalities/products over the term? </t>
  </si>
  <si>
    <t xml:space="preserve">Is the storage unlimited for all of the proposed capabilities? </t>
  </si>
  <si>
    <t>Are higher levels of encryption (at rest and in transit) possible without additional fees?</t>
  </si>
  <si>
    <t>Do you offer multiple levels of SaaS support at no additional cost?</t>
  </si>
  <si>
    <t xml:space="preserve">Do you offer additional tenants (aside from the production/live tenant) in the subscription fees?
Specify how many. </t>
  </si>
  <si>
    <t>100%: Dev; QA and production for each instance,
50%: Production and QA,
0%: Only production environment</t>
  </si>
  <si>
    <t xml:space="preserve">Do you allow customers the ability to access or download their data during the term? </t>
  </si>
  <si>
    <t xml:space="preserve">If data can only be downloaded by the vendor, are the costs for the requested data download(s) included in the subscription fees? </t>
  </si>
  <si>
    <t xml:space="preserve">Does your contract include information about the format for customer data downloads? </t>
  </si>
  <si>
    <t xml:space="preserve">Is the file size of customer data downloads unlimited? </t>
  </si>
  <si>
    <t xml:space="preserve">Do you offer a SaaS service-level agreements (SLA)? </t>
  </si>
  <si>
    <t xml:space="preserve">Provide a detailed service levels </t>
  </si>
  <si>
    <t>What are your  RTO (Recovery Time Objective) and RPO (Recovery Point Objective)?</t>
  </si>
  <si>
    <t>100%: RTO and RPO defined and in line with Eskom's requirement,
50%: Either RPO/RTO defined,
0%:     Not  defined</t>
  </si>
  <si>
    <t xml:space="preserve">Do you proactively send out periodic SLA reports or is it customer's responsibility? </t>
  </si>
  <si>
    <t>Provide samples of SLA reports (Please insert your response)</t>
  </si>
  <si>
    <t xml:space="preserve">Does your contract include credits for SLA misses? </t>
  </si>
  <si>
    <t>Provide a clear contractual clause or formal statement in the contract addressing this.</t>
  </si>
  <si>
    <t xml:space="preserve">Does your contract include the ability for customers to terminate the service for multiple/critical misses of the SLA based on agreed conditions? </t>
  </si>
  <si>
    <t xml:space="preserve">Please attach 12 months of uptime performance history for the capabilities being recommended in the RFP. </t>
  </si>
  <si>
    <t xml:space="preserve">Please attach 12 months of uptime performance history for the capabilities being recommended in the RFP </t>
  </si>
  <si>
    <t>100%: Submitted data demonstrates SLA performance compliant with Eskom's requirements,
50%: Submitted data demonstrates some missed SLA performance with remedial actions listed to bring Sla in line,
0%: Submitted  data demonstrates missed SLA performance not compliant with SLA requirements or no data was submitted</t>
  </si>
  <si>
    <t>Should a data breach occur, does your contract include the ability for customers to terminate because of the event based on predefined criteria</t>
  </si>
  <si>
    <t>Do you allow customers to reassign the agreement in its entirety or in part in cases of corporate reorganization (such as merging, divesting)?</t>
  </si>
  <si>
    <t xml:space="preserve">Do you offer the ability for customers to swap or exchange capabilities/products for like priced capabilities/products during the term? </t>
  </si>
  <si>
    <t>Will you work with any subcontractors to supply SaaS solution to Eskom?</t>
  </si>
  <si>
    <t xml:space="preserve">Does your contract include vendor responsibility for the performance of your subcontractors? </t>
  </si>
  <si>
    <t xml:space="preserve">If Eskom needs to request an extraction of its data upon expiration/termination, when does this request have to be provided? </t>
  </si>
  <si>
    <t>100%: Flexible timelines,
0%:     Strict timelines</t>
  </si>
  <si>
    <t xml:space="preserve">How much time do customers have to review the data upon notification of termination, prior to deletion of this data? </t>
  </si>
  <si>
    <t xml:space="preserve">Does your contract include commitment of  customers notification of the deletion of their data from all environments post-termination? </t>
  </si>
  <si>
    <t xml:space="preserve">Does your contract include a period of time for transition upon termination? </t>
  </si>
  <si>
    <t xml:space="preserve">Does your contract include services during transition period? </t>
  </si>
  <si>
    <t>Do you offer a data processing agreement (DPA) which outlines the roles, responsibilities, and obligations of parties involved in processing personal data?</t>
  </si>
  <si>
    <t>100%: Yes,
0%: No</t>
  </si>
  <si>
    <t>Do you identify locations in the contract where customer's data will be stored and hosted?</t>
  </si>
  <si>
    <t>Does your solution adhere to applicable privacy and protection of personal information Acts such as GDPR in European Union (EU) and POPIA in South Africa (SA) where the cloud service is hosted, and the region where the data subjects are physically located and processed?</t>
  </si>
  <si>
    <t>100%: POPIA jurisdiction - solution hosted and data processed in RSA,
50%: GDPR jurisdiction - solution hosted and data processed in GDPR jurisdiction,
0%: solution hosted and data processed outside of RSA and GDPR jurisdiction areas</t>
  </si>
  <si>
    <t>Provide mechanisms to be used to manage and protect personal data of suppliers, employees and stakeholders</t>
  </si>
  <si>
    <t>100%: Fully comply with requirement,
50%: Partially compliant,
0%: No compliance</t>
  </si>
  <si>
    <t>Does your contract include clauses for cross-border data transfer requirements and other such safeguards?</t>
  </si>
  <si>
    <t>100%:Yes,
0%: No</t>
  </si>
  <si>
    <t>Do you use 3rd parties in the hosting and processing of data?</t>
  </si>
  <si>
    <t>If yes, do the 3rd parties comply with applicable privacy and protection of personal information Acts such as GDPR in European Union (EU) and POPIA in South Africa (SA) where the cloud service is hosted, and the region where the data subjects are physically located.</t>
  </si>
  <si>
    <t>100%: Comply with POPIA act,
50%: Comply with GDPR laws,
0%: Comply with USA and or any other non-GDPR area</t>
  </si>
  <si>
    <t>Does your solution offer any encryption for the processing of data while in transit to and from any processing locations using industry standard encryption (e.g. AES-256, TLS 1.2/1.3)?</t>
  </si>
  <si>
    <t>Do you offer any clauses in your contracts that reflect that Eskom data shall not in any circumstances (incl. black swan events such as war etc.) be used without Eskom's consent?</t>
  </si>
  <si>
    <t>Does your solution support the classification of data into categories (personal, sensitive and confidential data)?</t>
  </si>
  <si>
    <t>Please indicate how your solution ensures that only the necessary data is collected, processed and retained to fulfil procurement and operational requirements</t>
  </si>
  <si>
    <t>Please demonstrate how the SaaS solution ensures compliance with data minimization principles. Provide detail.</t>
  </si>
  <si>
    <t>Please indicate how personal data for suppliers, employees and stakeholders will be stored and processed.</t>
  </si>
  <si>
    <t>100%: Data stored and processed in RSA data centres,
50%: Data stored and or processed in R GDPR jurisdiction,
0%: Data stored and or processed in non RSA and non GDPR jurisdiction</t>
  </si>
  <si>
    <t xml:space="preserve">Do you have a proven track record of data migration for public sector or utilities, especially in procurement? </t>
  </si>
  <si>
    <t>Provide 1 or more references/case studies to similar projects.</t>
  </si>
  <si>
    <t>100%: 1 or more compliant references provided,
50%: 1 or more references with companies in private sector/nonutilities,
0%:     No references provided</t>
  </si>
  <si>
    <t>Do you have certifications/partnerships with major technology providers (e.g. SAP, Microsoft, Oracle etc)</t>
  </si>
  <si>
    <t>Vendor to provide CVs of the resources with all relevant years of experience, project dates, duration of execution, and client contact information.</t>
  </si>
  <si>
    <t>100%: Fully comply with requirement,
50%: Partially compliant,
0%:     No compliance</t>
  </si>
  <si>
    <t xml:space="preserve">Do you have an experienced team with domain experience in procurement data migration? </t>
  </si>
  <si>
    <t>Provide proof of existing expertise</t>
  </si>
  <si>
    <t>Ability to conduct a thorough analysis of existing data sources.</t>
  </si>
  <si>
    <t>Provide a proposed project management methodology to be used and the phases included in the methodology in line with the delivery of this project.</t>
  </si>
  <si>
    <t xml:space="preserve">Expertise in identifying data redundancies, inconsistencies, or gaps in legacy systems. </t>
  </si>
  <si>
    <t>Provide evidence of the expertise</t>
  </si>
  <si>
    <t>Provide a clear and structured approach for data extraction, transformation, and loading (ETL).</t>
  </si>
  <si>
    <t>Provide the approach.</t>
  </si>
  <si>
    <t>Provide  proven use of data migration tools or tools suitable for eProcurement.</t>
  </si>
  <si>
    <t>Provide the specification sheet of the migration tool or confirmation from the migration tool OEM on capability.</t>
  </si>
  <si>
    <t>Do you have capability to handle Eskom’s procurement data (80GB of largely structured data)?</t>
  </si>
  <si>
    <t xml:space="preserve">Provide proof of successful data migrations at this scale. </t>
  </si>
  <si>
    <t>100%: Yes;1 or more testimonial with data at similar scale,
50%: Yes; no testimonial,
0%:     No  and no testimonial</t>
  </si>
  <si>
    <t>Do you have capability to support migration of both structured and unstructured data?</t>
  </si>
  <si>
    <t xml:space="preserve">Do you have the capability to encrypt and apply secure transfer protocols of data during and after migration? </t>
  </si>
  <si>
    <t xml:space="preserve">Do you have the capability to handle sensitive or classified data securely? </t>
  </si>
  <si>
    <t xml:space="preserve">Do you have the capability to provide traceability and logging of all data migration activities? </t>
  </si>
  <si>
    <t xml:space="preserve">Do you have automated tools for pre- and post migration data validation? </t>
  </si>
  <si>
    <t>Vendor to provide the name of the migration tool that will be used.</t>
  </si>
  <si>
    <t>Do you have capability to identify and remove duplicate, or outdated irrelevant data?</t>
  </si>
  <si>
    <t xml:space="preserve">Do you apply robust testing plans to verify data accuracy after migration? </t>
  </si>
  <si>
    <t>Vendor to provide the approach for testing  to verify data accuracy after migration</t>
  </si>
  <si>
    <t>Provide clear project phases for data assessment, migration testing, and go live.</t>
  </si>
  <si>
    <t>Provide the approach for project phases for data assessment, migration testing, and go live.</t>
  </si>
  <si>
    <t>Indicate strategies to be deployed to reduce disruptions to Eskom's procurement processes during migration.</t>
  </si>
  <si>
    <t>Indicate which industry data formats you support  (e.g. XML, JSON, CSV etc.)</t>
  </si>
  <si>
    <t>Provide supported industry data formats</t>
  </si>
  <si>
    <t>Do you offer user training for Eskom's staff on data handling in the new system?</t>
  </si>
  <si>
    <t>Provide a proposed user training approach.</t>
  </si>
  <si>
    <t>Provide a proposal for ongoing support for data related troubleshooting and optimisation.</t>
  </si>
  <si>
    <t>Provide a proposed ongoing support for data related troubleshooting and optimisation approach.</t>
  </si>
  <si>
    <t>Do you have AI/ML for automated data mapping, cleansing, and error detection?</t>
  </si>
  <si>
    <t xml:space="preserve">Do you have data archiving tools and expertise? </t>
  </si>
  <si>
    <t>List tools and provide evidence of expertise</t>
  </si>
  <si>
    <t xml:space="preserve">Third-party Attestation Reports 
The Tenderer shall have a valid SOC 1 Type II and SOC 2 Type II Reports for the proposed SaaS solution. </t>
  </si>
  <si>
    <t>The Tenderer is required to submit a valid SOC 1 Type II and SOC 2 Type II.
 If the SOC 1 Type II and SOC 2 Type II report are older than six (6) months, the Tenderer is required to submit a Bridge Letter.</t>
  </si>
  <si>
    <t>100%: Fully Comply,
0%:     No Compliance</t>
  </si>
  <si>
    <t xml:space="preserve">ISO27001
The Tenderer shall have a valid ISO27001 certificates. </t>
  </si>
  <si>
    <t>The Tenderer is required to submit the ISO27001 certificates.</t>
  </si>
  <si>
    <t xml:space="preserve">ISO27017
The Tenderer shall have a valid ISO27017 certificates. </t>
  </si>
  <si>
    <t>The Tenderer is required to submit the ISO27017 certificates.</t>
  </si>
  <si>
    <t xml:space="preserve">ISO27018
The Tenderer shall have a valid ISO27018 certificates. </t>
  </si>
  <si>
    <t>The Tenderer is required to submit the ISO27018 certificates.</t>
  </si>
  <si>
    <t>Microsoft (MS) on-prem active directory (AD) and MS Entra Identity (ID) 
The proposed SaaS solution shall be able to integrate with MS AD, and Entra ID and support SAML 2.0 and Oauth 2.0 to enable MFA and SSO.</t>
  </si>
  <si>
    <t>The Tenderer is required to submit Technical Proposal, Data Sheet and Technical specification.</t>
  </si>
  <si>
    <t xml:space="preserve">RBAC
The proposed SaaS solution shall support and employ RBAC mechanism. </t>
  </si>
  <si>
    <t>Encryption Standard
The proposed SaaS solution shall  encrypt data at rest using at minimum AES-256, in use and  in transit (or in motion) using at minimum TLS 1.3 or later version.</t>
  </si>
  <si>
    <t xml:space="preserve">Audit Trails, Logs, User and Activity Logs. The proposed SaaS solution shall have audit trails, logs, user administration and user activity logs enabled, encrypted (Using AES-256), and securely kept with limited access to administrators. </t>
  </si>
  <si>
    <t xml:space="preserve">Data Masking
Sensitive data such as PII shall be masked on the non-production (DEV/TEST) environments lessen exposure. </t>
  </si>
  <si>
    <t xml:space="preserve">Daily Incremental Back Ups
Incremental daily back-ups shall be done, encrypted (Using AES-256), and securely kept offsite. </t>
  </si>
  <si>
    <t xml:space="preserve">Real-time data synchronization or data replication
The Tenderer shall employ real-time data synchronization or data replication to a secondary or disaster recovery (DR) site, located in different region. </t>
  </si>
  <si>
    <t xml:space="preserve">Patch Management
Patch Management Process  shall be defined. Software updates and patches shall be tested on development environment prior being deployed into production environment. </t>
  </si>
  <si>
    <t xml:space="preserve">POPIA Compliance
The Tenderer shall comply with applicable privacy and protection of personal information Acts such as GDPR in European Union (EU) and POPIA in South Africa (SA) where the cloud services are hosted, the region where the data is collected and the region where the data subjects are physically located. If hosted in EU, the Tenderer shall confirm that the data of the natural and juristic persons personal Identifiable Information (PII) will be protected. </t>
  </si>
  <si>
    <t>The Tenderer is required to submit Technical Proposal, Data Sheet and Technical specification. The Tenderer is required to submit the POPIA compliance certificate, Technical Proposal, Data Sheet and Technical specification.</t>
  </si>
  <si>
    <t xml:space="preserve">Confidentiality or Privacy Policy 
The Tenderer shall have a confidentiality and/or privacy policy with regards to its employees, partners and subcontractors. </t>
  </si>
  <si>
    <t>The Tenderer is required to the valid submit the Confidentiality and Privacy Policy.</t>
  </si>
  <si>
    <t xml:space="preserve">Application Security (AppSec) Tests
The Tenderer shall perform static application security test (SAST), dynamic application security test (DAST), vulnerability assessment, and  penetration test prior deploying the cloud system to production environments. </t>
  </si>
  <si>
    <t>The Tenderer is required to submit the recent SAST/DAST, Vulnerability and Pen test Results.</t>
  </si>
  <si>
    <t xml:space="preserve">Cyber or Data Breach Incident Notification
The Tenderer shall have formal notification process to notify customers of cyber attack and data breach incidents. Please specify the SLA. </t>
  </si>
  <si>
    <t>The Tenderer is required to submit an SLA, Contract and MSA which depicts the notification process including timeframes.</t>
  </si>
  <si>
    <t xml:space="preserve">Significant Changes Notification
The Tenderer shall notify Eskom if there are any significant changes to the business, platform, cloud services and hosting service provider (sub-service organisation) or any change that could have an impact the security assessment conducted prior contract award and the auditor’s opinion on the SOC audits.
The Tenderer shall have 1 month, 6 months and 12 months SLA in place. </t>
  </si>
  <si>
    <t xml:space="preserve">Database Security Management
 1. The Tenderer shall place the database behind the perimeter firewall.
2. The Tenderer shall employ database security management tool to provide regulatory compliance (Such as POPIA and GDPR), encryption, key management, granular access controls, flexible data masking, comprehensive activity monitoring, and sophisticated auditing capabilities. </t>
  </si>
  <si>
    <t xml:space="preserve">Distributed Denial of Service (DDoS) Protection Mechanism
The proposed SaaS solution shall employ DDoS protection mechanism. </t>
  </si>
  <si>
    <t xml:space="preserve">WAF
The Tenderer shall employ Web Application Firewall (WAF) for all internet facing applications and/or web-based applications employed. </t>
  </si>
  <si>
    <t xml:space="preserve">Integration Security
The proposed SaaS solution shall support the prevailing enterprise services bus (ESB), application programmable interfaces (API’s) and Integration Platform as a Service (iPaaS) platforms for security, logging and monitoring for both on-prem, hybrid-cloud and multi-cloud environments. </t>
  </si>
  <si>
    <t xml:space="preserve">e-Discovery
The proposed SaaS solution shall provide e-Discovery capability to identify, collect and produce electronically stored information (ESI) in response to a request for production in a lawsuit or investigation as part of the cloud services offered. </t>
  </si>
  <si>
    <t xml:space="preserve">DRP/IRM
1. The Tenderer shall have Disaster Recovery Plan (DRP), Incident Response Management (IRM) and Back up Restore Plan defined, annually tested.
2. The Tenderer shall have Incident Response Management (IRM) process defined, and part of the service level agreement (SLA) and master service agreement (MSA). </t>
  </si>
  <si>
    <t>The Tenderer is required to submit the recent DRP Test, Back up Restore Results and the IRM process.</t>
  </si>
  <si>
    <t xml:space="preserve">Security Information and Event Management (SIEM) Integration
The proposed solution shall be able to integrate with SIEM  using standard technologies such as Syslog, application programmable interface (AP)I, Forwarders, and Windows Events, but not limited to these listed. </t>
  </si>
  <si>
    <t> </t>
  </si>
  <si>
    <t xml:space="preserve">Functional: Supplier Quality Management </t>
  </si>
  <si>
    <t>CORP xxxx Tender</t>
  </si>
  <si>
    <t>Scoring (Sliding scale)</t>
  </si>
  <si>
    <t>Tenderer:</t>
  </si>
  <si>
    <t>100% - Fully compliant</t>
  </si>
  <si>
    <t>Evaluated by:</t>
  </si>
  <si>
    <t>50%-Partially compliant</t>
  </si>
  <si>
    <t>0%-Non compliance</t>
  </si>
  <si>
    <t>Evaluation Criteria</t>
  </si>
  <si>
    <r>
      <t>Supplier  Compliance</t>
    </r>
    <r>
      <rPr>
        <sz val="10"/>
        <color rgb="FF000000"/>
        <rFont val="Arial"/>
        <family val="2"/>
      </rPr>
      <t xml:space="preserve">
Full Compliance</t>
    </r>
    <r>
      <rPr>
        <b/>
        <sz val="10"/>
        <color rgb="FF000000"/>
        <rFont val="Arial"/>
        <family val="2"/>
      </rPr>
      <t xml:space="preserve"> - Y</t>
    </r>
    <r>
      <rPr>
        <sz val="10"/>
        <color rgb="FF000000"/>
        <rFont val="Arial"/>
        <family val="2"/>
      </rPr>
      <t xml:space="preserve">
Partial Compliance</t>
    </r>
    <r>
      <rPr>
        <b/>
        <sz val="10"/>
        <color rgb="FF000000"/>
        <rFont val="Arial"/>
        <family val="2"/>
      </rPr>
      <t xml:space="preserve"> - P</t>
    </r>
    <r>
      <rPr>
        <sz val="10"/>
        <color rgb="FF000000"/>
        <rFont val="Arial"/>
        <family val="2"/>
      </rPr>
      <t xml:space="preserve">
Non</t>
    </r>
    <r>
      <rPr>
        <b/>
        <sz val="10"/>
        <color rgb="FF000000"/>
        <rFont val="Arial"/>
        <family val="2"/>
      </rPr>
      <t xml:space="preserve"> </t>
    </r>
    <r>
      <rPr>
        <sz val="10"/>
        <color rgb="FF000000"/>
        <rFont val="Arial"/>
        <family val="2"/>
      </rPr>
      <t>Compliance</t>
    </r>
    <r>
      <rPr>
        <b/>
        <sz val="10"/>
        <color rgb="FF000000"/>
        <rFont val="Arial"/>
        <family val="2"/>
      </rPr>
      <t xml:space="preserve"> - N</t>
    </r>
  </si>
  <si>
    <t>Supplier  to indicate any applicable comments based on Compliance</t>
  </si>
  <si>
    <r>
      <t>Priority</t>
    </r>
    <r>
      <rPr>
        <sz val="10"/>
        <color rgb="FF000000"/>
        <rFont val="Arial"/>
        <family val="2"/>
      </rPr>
      <t xml:space="preserve">
Requirement priority as determined by Eskom</t>
    </r>
  </si>
  <si>
    <r>
      <t>Weight</t>
    </r>
    <r>
      <rPr>
        <sz val="10"/>
        <color rgb="FF000000"/>
        <rFont val="Arial"/>
        <family val="2"/>
      </rPr>
      <t xml:space="preserve">
(agreed by evaluation team members)</t>
    </r>
  </si>
  <si>
    <r>
      <t>Score</t>
    </r>
    <r>
      <rPr>
        <sz val="10"/>
        <color rgb="FF000000"/>
        <rFont val="Arial"/>
        <family val="2"/>
      </rPr>
      <t xml:space="preserve">
(determined by each evaluation team member during evaluation. Will be averaged for final scores)</t>
    </r>
  </si>
  <si>
    <t>CONCENSUS
SCORE</t>
  </si>
  <si>
    <t>Comments (Internal) for scorer</t>
  </si>
  <si>
    <t>ID</t>
  </si>
  <si>
    <t>Type</t>
  </si>
  <si>
    <t>Criterion</t>
  </si>
  <si>
    <t>Functional Requirement</t>
  </si>
  <si>
    <t>Requirement description</t>
  </si>
  <si>
    <t>Supplier  Compliance</t>
  </si>
  <si>
    <t>Comments</t>
  </si>
  <si>
    <t>Weighted Question</t>
  </si>
  <si>
    <t>Answer
(0,50,100%)</t>
  </si>
  <si>
    <t>Weighted Answer</t>
  </si>
  <si>
    <t>Meeting the Scope of Work Required</t>
  </si>
  <si>
    <t xml:space="preserve">The solution should  have an ability to manage  conduct work ticketing system required to manage requests  received for quality management </t>
  </si>
  <si>
    <t xml:space="preserve">Does your solution should have ability conduct generate reference number (ticket system) for the work conducted to manage requests received for quality management </t>
  </si>
  <si>
    <t>100%: Fully comply with requirement
50%:   Partially comply will require development/ customisation
0%:     No compliance</t>
  </si>
  <si>
    <t xml:space="preserve">The solution should  have an ability to perform  action management for plans </t>
  </si>
  <si>
    <t xml:space="preserve">Does your solution have an ability to perform action management for plans </t>
  </si>
  <si>
    <t xml:space="preserve">The solution should have an ability to  develop, assess &amp; manage a checklist of  tems to  set quality requirements , evaluate quality returnables and supplier capability assessement and for supplier auditing </t>
  </si>
  <si>
    <t xml:space="preserve">Functional Requirement-Quality Assurance </t>
  </si>
  <si>
    <t>Does your solution have an ability to develop, assess &amp; manage a checklist of tems to set quality requirements , evaluate quality returnables and supplier capability assessement and for supplier  auditing</t>
  </si>
  <si>
    <t>The solution should able  to specify &amp; manage quality requirements throughout the procurement lifecycle</t>
  </si>
  <si>
    <t xml:space="preserve">Functional Requirement-Supplier Quality Assurance </t>
  </si>
  <si>
    <t>Does your solution have an ability to specify &amp; manage quality requirements throughout the procurement lifecycle to be link to the SAP Procurement /digital P&amp;SCM Solution initiative for (Tender Strategy, Clarification meeting , Evaluation,  Negotiation meetings,  Contract Award)</t>
  </si>
  <si>
    <t>The solution should support for integrated/external document system (storage of generated documents by the system)
- Ability to record management reviews
-Record, track and manage quality related stakeholders and resources
-Storage of Inspection records with real time pictures/images &amp; rich media
-Ability to develop multiple taxonomies to link programmes/projects to systems, plant, equipment, components with attributes e.g. RTS Programme, Grootvlei, Unit 1, Turbine, Turbine Blades
-Ability to manage and store Historical information, reports &amp; records</t>
  </si>
  <si>
    <t xml:space="preserve">Does solution provide  support for integrated/external document system (storage of generated documents by the system)
Integration with  iGRC system </t>
  </si>
  <si>
    <t xml:space="preserve">The solution should have the ability to  Approved Supplier List and  to conduct  Supplier Registration reviews for quality to be linked to the Digital P&amp;SCM Solution initiative
The ability to provide system access to both internal &amp; external users via a standard internet browser </t>
  </si>
  <si>
    <r>
      <t xml:space="preserve">The solution should have the ability to </t>
    </r>
    <r>
      <rPr>
        <b/>
        <sz val="10"/>
        <color rgb="FF000000"/>
        <rFont val="Arial"/>
        <family val="2"/>
      </rPr>
      <t xml:space="preserve"> Approved Supplier List </t>
    </r>
    <r>
      <rPr>
        <sz val="10"/>
        <color rgb="FF000000"/>
        <rFont val="Arial"/>
        <family val="2"/>
      </rPr>
      <t>and  to conduct  Supplier Registration reviews for quality 
to be linked to the SAP Procurement /digital P&amp;SCM Solution initiative for (Tender Strategy, Clarification meeting , Evaluation,  Negotiation meetings,  Contract Award)</t>
    </r>
    <r>
      <rPr>
        <b/>
        <sz val="10"/>
        <color rgb="FF000000"/>
        <rFont val="Arial"/>
        <family val="2"/>
      </rPr>
      <t xml:space="preserve">
(Integration)</t>
    </r>
  </si>
  <si>
    <t>The solution should have an ability to perform monitoring &amp; reporting of the fully compliant , partial compliant and non compliant  status for completed quality  evalutions</t>
  </si>
  <si>
    <t xml:space="preserve">Does your solution have an ability to perform monitoring &amp; reporting  of the  fully compliant , partial compliant and non compliant  status for completed quality  evalutionsfully compliant , partial compliant and non compliant status </t>
  </si>
  <si>
    <t>The solution should have an ability to conduct supplier capability and capacity assessments ,supplier quality audits , Incidents, nonconformities, quality engineering and quality control
The ability to provide system access to both internal &amp; external users via a standard internet browser</t>
  </si>
  <si>
    <r>
      <rPr>
        <sz val="10"/>
        <color rgb="FF000000"/>
        <rFont val="Arial"/>
      </rPr>
      <t xml:space="preserve">Does your solution have an ability to conduct </t>
    </r>
    <r>
      <rPr>
        <b/>
        <sz val="10"/>
        <color rgb="FF000000"/>
        <rFont val="Arial"/>
      </rPr>
      <t>supplier capability and capacity assessments ,supplier quality audits</t>
    </r>
    <r>
      <rPr>
        <sz val="10"/>
        <color rgb="FF000000"/>
        <rFont val="Arial"/>
      </rPr>
      <t xml:space="preserve"> , Incidents, nonconformities, quality engineering and quality controllink to the SAP Procurement /digital P&amp;SCM Solution initiative for (Tender Strategy, Clarification meeting , Evaluation, Negotiation meetings,  Contract Award)
(Integrate to iGRC  Audit Management and Risk Management, Incident Management Capability )</t>
    </r>
  </si>
  <si>
    <t>The solution should ability to maintain alignment with the  Procurement and supply chain supplier list to  conduct  supplier Registration reviews for quality</t>
  </si>
  <si>
    <t xml:space="preserve">Does your solution have an ability to  conduct supplier registration reviews for quality </t>
  </si>
  <si>
    <t>The solution should have an ability to perform supplier quality monitoring and  perform action management</t>
  </si>
  <si>
    <t xml:space="preserve">Does your solution have an ability to conduct supplier quality monitoring and  perform action management for (Tender Strategy, Clarification meeting , Evaluation,Negotiation meetings,  Contract Award)(Integration)
to  link to the iGRC solutoion </t>
  </si>
  <si>
    <t xml:space="preserve">The solution should manage the quality inspection capability as follows:
-Inspection &amp; Test Plan (ITP) schedules, outcomes, records and reports
-Ability to receive &amp; dispatch inspection notifications
-Concession management </t>
  </si>
  <si>
    <t>Does your solution have an ability for Quality Control activities third (3rd) party access to suppliers
Integrate with SAP Plant Maintenance</t>
  </si>
  <si>
    <t>The solution should have an ability to manage  nonconformity action management resolutions with escalations capability through workflow processes also analytic capability on inspection/survey results according to international standards methods and frameworks (e.g. 6M method)
- Ability to manage action plans ( corrective and preventive) ,Ability to prioritise actions ,Ability to assess remediation activities,manage close out on actions
-Functionality to enable Eskom's contracted external inspectors to input findings, reports on NC's directly into system, or for system to interface with external systems to access inspection data &amp; reports</t>
  </si>
  <si>
    <t xml:space="preserve">Does the solution have ability to manage  nonconformity, corrective action and preventive action management capability </t>
  </si>
  <si>
    <t>The solution should have an ability to flag/ block suppliers that are not complyng /conforming to  the quality criteria such that payment can be linked to the resolution of defects</t>
  </si>
  <si>
    <t xml:space="preserve">Does your solution have an ability to be link to the SAP Procurement /digital P&amp;SCM Solution initiative for (Tender Strategy, Clarification meeting , Evaluation, Negotiation meetings,  Contract Award)
(Integration) </t>
  </si>
  <si>
    <t xml:space="preserve">The solution should have an ability to  intergate to Ekom Quality Health Index QM Dashboard for the whole organsation  with escalations capability through workflow processes also analytic capability on results in iGRC </t>
  </si>
  <si>
    <t xml:space="preserve">Does your solution have an ability to intergrate to the Eskom  Quality Health Index - iGRC </t>
  </si>
  <si>
    <t>The solution should  have an ability to have access to results feedback/report from internal and  external parties an ability to view of relevant documents (e.g.  Reports/emais) also to mange customer feeddback (e.g compliments ,complaints etc)with escalations capability through workflow processes also analytic capability on survey result</t>
  </si>
  <si>
    <t>Does your solution should have an ability to have access to results feedback/report from internal and external parties an ability to view of relevant documents (e.g. reports/emails)
Does your solution have an ability to manage customer feedback (e.g compliments,complaints etc)</t>
  </si>
  <si>
    <t xml:space="preserve">The solution should have an ability to perform Quality Benchmarking Assessment using  (240-161191572) Quality Benchmarking Assessment Tool </t>
  </si>
  <si>
    <t>Does your solution have an ability  to perform Quality Benchmarking Assessment using Quality Benchmarking Assessment Tool</t>
  </si>
  <si>
    <t>The solution should  have an abiility to mange sharing of lessons learned and other relevant information across business units</t>
  </si>
  <si>
    <t xml:space="preserve">Does your solution have an ability to manage sharing of lessons learned and other relevant information across business units  </t>
  </si>
  <si>
    <t>Totals</t>
  </si>
  <si>
    <t>Scored By</t>
  </si>
  <si>
    <t>Name</t>
  </si>
  <si>
    <t>Unique Number</t>
  </si>
  <si>
    <t>Date</t>
  </si>
  <si>
    <t>Signature</t>
  </si>
  <si>
    <t>Eskom Group Technology:
 Technical Evaluation Criteria</t>
  </si>
  <si>
    <t>Ability to indicate the type of transaction for the PR to be created:
- Sole Source
- Single Source
- Formal Tender
- Informal Tender
- Low Value Transactions 
- Condonations
- Contract Modifications
- Emergency
- Urgent
- Local Purchase Orders 
(This field is mandatory)</t>
  </si>
  <si>
    <t>Show or demonstrate how this is achieved in your solution.</t>
  </si>
  <si>
    <t>100%: Supported as delivered "out of the box",
75%: Supported via modifications (config),
50%: Supported via a third party solution
25%: Supported via customisation (source code changes),
 0%: Not currently supported</t>
  </si>
  <si>
    <t>100%: Fully comply with requirement</t>
  </si>
  <si>
    <t>50%: Partially compliant</t>
  </si>
  <si>
    <t>0%: Not compliant</t>
  </si>
  <si>
    <t>Ability to flag if a PR is a designated sector commodity. This is mandatory and should be based on a predefined list</t>
  </si>
  <si>
    <t xml:space="preserve">Ability to flag if a PR is for a construction project </t>
  </si>
  <si>
    <t>Ability to trigger a transaction flow for each type of transaction specified e.g.
- Sole Source
- Single Source
- Formal Tender
- Informal Tender
- Low Value Transactions 
- Condonations
- Contract Modifications
- Emergency
- Urgent
- Local Purchase Orders 
(This field is mandatory)</t>
  </si>
  <si>
    <t>Ability to validate the PR against a predefined checklist template based on the transaction type specified upon PR creation: (different templates per transaction type)
- signed off  sole source justification (where it applies)
- signed off budget letter (with values reflecting in the PR)
- signed off technical specifications
- signed off evaluation criteria
- confirmation of appointed Contract Manager
- signed off appointment letter of technical leads and contract manager
- signed off Non Disclosure Agreements for technical leads and contract manager requirements 
- contract order date</t>
  </si>
  <si>
    <t>Ability to store, search and retrieve all PR documentation and attachments in the system in a pdf format</t>
  </si>
  <si>
    <t>Ability to process a PO checklist based on a predefined template before a PO is created</t>
  </si>
  <si>
    <t>Ability to create a procurement strategy based on a template</t>
  </si>
  <si>
    <t>Ability to generate historical spend report /conduct spend analysis for commodities in the procurement strategy</t>
  </si>
  <si>
    <t xml:space="preserve">Ability for the buyer to create an RFQ/enquiry in the system </t>
  </si>
  <si>
    <t xml:space="preserve">Ability  to indicate the type of enquiry: 
If Open or Closed tender / restricted or LPO as well as to be able to further distinguish if its informal or formal tender or Sole / Single source or Emergency
</t>
  </si>
  <si>
    <t>Ability to indicate if eAuction will be used. This is a mandatory field</t>
  </si>
  <si>
    <t>Ability to indicate the type of eAuction that will be run once eAuction is selected</t>
  </si>
  <si>
    <t>Ability to update RFQ/enquiry information in underlying source system 
(Please note integration to Eskom's application will be required)</t>
  </si>
  <si>
    <t xml:space="preserve">Ability to report on the deviation between procurement strategy and enquiry document
e.g., 80/20 planned vs 90/20 issued in the enquiry </t>
  </si>
  <si>
    <t>Ability to  integrate with external 3rd party databases to obtain supplier data (CSD , VRP etc.)</t>
  </si>
  <si>
    <t>Ability to select potential suppliers from the CSD based on business rules for low value tenders</t>
  </si>
  <si>
    <t>Ability to ensure that selected suppliers are rotated (based on business rules) to ensure fairness</t>
  </si>
  <si>
    <t>Ability to approve selected suppliers from the CSD via a workflow</t>
  </si>
  <si>
    <t>Ability to create an enquiry document (with all information captured in the system)</t>
  </si>
  <si>
    <t>Ability to issue one enquiry /RFQ to many suppliers with CSD#</t>
  </si>
  <si>
    <t>Ability to generate the enquiry  number. The tool should be able to issue the enquiry / reference number for all tender submissions
Business Rule: Drop-off link with expiry date as per Tender closing date should be created</t>
  </si>
  <si>
    <t xml:space="preserve">Ability to use the enquiry / reference number for tracking the submission
</t>
  </si>
  <si>
    <t xml:space="preserve">Ability to optionally invite suppliers (for closed and restricted tenders) or publish to tender bulletin </t>
  </si>
  <si>
    <t>Ability to invite suppliers to an open and closed / restricted tender via the system and to be able  to generate an email for closed and restricted tenders</t>
  </si>
  <si>
    <t>Ability to provide confidentiality of supplier information when communicating to suppliers via email i.e. no supplier should have access to any other supplier information even in email communication</t>
  </si>
  <si>
    <t>Ability to calculate and provide tender/enquiry closing date based on embedded intelligence and business rules ( e.g. 21 days for Formal vs 5 days for informal tenders)
- Formal tender : 21 days
- Informal render: 5 days
- LPO : 1 day</t>
  </si>
  <si>
    <t>Ability to specify tender mechanism Business Rule: Mechanism can be open, tender, restricted/closed tender, sole source</t>
  </si>
  <si>
    <t>Ability to indicate if the tender is a reissue (and if so the previous enquiry number and the reason for the reissue)</t>
  </si>
  <si>
    <t xml:space="preserve">Ability to specify the mandatory receivables, the technical specifications as well as the financial criteria (90/10 or 80/20). </t>
  </si>
  <si>
    <t>Ability to generate an enquiry document based on pre-populated information
Enquiry Completion Form:
- Allocated buyer
- Enquiry #,
- Type of tender etc.</t>
  </si>
  <si>
    <t>Ability to report on enquiry related data:
- Allocated buyer
- Enquiry #,
-Type of tender etc.</t>
  </si>
  <si>
    <t>Provide visibility of active tenders:
- open tenders
-closing dates
-type of tenders
-allocated resources</t>
  </si>
  <si>
    <t>Ability to update the tender closure date</t>
  </si>
  <si>
    <t>Ability to approve modifications to tender closure dates via a workflow</t>
  </si>
  <si>
    <t xml:space="preserve">Currently, the advertised tenders are displayed on both Eskom &amp; National Treasury’s Tender Bulletins. Ability to publish on external tender bulletins website via integration e.g. Construction Industry Development Board (CIDB)
(Please note integration to Eskom's application and external application will be required)
</t>
  </si>
  <si>
    <t>Ability to check the supplier compliance status in the Central Supplier Database 
e.g. Tax status</t>
  </si>
  <si>
    <t>Ability for an end user to request Local Purchase Order request via the system (possibly using a template)</t>
  </si>
  <si>
    <t>Ability to issue a tender within fast tracked timelines (Flexibility around tender closure dates)</t>
  </si>
  <si>
    <t>Ability to integrate the responses from the suppliers to the end user LPO via the system</t>
  </si>
  <si>
    <t xml:space="preserve">Ability for RFQ to be approved by the end user, line manager via a workflow. </t>
  </si>
  <si>
    <t>Ability for emergency procurement to be approved via workflow</t>
  </si>
  <si>
    <t xml:space="preserve">Ability for end user to request quote from a supplier in a case of emergency
</t>
  </si>
  <si>
    <t>Ability to request Supplier to register on CSD if not registered</t>
  </si>
  <si>
    <t>Ability for supplier to submit RFQ details in a case of emergency procurement</t>
  </si>
  <si>
    <t>Ability to attach DAA approval minutes and supporting documentation for emergency procurement</t>
  </si>
  <si>
    <t>Ability for end user to create emergency submission request in the system</t>
  </si>
  <si>
    <t>Emergency submission request approval workflow</t>
  </si>
  <si>
    <t>Ability for supplier to register on the system in order to participate in the procurement process. The following information should be provided:
-  Supplier name
- Supplier Organization
- Supplier official email</t>
  </si>
  <si>
    <t>The ability  of a supplier to receive the invitation to quote/enquiry in the system for restricted tenders</t>
  </si>
  <si>
    <t>Ability to receive invitation to tender via official supplier email (for selected suppliers in restricted/informal tendering)</t>
  </si>
  <si>
    <t>Ability to submit the tenders online (respond to the tender in the system)</t>
  </si>
  <si>
    <t>All bid documents should be submitted in one sitting / session. Partial submission should not be accommodated.
Business Rule: If the supplier re-submit the bid documents, the new submission will replace the previously submitted documents. This information should be clearly stated in the terms and conditions.</t>
  </si>
  <si>
    <t>Ability to communicate mandatory checklist for returnables to Suppliers</t>
  </si>
  <si>
    <t>Ability to prepare and load returnables  into the system
Business Rule: Returnable include price, technical specifications, SHEQ, BBBEE</t>
  </si>
  <si>
    <t>Ability to attach required documentation directly into the system</t>
  </si>
  <si>
    <t>Ability to input pricing information directly into the system</t>
  </si>
  <si>
    <t>Ability to prevent blocked supplier from submitting a tender</t>
  </si>
  <si>
    <t>Ability to receive large documents as part of the returnables</t>
  </si>
  <si>
    <t>Ability to allow access to tender documents only to authorised users once tender closes. These should be securely stored and accessed</t>
  </si>
  <si>
    <t>Ability to close tender based on predefined date and time</t>
  </si>
  <si>
    <t>Ability to provide communication to supplier of successful submission and the timestamp for record purposes. (the timestamp should correspond to the system one)</t>
  </si>
  <si>
    <t>Ability to prevent a supplier to tender for an enquiry that is already closed
Business Rule: If the closing date and time has passed</t>
  </si>
  <si>
    <t>Ability not to modify tender returnables once submitted by the vendor</t>
  </si>
  <si>
    <t>Ability to provide audit trail on all submitted returnables and their state</t>
  </si>
  <si>
    <t>Ability to archive original returnables for at least 5 years</t>
  </si>
  <si>
    <t>Ability to upload manually handed in documents into the system</t>
  </si>
  <si>
    <t>Ability to verify supplier Tax status in CSD for LPO and Low Value transactions
Business rule: prohibits accepting suppliers with invalid tax status</t>
  </si>
  <si>
    <t>Ability to uniquely identify tender returnables from the supplier</t>
  </si>
  <si>
    <t>Ability to approve access to archived returnables via workflow</t>
  </si>
  <si>
    <t>Ability to report on all suppliers that have responded 
 - supplier name, 
 - submitted docs etc.</t>
  </si>
  <si>
    <t>Ability to trigger beginning of the evaluation phase by allocating tenders to Buyer</t>
  </si>
  <si>
    <t>Ability to notify Buyer once the tender documents are ready to be allocated to them (in the system and via email)</t>
  </si>
  <si>
    <t>Ability for the Buyer to acknowledge receipt of tender documents</t>
  </si>
  <si>
    <t>Ability to report on the status of all enquiries based on:
- Tenders allocated to buyer
- buyer name
- allocation  date
- acknowledged date</t>
  </si>
  <si>
    <t>Ability to access (based on approved access) and view the tender returnable after tender closing</t>
  </si>
  <si>
    <t xml:space="preserve">Ability to view the suppliers that met all requirements in terms of mandatory returnables </t>
  </si>
  <si>
    <t>Ability to flag any suppliers that have not met mandatory requirements</t>
  </si>
  <si>
    <t xml:space="preserve">Ability for the Buyer to allocate evaluation tasks to the cross functional evaluation teams </t>
  </si>
  <si>
    <t>Ability for Buyer to manage the evaluation process via the system
- who gets access and when
- time allocation for evaluation
- what documents and information can be viewed based on profile</t>
  </si>
  <si>
    <t>Ability for buyer to generate reports of the evaluation phase</t>
  </si>
  <si>
    <t>Ability to conduct evaluations concurrently in the system</t>
  </si>
  <si>
    <t>Ability to segregate evaluation tasks based on roles  and outputs- e.g. no access to pricing if not part of the pricing evaluation team</t>
  </si>
  <si>
    <t>Ability  for the Buyer to close the evaluation by the teams in preparation for the next phase</t>
  </si>
  <si>
    <t>Ability to compare supplier responses in the system</t>
  </si>
  <si>
    <t>Ability to approve the RFQ via a workflow</t>
  </si>
  <si>
    <t>Ability to track and retrieve documents related to enquiries with ease. This includes ability to search for archived documentation based on defined criteria</t>
  </si>
  <si>
    <t>Inability for supplier submitted information to  be modified</t>
  </si>
  <si>
    <t>Ability to send the evaluation report for approval to the relevant governance body</t>
  </si>
  <si>
    <t>Ability to approve the evaluation report via a workflow</t>
  </si>
  <si>
    <t>Ability to view the results of the decision of the authorising governance body in the system
- Mandate for negotiation
-Mandate to conclude</t>
  </si>
  <si>
    <t>Ability to update negotiation results in the system from supplier negotiation</t>
  </si>
  <si>
    <t>Ability to cancel a tender/enquiry</t>
  </si>
  <si>
    <t>Ability to capture reasons for cancellation</t>
  </si>
  <si>
    <t>Ability to attach documents for tender cancellation. This should be mandatory</t>
  </si>
  <si>
    <t>Ability to approve tender cancellation via a workflow. This should also be able to be sent to various governance committees</t>
  </si>
  <si>
    <t>Ability to notify suppliers of tender cancellation</t>
  </si>
  <si>
    <t>Ability to notify internal stakeholder of tender cancellation</t>
  </si>
  <si>
    <t>Ability to acquire approval from NT when a tender is cancelled for the 2nd time</t>
  </si>
  <si>
    <t>Ability to flag when a tender is reissued - the same PR number is used</t>
  </si>
  <si>
    <t>Ability to update the mandate to negotiate based on the negotiation results and send to committee</t>
  </si>
  <si>
    <t>Ability to obtain committee approval on the mandate to conclude</t>
  </si>
  <si>
    <t>Ability to conduct any department specific evaluations in the system based on predefined rules and templates e.g. PQE additional engineering evaluation</t>
  </si>
  <si>
    <t>Ability to add the approved supplier list and indicate the need for risk assessment to the Adjudication report for PQE transactions</t>
  </si>
  <si>
    <t>Ability to upload the results of the PQE supplier risk assessment in the system based on a predefined template</t>
  </si>
  <si>
    <t>Number of re-issues and reasons for re-issues</t>
  </si>
  <si>
    <t>Number of multiple reissues and the number of reissues per transaction</t>
  </si>
  <si>
    <t>Number of cancelled tenders and the reasons</t>
  </si>
  <si>
    <t>Number of tenders reissued</t>
  </si>
  <si>
    <t>Number and average number of suppliers tender (per transaction)</t>
  </si>
  <si>
    <t>Number of transaction for a defined period (and per division and per site)</t>
  </si>
  <si>
    <t>Suppliers that are favourite at sites (more than average times invited to tender)</t>
  </si>
  <si>
    <t>List of tender published on national treasury tender portal</t>
  </si>
  <si>
    <t>List of tender published on CIDB</t>
  </si>
  <si>
    <t>List of tenders currently in the market</t>
  </si>
  <si>
    <t>Average number of days tenders are in the market per category
Business Rule: Open or closed tenders</t>
  </si>
  <si>
    <t>Number of supplier invited per tender</t>
  </si>
  <si>
    <t>The ability to link analytics tools to the data sources to enable process, supplier, resource and efficiency analytic
(Please note integration to Eskom's application will be required)</t>
  </si>
  <si>
    <t>Generate dual and triple adjudication reports showing the transactions approved in a specified period</t>
  </si>
  <si>
    <t>Ability to generate the following reports:
   - Daily and weekly submissions;
   - Total number of submissions per Tender
Business Rule: An email log so that the Tender Office can verify the information on TOM version the tenders received via email. The is a check control</t>
  </si>
  <si>
    <t>Ability to report on emergency procurement PRs and their details</t>
  </si>
  <si>
    <t>Ability to report on condonation PRs</t>
  </si>
  <si>
    <t>Ability for Asset Disposal Officer to initiate the auction event to asset disposal by completing a predefined template in the system</t>
  </si>
  <si>
    <t>Approval of the Asset Disposal request via a workflow</t>
  </si>
  <si>
    <t>Ability to issue and award RFQ as per the electronic tendering process</t>
  </si>
  <si>
    <t>Ability for Disposal Manager to approve eAuction event</t>
  </si>
  <si>
    <t>Ability to create one auction with multiple line auctions for items e.g., create 1 auction for vehicle disposals with each vehicle having its own auction as a line item</t>
  </si>
  <si>
    <t>Ability to load specification  of the auction on the system:
- description
- quantities
- item details
- bidding start and end time</t>
  </si>
  <si>
    <t>Ability to add bidders on the system</t>
  </si>
  <si>
    <t>Ability to invite pre-qualified or shortlisted tenderers based on the shortlist in the electronic tendering process</t>
  </si>
  <si>
    <t>Ability to notify suppliers of eAuction details:
- date and time</t>
  </si>
  <si>
    <t>Ability for supplier to register for eAuction in the system once they are linked to the auction</t>
  </si>
  <si>
    <t>Ability to conduct and conclude reverse auction at a specified time interval</t>
  </si>
  <si>
    <t>Ability to rank the suppliers based on business rules</t>
  </si>
  <si>
    <t>There should be no visibility of other supplier names, bidding prices and rank. Only a range should be provided</t>
  </si>
  <si>
    <t>Ability to create bidding pricing range based on supplier response and business rules</t>
  </si>
  <si>
    <t>Display summary dashboard (by region, category and sub-category)</t>
  </si>
  <si>
    <t>Display report for single auction</t>
  </si>
  <si>
    <t>Allow Eskom Procurement and Disposal Officers to manage auctions</t>
  </si>
  <si>
    <t>Ability to allow bidding time extensions  based on business rules</t>
  </si>
  <si>
    <t>Ability to conclude the bidding based on time</t>
  </si>
  <si>
    <t>Provide auction report upon closure:
- ranking per supplier
- pricing
- total points etc.</t>
  </si>
  <si>
    <t>Ability for Procurement Practitioner to request confirmation of last bid once bidding ends</t>
  </si>
  <si>
    <t xml:space="preserve">Ability for supplier to provide confirmation of last bid in the system:
 - price breakdown per line item
</t>
  </si>
  <si>
    <t>Ability of supplier to approve/sign the last bid confirmation</t>
  </si>
  <si>
    <t>Ability to send the mandate to conclude/negotiate (other terms or contractual agreements) via a workflow in the system (based on a template)</t>
  </si>
  <si>
    <t>Ability to upload DAA approvals or results on the system</t>
  </si>
  <si>
    <t>Ability to upload DAA conditions on the system</t>
  </si>
  <si>
    <t>Allocate a unique identifier to each Tenderers</t>
  </si>
  <si>
    <t>Allow users to register</t>
  </si>
  <si>
    <t>Allow users to view and participate in bids</t>
  </si>
  <si>
    <t>Cater for forgotten password</t>
  </si>
  <si>
    <t>Only allow linked Tenderers to see auction</t>
  </si>
  <si>
    <t>Keep audit trail information for all changes to auctions</t>
  </si>
  <si>
    <t>Store history of all bids made on the auction</t>
  </si>
  <si>
    <t xml:space="preserve">Ability not to accept bids when an auction closes </t>
  </si>
  <si>
    <t>Enforce the acceptance of the user license agreement when registering users</t>
  </si>
  <si>
    <t xml:space="preserve">Ability to confirm the successful addition of a company to the system via email </t>
  </si>
  <si>
    <t xml:space="preserve">Ability to alert a company via email  once it is linked to an auction </t>
  </si>
  <si>
    <t xml:space="preserve">Ability to alert participating companies via email when an auction closes </t>
  </si>
  <si>
    <t>Ability to alert participating companies via email when an auction is cancelled</t>
  </si>
  <si>
    <t xml:space="preserve">Ability to keep the bidding company's information from each other during the bidding process </t>
  </si>
  <si>
    <t>In auction where there are business rules applied, bidders must not see the other bidders names</t>
  </si>
  <si>
    <t>Auctions to allow business rules to be applied in order to decide the winner (BBBEE levels)</t>
  </si>
  <si>
    <t>Auction Report: Display all information stored about auction for example:
- Auction properties
- Audit of all auction properties
- Bid summary
- History of all bids
- List of suppliers linked to auction
- List of all emails sent related to this auction
- List of eAuction per region, division, per period
- cost savings realised due to eAuction 80/20
- cost savings realised due to eAuction</t>
  </si>
  <si>
    <t>Auction Summary: Display for a region, category or sub-category the sum of all prices with an indication of margin of price improvement</t>
  </si>
  <si>
    <t>Ability to check the validity of mandatory contract documents</t>
  </si>
  <si>
    <t>Ability to allocate the validation of expired mandatory contract documents to SD&amp;L Practitioners</t>
  </si>
  <si>
    <t>Ability to create a contract  in the system based on a predefined contract template</t>
  </si>
  <si>
    <t>Ability to create a framework agreement for multiple suppliers</t>
  </si>
  <si>
    <t>Ability to link POs to a Framework agreement</t>
  </si>
  <si>
    <t>Ability to rotate supplier contract allocation in a panel contract</t>
  </si>
  <si>
    <t>Ability for visibility of spend of a framework agreement across suppliers</t>
  </si>
  <si>
    <t xml:space="preserve">Ability to link contracts to a PR in SAP
</t>
  </si>
  <si>
    <t xml:space="preserve">Ability to link a PO to a Task order </t>
  </si>
  <si>
    <t>Ability to check the end to end status of the contract - spend analysis, available funds etc.</t>
  </si>
  <si>
    <t>Ability to update the contract document once contract is awarded</t>
  </si>
  <si>
    <t>Ability to capture contract CPA data based on what's been negotiated and agreed with the supplier</t>
  </si>
  <si>
    <t>Ability to adjust CPA values for a contract</t>
  </si>
  <si>
    <t xml:space="preserve">Ability for Eskom to approve/sign the contract digitally
</t>
  </si>
  <si>
    <t xml:space="preserve">Provide workflow for  contract finalisation </t>
  </si>
  <si>
    <t>Ability to download contract in a pdf format (signed)</t>
  </si>
  <si>
    <t>Ability to indicate if existing contract is modified</t>
  </si>
  <si>
    <t>Ability to review a contract by Procurement and Contract Practitioners</t>
  </si>
  <si>
    <t>Ability to complete a predefined contract modification/adjustment checklist in the system before a contract is modified</t>
  </si>
  <si>
    <t>Ability to approve contract modification/adjustment checklist via a workflow</t>
  </si>
  <si>
    <t>Ability to upload governance committee approval of contract modification in the system</t>
  </si>
  <si>
    <t>Ability for manager to approve contract modification checklist via a workflow</t>
  </si>
  <si>
    <t>Ability to generate a  report for contract modification transactions above a stipulated DoA threshold</t>
  </si>
  <si>
    <t>Ability to generate reports for all contract modification  and amendment transactions</t>
  </si>
  <si>
    <t>Ability to load designated sector required contract documentation in the system if the contract falls under a designated sector</t>
  </si>
  <si>
    <t>Ability to flag contract with designated commodities or sectors based on a predefined list. This is mandatory</t>
  </si>
  <si>
    <t>Contract register field should be made mandatory</t>
  </si>
  <si>
    <t xml:space="preserve">Ability to extract and analyse commodities per contract terms e.g. labour rates, settlement discounts, rebates, commodity prices. </t>
  </si>
  <si>
    <t xml:space="preserve">Ability to extract and analyse commodities per contract term at national or regional level
</t>
  </si>
  <si>
    <t>Ability to extract and analyse commodities per contract term at national or regional level in comparison to previous years on weighted basis</t>
  </si>
  <si>
    <t>Ability to notify specific user groups of new contracts or amendments to current contracts</t>
  </si>
  <si>
    <t>Ability to link contract to status in the Contract Workflow (Status)</t>
  </si>
  <si>
    <t>Ability to incorporate supplier details in a contract</t>
  </si>
  <si>
    <t>Ability to incorporate BBBEE status (if applicable) in contracts</t>
  </si>
  <si>
    <t>Ability to incorporate payment terms in contract</t>
  </si>
  <si>
    <t>Ability to incorporate pricing per line item in contract</t>
  </si>
  <si>
    <t>Ability to incorporate agreed lead times in contract</t>
  </si>
  <si>
    <t>System must allow for reports generated based on contract fields, exportable to other media</t>
  </si>
  <si>
    <t>Ability to allocate specific payment terms to specific commodities for a supplier</t>
  </si>
  <si>
    <t>Ability for the system to offer Supplier Performance Tracking for key KPI's, incorporating QA records, and with supplier contract terms</t>
  </si>
  <si>
    <t xml:space="preserve">Supplier should demonstrate reporting capabilities </t>
  </si>
  <si>
    <t>Ability for customised system reporting where users can select fields so that users can select the field information needed for specific reporting requirements (self-service for all users)</t>
  </si>
  <si>
    <t>Is the interface intuitive and easy to navigate for both new and experienced users?</t>
  </si>
  <si>
    <t>Are design elements (menus, buttons, layouts) consistent throughout the platform?</t>
  </si>
  <si>
    <t>Are error messages clear and actionable?</t>
  </si>
  <si>
    <t>Is there a robust search feature to quickly locate suppliers, documents or procurement information?</t>
  </si>
  <si>
    <t>Is the onboarding process (e.g. account creation, system introduction) user friendly?</t>
  </si>
  <si>
    <t>Does the solution meet global accessibility standards (e.g. WCAG - Web Content Access Guideline  2.1)?</t>
  </si>
  <si>
    <t>Can users access the platform across devices desktop, devices, mobile)?</t>
  </si>
  <si>
    <t>Does the solution provide a transparent, seamless user portal for all functionality required?</t>
  </si>
  <si>
    <t>Can the user interface be personalised for different user roles (e.g. procurement officer vs supplier)?</t>
  </si>
  <si>
    <t>Is the bid submission process intuitive and efficient with real-time validation for errors?</t>
  </si>
  <si>
    <t>Can the solution validate the accuracy and completeness of the documentation uploaded?</t>
  </si>
  <si>
    <t>Does the solution allow for batches of bid documents to be uploaded (two envelope system)?</t>
  </si>
  <si>
    <t>Does the platform provide clear visibility into bid statuses, evaluations and feedback?</t>
  </si>
  <si>
    <t>Are user roles clearly defined to prevent unauthorised access?</t>
  </si>
  <si>
    <t>Is the interfaced visually pleasing and aligned with modern standards</t>
  </si>
  <si>
    <t>Can Eskom's branding logos be incorporated into the platform?</t>
  </si>
  <si>
    <t>Can users generate customisable reports?</t>
  </si>
  <si>
    <t>Are dashboards user-friendly providing quick insights into KPIs and system activities?</t>
  </si>
  <si>
    <t>Are charts, tables, and graphs visually clear and easy to interpret?</t>
  </si>
  <si>
    <t>Abbreviations</t>
  </si>
  <si>
    <t>Definitions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</si>
</sst>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0" x14ac:knownFonts="1">
    <font>
      <sz val="11"/>
      <color theme="1"/>
      <name val="Aptos Narrow"/>
      <family val="2"/>
      <scheme val="minor"/>
    </font>
    <font>
      <sz val="11"/>
      <color theme="1"/>
      <name val="Aptos Narrow"/>
      <family val="2"/>
      <scheme val="minor"/>
    </font>
    <font>
      <b/>
      <sz val="9"/>
      <color indexed="81"/>
      <name val="Tahoma"/>
      <family val="2"/>
    </font>
    <font>
      <sz val="9"/>
      <color indexed="81"/>
      <name val="Tahoma"/>
      <family val="2"/>
    </font>
    <font>
      <b/>
      <sz val="9"/>
      <color theme="1"/>
      <name val="Arial"/>
      <family val="2"/>
    </font>
    <font>
      <sz val="9"/>
      <color theme="1"/>
      <name val="Arial"/>
      <family val="2"/>
    </font>
    <font>
      <b/>
      <sz val="9"/>
      <name val="Arial"/>
      <family val="2"/>
    </font>
    <font>
      <sz val="9"/>
      <name val="Arial"/>
      <family val="2"/>
    </font>
    <font>
      <sz val="9"/>
      <color rgb="FF002060"/>
      <name val="Arial"/>
      <family val="2"/>
    </font>
    <font>
      <b/>
      <sz val="8"/>
      <color theme="1"/>
      <name val="Arial"/>
      <family val="2"/>
    </font>
    <font>
      <b/>
      <u/>
      <sz val="12"/>
      <color theme="1"/>
      <name val="Arial"/>
      <family val="2"/>
    </font>
    <font>
      <b/>
      <u/>
      <sz val="12"/>
      <color rgb="FFFF0000"/>
      <name val="Arial"/>
      <family val="2"/>
    </font>
    <font>
      <sz val="8"/>
      <color theme="1"/>
      <name val="Arial"/>
      <family val="2"/>
    </font>
    <font>
      <b/>
      <u/>
      <sz val="14"/>
      <color theme="1"/>
      <name val="Arial"/>
      <family val="2"/>
    </font>
    <font>
      <sz val="12"/>
      <color theme="1"/>
      <name val="Arial"/>
      <family val="2"/>
    </font>
    <font>
      <sz val="11"/>
      <color theme="1"/>
      <name val="Arial"/>
      <family val="2"/>
    </font>
    <font>
      <sz val="11"/>
      <color rgb="FFFF0000"/>
      <name val="Arial"/>
      <family val="2"/>
    </font>
    <font>
      <b/>
      <u/>
      <sz val="10"/>
      <color theme="1"/>
      <name val="Arial"/>
      <family val="2"/>
    </font>
    <font>
      <b/>
      <u/>
      <sz val="8"/>
      <color theme="1"/>
      <name val="Arial"/>
      <family val="2"/>
    </font>
    <font>
      <i/>
      <sz val="8"/>
      <color theme="1"/>
      <name val="Arial"/>
      <family val="2"/>
    </font>
    <font>
      <b/>
      <sz val="8"/>
      <name val="Arial"/>
      <family val="2"/>
    </font>
    <font>
      <i/>
      <sz val="8"/>
      <name val="Arial"/>
      <family val="2"/>
    </font>
    <font>
      <sz val="8"/>
      <name val="Arial"/>
      <family val="2"/>
    </font>
    <font>
      <sz val="11"/>
      <color indexed="8"/>
      <name val="Arial"/>
      <family val="2"/>
    </font>
    <font>
      <sz val="12"/>
      <color indexed="8"/>
      <name val="Arial"/>
      <family val="2"/>
    </font>
    <font>
      <b/>
      <sz val="12"/>
      <color indexed="8"/>
      <name val="Arial"/>
      <family val="2"/>
    </font>
    <font>
      <b/>
      <sz val="11"/>
      <color indexed="8"/>
      <name val="Arial"/>
      <family val="2"/>
    </font>
    <font>
      <sz val="11"/>
      <color rgb="FF000000"/>
      <name val="Arial"/>
      <family val="2"/>
    </font>
    <font>
      <b/>
      <sz val="11"/>
      <color theme="1"/>
      <name val="Arial"/>
      <family val="2"/>
    </font>
    <font>
      <b/>
      <sz val="12"/>
      <name val="Arial"/>
      <family val="2"/>
    </font>
    <font>
      <b/>
      <sz val="12"/>
      <color theme="1"/>
      <name val="Arial"/>
      <family val="2"/>
    </font>
    <font>
      <b/>
      <sz val="12"/>
      <color theme="1"/>
      <name val="Aptos Narrow"/>
      <family val="2"/>
      <scheme val="minor"/>
    </font>
    <font>
      <b/>
      <sz val="11"/>
      <name val="Arial"/>
      <family val="2"/>
    </font>
    <font>
      <i/>
      <sz val="12"/>
      <name val="Arial"/>
      <family val="2"/>
    </font>
    <font>
      <b/>
      <sz val="9"/>
      <color theme="0"/>
      <name val="Arial"/>
      <family val="2"/>
    </font>
    <font>
      <i/>
      <sz val="11"/>
      <color rgb="FF0000CC"/>
      <name val="Arial"/>
      <family val="2"/>
    </font>
    <font>
      <sz val="12"/>
      <color rgb="FF0000CC"/>
      <name val="Arial"/>
      <family val="2"/>
    </font>
    <font>
      <sz val="10"/>
      <name val="Arial"/>
      <family val="2"/>
    </font>
    <font>
      <i/>
      <sz val="12"/>
      <color rgb="FF000000"/>
      <name val="Arial"/>
      <family val="2"/>
    </font>
    <font>
      <sz val="12"/>
      <name val="Arial"/>
      <family val="2"/>
    </font>
    <font>
      <b/>
      <sz val="12"/>
      <color rgb="FF000000"/>
      <name val="Arial"/>
      <family val="2"/>
    </font>
    <font>
      <sz val="10"/>
      <name val="Arial"/>
      <family val="2"/>
    </font>
    <font>
      <sz val="11"/>
      <color indexed="8"/>
      <name val="Calibri"/>
      <family val="2"/>
    </font>
    <font>
      <i/>
      <sz val="11"/>
      <color theme="1"/>
      <name val="Arial"/>
      <family val="2"/>
    </font>
    <font>
      <b/>
      <sz val="11"/>
      <color rgb="FF000000"/>
      <name val="Arial"/>
      <family val="2"/>
    </font>
    <font>
      <sz val="10"/>
      <color theme="1"/>
      <name val="Arial"/>
      <family val="2"/>
    </font>
    <font>
      <b/>
      <i/>
      <sz val="12"/>
      <color theme="1"/>
      <name val="Arial"/>
      <family val="2"/>
    </font>
    <font>
      <sz val="9"/>
      <color rgb="FFFF0000"/>
      <name val="Arial"/>
      <family val="2"/>
    </font>
    <font>
      <sz val="9"/>
      <color rgb="FF000000"/>
      <name val="Arial"/>
      <family val="2"/>
    </font>
    <font>
      <sz val="9"/>
      <color rgb="FF7030A0"/>
      <name val="Arial"/>
      <family val="2"/>
    </font>
    <font>
      <sz val="9"/>
      <color rgb="FF000000"/>
      <name val="Arial"/>
    </font>
    <font>
      <sz val="9"/>
      <color rgb="FFFF0000"/>
      <name val="Arial"/>
    </font>
    <font>
      <sz val="9"/>
      <name val="Arial"/>
    </font>
    <font>
      <sz val="9"/>
      <color theme="1"/>
      <name val="Arial"/>
    </font>
    <font>
      <sz val="11"/>
      <name val="Arial"/>
      <family val="2"/>
    </font>
    <font>
      <b/>
      <u/>
      <sz val="11"/>
      <color rgb="FFC00000"/>
      <name val="Calibri"/>
      <family val="2"/>
    </font>
    <font>
      <sz val="11"/>
      <color rgb="FF000000"/>
      <name val="Calibri"/>
      <family val="2"/>
    </font>
    <font>
      <b/>
      <sz val="12"/>
      <color indexed="8"/>
      <name val="Calibri"/>
      <family val="2"/>
    </font>
    <font>
      <b/>
      <sz val="16"/>
      <color rgb="FFC00000"/>
      <name val="Calibri"/>
      <family val="2"/>
    </font>
    <font>
      <sz val="8"/>
      <color rgb="FF000000"/>
      <name val="Arial"/>
      <family val="2"/>
    </font>
    <font>
      <b/>
      <sz val="10"/>
      <name val="Arial"/>
      <family val="2"/>
    </font>
    <font>
      <sz val="10"/>
      <color rgb="FF000000"/>
      <name val="Arial"/>
      <family val="2"/>
    </font>
    <font>
      <b/>
      <sz val="8"/>
      <color rgb="FF000000"/>
      <name val="Arial"/>
      <family val="2"/>
    </font>
    <font>
      <b/>
      <sz val="10"/>
      <color rgb="FF000000"/>
      <name val="Arial"/>
      <family val="2"/>
    </font>
    <font>
      <sz val="10"/>
      <color rgb="FFFF0000"/>
      <name val="Arial"/>
      <family val="2"/>
    </font>
    <font>
      <sz val="10"/>
      <color rgb="FF333399"/>
      <name val="Arial"/>
      <family val="2"/>
    </font>
    <font>
      <sz val="10"/>
      <color rgb="FF000000"/>
      <name val="Arial"/>
    </font>
    <font>
      <b/>
      <sz val="10"/>
      <color rgb="FF333399"/>
      <name val="Arial"/>
      <family val="2"/>
    </font>
    <font>
      <sz val="11"/>
      <color rgb="FF000000"/>
      <name val="Aptos Narrow"/>
      <family val="2"/>
    </font>
    <font>
      <b/>
      <sz val="10"/>
      <color rgb="FF000000"/>
      <name val="Arial"/>
    </font>
  </fonts>
  <fills count="40">
    <fill>
      <patternFill patternType="none"/>
    </fill>
    <fill>
      <patternFill patternType="gray125"/>
    </fill>
    <fill>
      <patternFill patternType="solid">
        <fgColor theme="4" tint="0.7999816888943144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9" tint="-0.249977111117893"/>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99FF99"/>
        <bgColor indexed="64"/>
      </patternFill>
    </fill>
    <fill>
      <patternFill patternType="solid">
        <fgColor rgb="FF96330F"/>
        <bgColor indexed="64"/>
      </patternFill>
    </fill>
    <fill>
      <patternFill patternType="solid">
        <fgColor rgb="FFFFFF00"/>
        <bgColor indexed="64"/>
      </patternFill>
    </fill>
    <fill>
      <patternFill patternType="solid">
        <fgColor rgb="FF598787"/>
        <bgColor indexed="64"/>
      </patternFill>
    </fill>
    <fill>
      <patternFill patternType="solid">
        <fgColor rgb="FF003896"/>
        <bgColor indexed="64"/>
      </patternFill>
    </fill>
    <fill>
      <patternFill patternType="solid">
        <fgColor rgb="FF0DB02B"/>
        <bgColor indexed="64"/>
      </patternFill>
    </fill>
    <fill>
      <patternFill patternType="solid">
        <fgColor rgb="FF71725B"/>
        <bgColor indexed="64"/>
      </patternFill>
    </fill>
    <fill>
      <patternFill patternType="solid">
        <fgColor theme="0"/>
        <bgColor indexed="64"/>
      </patternFill>
    </fill>
    <fill>
      <patternFill patternType="solid">
        <fgColor rgb="FF22A2A8"/>
        <bgColor indexed="64"/>
      </patternFill>
    </fill>
    <fill>
      <patternFill patternType="solid">
        <fgColor rgb="FFC97A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
      <patternFill patternType="solid">
        <fgColor theme="5" tint="-0.249977111117893"/>
        <bgColor indexed="64"/>
      </patternFill>
    </fill>
    <fill>
      <patternFill patternType="solid">
        <fgColor rgb="FFC0E6F5"/>
        <bgColor rgb="FFC0E6F5"/>
      </patternFill>
    </fill>
    <fill>
      <patternFill patternType="solid">
        <fgColor theme="3" tint="0.749992370372631"/>
        <bgColor indexed="64"/>
      </patternFill>
    </fill>
    <fill>
      <patternFill patternType="solid">
        <fgColor rgb="FFF2F2F2"/>
        <bgColor rgb="FF000000"/>
      </patternFill>
    </fill>
    <fill>
      <patternFill patternType="solid">
        <fgColor rgb="FFB5E6A2"/>
        <bgColor rgb="FFFFCC00"/>
      </patternFill>
    </fill>
    <fill>
      <patternFill patternType="solid">
        <fgColor rgb="FFE49EDD"/>
        <bgColor rgb="FFFFCC00"/>
      </patternFill>
    </fill>
    <fill>
      <patternFill patternType="solid">
        <fgColor rgb="FFE49EDD"/>
        <bgColor rgb="FF00CCFF"/>
      </patternFill>
    </fill>
    <fill>
      <patternFill patternType="solid">
        <fgColor rgb="FFD9D9D9"/>
        <bgColor rgb="FF808080"/>
      </patternFill>
    </fill>
    <fill>
      <patternFill patternType="solid">
        <fgColor rgb="FFD9D9D9"/>
        <bgColor rgb="FF000000"/>
      </patternFill>
    </fill>
    <fill>
      <patternFill patternType="solid">
        <fgColor rgb="FFE49EDD"/>
        <bgColor rgb="FF808080"/>
      </patternFill>
    </fill>
    <fill>
      <patternFill patternType="solid">
        <fgColor rgb="FFDAF2D0"/>
        <bgColor rgb="FF000000"/>
      </patternFill>
    </fill>
    <fill>
      <patternFill patternType="solid">
        <fgColor rgb="FFDAF2D0"/>
        <bgColor rgb="FFC0C0C0"/>
      </patternFill>
    </fill>
    <fill>
      <patternFill patternType="solid">
        <fgColor rgb="FFF2CEEF"/>
        <bgColor rgb="FFC0C0C0"/>
      </patternFill>
    </fill>
    <fill>
      <patternFill patternType="solid">
        <fgColor rgb="FFF2CEEF"/>
        <bgColor rgb="FF000000"/>
      </patternFill>
    </fill>
    <fill>
      <patternFill patternType="solid">
        <fgColor rgb="FFFFFF00"/>
        <bgColor rgb="FF000000"/>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right/>
      <top/>
      <bottom style="double">
        <color indexed="64"/>
      </bottom>
      <diagonal/>
    </border>
    <border>
      <left style="medium">
        <color indexed="64"/>
      </left>
      <right style="medium">
        <color indexed="64"/>
      </right>
      <top/>
      <bottom style="double">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theme="4" tint="0.39997558519241921"/>
      </bottom>
      <diagonal/>
    </border>
    <border>
      <left/>
      <right/>
      <top style="thin">
        <color indexed="64"/>
      </top>
      <bottom/>
      <diagonal/>
    </border>
    <border>
      <left/>
      <right/>
      <top/>
      <bottom style="thin">
        <color indexed="64"/>
      </bottom>
      <diagonal/>
    </border>
    <border>
      <left/>
      <right style="thin">
        <color rgb="FF000000"/>
      </right>
      <top/>
      <bottom/>
      <diagonal/>
    </border>
    <border>
      <left/>
      <right style="thin">
        <color rgb="FF000000"/>
      </right>
      <top style="thin">
        <color indexed="64"/>
      </top>
      <bottom style="thin">
        <color indexed="64"/>
      </bottom>
      <diagonal/>
    </border>
    <border>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s>
  <cellStyleXfs count="12">
    <xf numFmtId="0" fontId="0" fillId="0" borderId="0"/>
    <xf numFmtId="9" fontId="1" fillId="0" borderId="0" applyFont="0" applyFill="0" applyBorder="0" applyAlignment="0" applyProtection="0"/>
    <xf numFmtId="0" fontId="37" fillId="0" borderId="0">
      <alignment vertical="center"/>
    </xf>
    <xf numFmtId="0" fontId="41" fillId="0" borderId="0"/>
    <xf numFmtId="0" fontId="41" fillId="0" borderId="0"/>
    <xf numFmtId="0" fontId="42" fillId="0" borderId="0"/>
    <xf numFmtId="9" fontId="41" fillId="0" borderId="0" applyFont="0" applyFill="0" applyBorder="0" applyAlignment="0" applyProtection="0"/>
    <xf numFmtId="0" fontId="41" fillId="0" borderId="0"/>
    <xf numFmtId="9" fontId="41" fillId="0" borderId="0" applyFill="0" applyBorder="0" applyAlignment="0" applyProtection="0"/>
    <xf numFmtId="0" fontId="41" fillId="0" borderId="0"/>
    <xf numFmtId="9" fontId="41" fillId="0" borderId="0" applyFont="0" applyFill="0" applyBorder="0" applyAlignment="0" applyProtection="0"/>
    <xf numFmtId="0" fontId="41" fillId="0" borderId="0">
      <alignment vertical="center"/>
    </xf>
  </cellStyleXfs>
  <cellXfs count="388">
    <xf numFmtId="0" fontId="0" fillId="0" borderId="0" xfId="0"/>
    <xf numFmtId="10" fontId="4" fillId="5" borderId="2" xfId="0" applyNumberFormat="1" applyFont="1" applyFill="1" applyBorder="1" applyAlignment="1">
      <alignment horizontal="centerContinuous" vertical="center"/>
    </xf>
    <xf numFmtId="1" fontId="4" fillId="5" borderId="3" xfId="0" applyNumberFormat="1" applyFont="1" applyFill="1" applyBorder="1" applyAlignment="1">
      <alignment horizontal="centerContinuous" vertical="center"/>
    </xf>
    <xf numFmtId="10" fontId="4" fillId="5" borderId="3" xfId="0" applyNumberFormat="1" applyFont="1" applyFill="1" applyBorder="1" applyAlignment="1">
      <alignment horizontal="centerContinuous" vertical="center"/>
    </xf>
    <xf numFmtId="10" fontId="4" fillId="5" borderId="3" xfId="0" applyNumberFormat="1" applyFont="1" applyFill="1" applyBorder="1" applyAlignment="1">
      <alignment horizontal="center" vertical="center"/>
    </xf>
    <xf numFmtId="10" fontId="4" fillId="5" borderId="4" xfId="0" applyNumberFormat="1" applyFont="1" applyFill="1" applyBorder="1" applyAlignment="1">
      <alignment vertical="center"/>
    </xf>
    <xf numFmtId="0" fontId="5" fillId="0" borderId="0" xfId="0" applyFont="1"/>
    <xf numFmtId="0" fontId="4" fillId="5" borderId="6" xfId="0" applyFont="1" applyFill="1" applyBorder="1" applyAlignment="1">
      <alignment vertical="center"/>
    </xf>
    <xf numFmtId="9" fontId="5" fillId="2" borderId="6" xfId="0" applyNumberFormat="1" applyFont="1" applyFill="1" applyBorder="1" applyAlignment="1">
      <alignment vertical="center"/>
    </xf>
    <xf numFmtId="0" fontId="4" fillId="5" borderId="6" xfId="0" applyFont="1" applyFill="1" applyBorder="1" applyAlignment="1">
      <alignment horizontal="right" vertical="center"/>
    </xf>
    <xf numFmtId="1" fontId="4" fillId="2" borderId="7" xfId="0" applyNumberFormat="1" applyFont="1" applyFill="1" applyBorder="1" applyAlignment="1">
      <alignment vertical="center"/>
    </xf>
    <xf numFmtId="0" fontId="4" fillId="2" borderId="8" xfId="0" applyFont="1" applyFill="1" applyBorder="1" applyAlignment="1">
      <alignment vertical="center" textRotation="90"/>
    </xf>
    <xf numFmtId="49" fontId="6" fillId="6" borderId="7" xfId="0" applyNumberFormat="1" applyFont="1" applyFill="1" applyBorder="1" applyAlignment="1">
      <alignment vertical="top" wrapText="1"/>
    </xf>
    <xf numFmtId="0" fontId="6" fillId="6" borderId="7" xfId="0" applyFont="1" applyFill="1" applyBorder="1" applyAlignment="1">
      <alignment vertical="top" wrapText="1"/>
    </xf>
    <xf numFmtId="0" fontId="6" fillId="7" borderId="7" xfId="0" applyFont="1" applyFill="1" applyBorder="1" applyAlignment="1">
      <alignment vertical="top" wrapText="1"/>
    </xf>
    <xf numFmtId="0" fontId="6" fillId="8" borderId="7" xfId="0" applyFont="1" applyFill="1" applyBorder="1" applyAlignment="1">
      <alignment vertical="center" wrapText="1"/>
    </xf>
    <xf numFmtId="10" fontId="6" fillId="2" borderId="7"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0" fontId="5" fillId="9" borderId="7" xfId="0" applyFont="1" applyFill="1" applyBorder="1"/>
    <xf numFmtId="0" fontId="5" fillId="0" borderId="7" xfId="0" applyFont="1" applyBorder="1"/>
    <xf numFmtId="0" fontId="5" fillId="0" borderId="4" xfId="0" applyFont="1" applyBorder="1" applyAlignment="1" applyProtection="1">
      <alignment horizontal="center" vertical="center"/>
      <protection locked="0"/>
    </xf>
    <xf numFmtId="0" fontId="5" fillId="0" borderId="1" xfId="0" applyFont="1" applyBorder="1" applyAlignment="1" applyProtection="1">
      <alignment horizontal="left" vertical="top" wrapText="1"/>
      <protection locked="0"/>
    </xf>
    <xf numFmtId="0" fontId="8" fillId="0" borderId="1" xfId="0" applyFont="1" applyBorder="1" applyAlignment="1" applyProtection="1">
      <alignment horizontal="center" vertical="center"/>
      <protection locked="0"/>
    </xf>
    <xf numFmtId="0" fontId="8" fillId="0" borderId="1" xfId="0" applyFont="1" applyBorder="1" applyAlignment="1">
      <alignment horizontal="center" vertical="center"/>
    </xf>
    <xf numFmtId="10" fontId="8" fillId="0" borderId="1" xfId="1" applyNumberFormat="1" applyFont="1" applyBorder="1" applyAlignment="1">
      <alignment horizontal="center" vertical="center"/>
    </xf>
    <xf numFmtId="0" fontId="8" fillId="0" borderId="1" xfId="0" applyFont="1" applyBorder="1" applyAlignment="1" applyProtection="1">
      <alignment horizontal="left" vertical="top" wrapText="1"/>
      <protection locked="0"/>
    </xf>
    <xf numFmtId="0" fontId="8" fillId="0" borderId="1" xfId="0" applyFont="1" applyBorder="1" applyAlignment="1" applyProtection="1">
      <alignment vertical="center" wrapText="1"/>
      <protection locked="0"/>
    </xf>
    <xf numFmtId="10" fontId="7" fillId="0" borderId="1" xfId="0" applyNumberFormat="1" applyFont="1" applyBorder="1" applyAlignment="1" applyProtection="1">
      <alignment horizontal="center" vertical="center"/>
      <protection locked="0"/>
    </xf>
    <xf numFmtId="0" fontId="5" fillId="0" borderId="1" xfId="0" applyFont="1" applyBorder="1" applyProtection="1">
      <protection locked="0"/>
    </xf>
    <xf numFmtId="0" fontId="5" fillId="0" borderId="5" xfId="0" applyFont="1" applyBorder="1" applyAlignment="1">
      <alignment vertical="center"/>
    </xf>
    <xf numFmtId="10" fontId="5" fillId="0" borderId="1" xfId="0" applyNumberFormat="1" applyFont="1" applyBorder="1" applyAlignment="1">
      <alignment vertical="center"/>
    </xf>
    <xf numFmtId="0" fontId="5" fillId="0" borderId="1" xfId="0" applyFont="1" applyBorder="1" applyAlignment="1" applyProtection="1">
      <alignment horizontal="left" vertical="top"/>
      <protection locked="0"/>
    </xf>
    <xf numFmtId="0" fontId="5" fillId="0" borderId="5" xfId="0" applyFont="1" applyBorder="1" applyAlignment="1" applyProtection="1">
      <alignment horizontal="left" vertical="top"/>
      <protection locked="0"/>
    </xf>
    <xf numFmtId="0" fontId="8" fillId="0" borderId="5" xfId="0" applyFont="1" applyBorder="1" applyAlignment="1">
      <alignment horizontal="center" vertical="center"/>
    </xf>
    <xf numFmtId="10" fontId="8" fillId="0" borderId="5" xfId="1" applyNumberFormat="1" applyFont="1" applyBorder="1" applyAlignment="1">
      <alignment horizontal="center" vertical="center"/>
    </xf>
    <xf numFmtId="0" fontId="8" fillId="0" borderId="5" xfId="0" applyFont="1" applyBorder="1" applyAlignment="1" applyProtection="1">
      <alignment horizontal="left" vertical="top" wrapText="1"/>
      <protection locked="0"/>
    </xf>
    <xf numFmtId="0" fontId="8" fillId="0" borderId="5" xfId="0" applyFont="1" applyBorder="1" applyAlignment="1" applyProtection="1">
      <alignment vertical="center" wrapText="1"/>
      <protection locked="0"/>
    </xf>
    <xf numFmtId="10" fontId="7" fillId="0" borderId="5" xfId="0" applyNumberFormat="1" applyFont="1" applyBorder="1" applyAlignment="1" applyProtection="1">
      <alignment horizontal="center" vertical="center"/>
      <protection locked="0"/>
    </xf>
    <xf numFmtId="0" fontId="5" fillId="0" borderId="5" xfId="0" applyFont="1" applyBorder="1" applyProtection="1">
      <protection locked="0"/>
    </xf>
    <xf numFmtId="0" fontId="5" fillId="0" borderId="1" xfId="0" applyFont="1" applyBorder="1" applyAlignment="1">
      <alignment vertical="center"/>
    </xf>
    <xf numFmtId="0" fontId="5" fillId="0" borderId="0" xfId="0" applyFont="1" applyAlignment="1">
      <alignment horizontal="center" vertical="center"/>
    </xf>
    <xf numFmtId="0" fontId="5" fillId="0" borderId="0" xfId="0" applyFont="1" applyAlignment="1">
      <alignment vertical="center"/>
    </xf>
    <xf numFmtId="9" fontId="4" fillId="5" borderId="6" xfId="1" applyFont="1" applyFill="1" applyBorder="1" applyAlignment="1">
      <alignment vertical="center"/>
    </xf>
    <xf numFmtId="1" fontId="5" fillId="2" borderId="6" xfId="0" applyNumberFormat="1" applyFont="1" applyFill="1" applyBorder="1" applyAlignment="1">
      <alignment vertical="center"/>
    </xf>
    <xf numFmtId="0" fontId="9" fillId="0" borderId="0" xfId="0" applyFont="1" applyAlignment="1">
      <alignment horizontal="center" vertical="center"/>
    </xf>
    <xf numFmtId="1" fontId="12" fillId="0" borderId="0" xfId="0" applyNumberFormat="1" applyFont="1" applyAlignment="1">
      <alignment vertical="center"/>
    </xf>
    <xf numFmtId="0" fontId="12" fillId="0" borderId="0" xfId="0" applyFont="1"/>
    <xf numFmtId="0" fontId="9" fillId="0" borderId="0" xfId="0" applyFont="1"/>
    <xf numFmtId="0" fontId="17" fillId="0" borderId="0" xfId="0" applyFont="1" applyAlignment="1">
      <alignment wrapText="1"/>
    </xf>
    <xf numFmtId="0" fontId="12" fillId="0" borderId="0" xfId="0" applyFont="1" applyAlignment="1">
      <alignment wrapText="1"/>
    </xf>
    <xf numFmtId="164" fontId="12" fillId="0" borderId="0" xfId="0" applyNumberFormat="1" applyFont="1"/>
    <xf numFmtId="0" fontId="12" fillId="0" borderId="0" xfId="0" applyFont="1" applyAlignment="1">
      <alignment vertical="center"/>
    </xf>
    <xf numFmtId="0" fontId="18" fillId="0" borderId="0" xfId="0" applyFont="1" applyAlignment="1">
      <alignment wrapText="1"/>
    </xf>
    <xf numFmtId="0" fontId="12" fillId="11" borderId="0" xfId="0" applyFont="1" applyFill="1" applyAlignment="1">
      <alignment vertical="center" wrapText="1"/>
    </xf>
    <xf numFmtId="0" fontId="5" fillId="11" borderId="0" xfId="0" applyFont="1" applyFill="1" applyAlignment="1">
      <alignment vertical="center" wrapText="1"/>
    </xf>
    <xf numFmtId="0" fontId="9" fillId="0" borderId="0" xfId="0" applyFont="1" applyAlignment="1">
      <alignment vertical="center" wrapText="1"/>
    </xf>
    <xf numFmtId="0" fontId="19" fillId="0" borderId="0" xfId="0" applyFont="1"/>
    <xf numFmtId="0" fontId="19" fillId="11" borderId="0" xfId="0" applyFont="1" applyFill="1" applyAlignment="1">
      <alignment vertical="center" wrapText="1"/>
    </xf>
    <xf numFmtId="0" fontId="9" fillId="2" borderId="20" xfId="0" applyFont="1" applyFill="1" applyBorder="1" applyAlignment="1">
      <alignment horizontal="center" vertical="center"/>
    </xf>
    <xf numFmtId="0" fontId="23" fillId="0" borderId="0" xfId="0" applyFont="1" applyAlignment="1" applyProtection="1">
      <alignment horizontal="left" vertical="top"/>
      <protection locked="0"/>
    </xf>
    <xf numFmtId="0" fontId="23" fillId="0" borderId="0" xfId="0" applyFont="1" applyAlignment="1" applyProtection="1">
      <alignment horizontal="left" vertical="top" wrapText="1"/>
      <protection locked="0"/>
    </xf>
    <xf numFmtId="0" fontId="24" fillId="0" borderId="0" xfId="0" applyFont="1" applyAlignment="1" applyProtection="1">
      <alignment horizontal="left" vertical="center"/>
      <protection locked="0"/>
    </xf>
    <xf numFmtId="0" fontId="23" fillId="0" borderId="0" xfId="0" applyFont="1" applyAlignment="1">
      <alignment horizontal="left" vertical="top"/>
    </xf>
    <xf numFmtId="0" fontId="24" fillId="0" borderId="0" xfId="0" applyFont="1" applyAlignment="1">
      <alignment horizontal="left" vertical="center"/>
    </xf>
    <xf numFmtId="0" fontId="15" fillId="0" borderId="1" xfId="0" applyFont="1" applyBorder="1" applyAlignment="1">
      <alignment horizontal="right" vertical="top" wrapText="1"/>
    </xf>
    <xf numFmtId="0" fontId="28" fillId="2" borderId="1" xfId="0" applyFont="1" applyFill="1" applyBorder="1" applyAlignment="1" applyProtection="1">
      <alignment horizontal="left" wrapText="1"/>
      <protection locked="0"/>
    </xf>
    <xf numFmtId="0" fontId="10" fillId="0" borderId="0" xfId="0" applyFont="1" applyAlignment="1">
      <alignment horizontal="centerContinuous" vertical="top" wrapText="1"/>
    </xf>
    <xf numFmtId="0" fontId="28" fillId="0" borderId="1" xfId="0" applyFont="1" applyBorder="1" applyAlignment="1" applyProtection="1">
      <alignment horizontal="left" wrapText="1"/>
      <protection locked="0"/>
    </xf>
    <xf numFmtId="0" fontId="26" fillId="0" borderId="0" xfId="0" applyFont="1" applyAlignment="1">
      <alignment horizontal="center" vertical="center" wrapText="1"/>
    </xf>
    <xf numFmtId="0" fontId="25" fillId="22" borderId="21" xfId="0" applyFont="1" applyFill="1" applyBorder="1" applyAlignment="1">
      <alignment horizontal="centerContinuous" vertical="center"/>
    </xf>
    <xf numFmtId="0" fontId="25" fillId="22" borderId="22" xfId="0" applyFont="1" applyFill="1" applyBorder="1" applyAlignment="1">
      <alignment horizontal="centerContinuous" vertical="center"/>
    </xf>
    <xf numFmtId="0" fontId="25" fillId="22" borderId="24" xfId="0" applyFont="1" applyFill="1" applyBorder="1" applyAlignment="1">
      <alignment horizontal="centerContinuous" vertical="center"/>
    </xf>
    <xf numFmtId="49" fontId="12" fillId="0" borderId="0" xfId="0" applyNumberFormat="1" applyFont="1" applyAlignment="1">
      <alignment wrapText="1"/>
    </xf>
    <xf numFmtId="0" fontId="28" fillId="3" borderId="25" xfId="0" applyFont="1" applyFill="1" applyBorder="1" applyAlignment="1">
      <alignment horizontal="centerContinuous" vertical="center" wrapText="1"/>
    </xf>
    <xf numFmtId="49" fontId="21" fillId="0" borderId="1" xfId="0" applyNumberFormat="1" applyFont="1" applyBorder="1" applyAlignment="1">
      <alignment vertical="center" wrapText="1"/>
    </xf>
    <xf numFmtId="49" fontId="20" fillId="0" borderId="1" xfId="0" quotePrefix="1" applyNumberFormat="1" applyFont="1" applyBorder="1" applyAlignment="1" applyProtection="1">
      <alignment vertical="center" wrapText="1"/>
      <protection locked="0"/>
    </xf>
    <xf numFmtId="49" fontId="20" fillId="0" borderId="1" xfId="0" applyNumberFormat="1" applyFont="1" applyBorder="1" applyAlignment="1" applyProtection="1">
      <alignment vertical="center" wrapText="1"/>
      <protection locked="0"/>
    </xf>
    <xf numFmtId="0" fontId="0" fillId="0" borderId="1" xfId="0" applyBorder="1" applyAlignment="1" applyProtection="1">
      <alignment horizontal="center" vertical="center"/>
      <protection locked="0"/>
    </xf>
    <xf numFmtId="0" fontId="20" fillId="0" borderId="18" xfId="0" applyFont="1" applyBorder="1" applyProtection="1">
      <protection locked="0"/>
    </xf>
    <xf numFmtId="0" fontId="0" fillId="0" borderId="19" xfId="0" applyBorder="1"/>
    <xf numFmtId="0" fontId="0" fillId="0" borderId="17" xfId="0" applyBorder="1"/>
    <xf numFmtId="0" fontId="0" fillId="0" borderId="20" xfId="0" applyBorder="1"/>
    <xf numFmtId="0" fontId="0" fillId="0" borderId="18" xfId="0" applyBorder="1"/>
    <xf numFmtId="0" fontId="0" fillId="0" borderId="14" xfId="0" applyBorder="1"/>
    <xf numFmtId="0" fontId="0" fillId="0" borderId="15" xfId="0" applyBorder="1"/>
    <xf numFmtId="0" fontId="10" fillId="0" borderId="0" xfId="0" applyFont="1" applyAlignment="1">
      <alignment horizontal="centerContinuous" wrapText="1"/>
    </xf>
    <xf numFmtId="0" fontId="5" fillId="0" borderId="12" xfId="0" applyFont="1" applyBorder="1"/>
    <xf numFmtId="0" fontId="5" fillId="0" borderId="1" xfId="0" applyFont="1" applyBorder="1" applyAlignment="1" applyProtection="1">
      <alignment horizontal="center" vertical="center"/>
      <protection locked="0"/>
    </xf>
    <xf numFmtId="9" fontId="12" fillId="24" borderId="0" xfId="1" applyFont="1" applyFill="1"/>
    <xf numFmtId="0" fontId="5" fillId="0" borderId="0" xfId="0" applyFont="1" applyAlignment="1">
      <alignment horizontal="centerContinuous"/>
    </xf>
    <xf numFmtId="0" fontId="7" fillId="0" borderId="1" xfId="0" applyFont="1" applyBorder="1" applyAlignment="1" applyProtection="1">
      <alignment horizontal="left" vertical="top" wrapText="1"/>
      <protection locked="0"/>
    </xf>
    <xf numFmtId="0" fontId="32" fillId="3" borderId="26" xfId="0" applyFont="1" applyFill="1" applyBorder="1" applyAlignment="1">
      <alignment horizontal="centerContinuous" vertical="center" wrapText="1"/>
    </xf>
    <xf numFmtId="0" fontId="20" fillId="3" borderId="27" xfId="0" applyFont="1" applyFill="1" applyBorder="1" applyAlignment="1">
      <alignment vertical="center" wrapText="1"/>
    </xf>
    <xf numFmtId="0" fontId="20" fillId="4" borderId="28" xfId="0" applyFont="1" applyFill="1" applyBorder="1" applyAlignment="1">
      <alignment vertical="center" wrapText="1"/>
    </xf>
    <xf numFmtId="0" fontId="20" fillId="4" borderId="27" xfId="0" applyFont="1" applyFill="1" applyBorder="1" applyAlignment="1">
      <alignment vertical="center" wrapText="1"/>
    </xf>
    <xf numFmtId="164" fontId="6" fillId="5" borderId="16" xfId="0" applyNumberFormat="1" applyFont="1" applyFill="1" applyBorder="1" applyAlignment="1">
      <alignment vertical="center" wrapText="1"/>
    </xf>
    <xf numFmtId="0" fontId="6" fillId="5" borderId="27" xfId="0" applyFont="1" applyFill="1" applyBorder="1" applyAlignment="1">
      <alignment vertical="center"/>
    </xf>
    <xf numFmtId="0" fontId="25" fillId="22" borderId="37" xfId="0" applyFont="1" applyFill="1" applyBorder="1" applyAlignment="1">
      <alignment horizontal="center" vertical="center"/>
    </xf>
    <xf numFmtId="0" fontId="25" fillId="22" borderId="6" xfId="0" applyFont="1" applyFill="1" applyBorder="1" applyAlignment="1">
      <alignment horizontal="center" vertical="center"/>
    </xf>
    <xf numFmtId="0" fontId="30" fillId="19" borderId="42" xfId="0" applyFont="1" applyFill="1" applyBorder="1" applyAlignment="1">
      <alignment horizontal="left" vertical="center" wrapText="1"/>
    </xf>
    <xf numFmtId="10" fontId="29" fillId="0" borderId="45" xfId="1" applyNumberFormat="1" applyFont="1" applyFill="1" applyBorder="1" applyAlignment="1">
      <alignment vertical="center"/>
    </xf>
    <xf numFmtId="0" fontId="25" fillId="22" borderId="29" xfId="0" applyFont="1" applyFill="1" applyBorder="1" applyAlignment="1">
      <alignment horizontal="center" vertical="center"/>
    </xf>
    <xf numFmtId="0" fontId="25" fillId="22" borderId="39" xfId="0" applyFont="1" applyFill="1" applyBorder="1" applyAlignment="1">
      <alignment horizontal="center" vertical="center"/>
    </xf>
    <xf numFmtId="0" fontId="25" fillId="22" borderId="46" xfId="0" applyFont="1" applyFill="1" applyBorder="1" applyAlignment="1">
      <alignment horizontal="center" vertical="center"/>
    </xf>
    <xf numFmtId="0" fontId="25" fillId="22" borderId="30" xfId="0" applyFont="1" applyFill="1" applyBorder="1" applyAlignment="1">
      <alignment horizontal="center" vertical="center"/>
    </xf>
    <xf numFmtId="0" fontId="14" fillId="0" borderId="40" xfId="0" applyFont="1" applyBorder="1" applyAlignment="1">
      <alignment wrapText="1"/>
    </xf>
    <xf numFmtId="9" fontId="30" fillId="0" borderId="41" xfId="0" applyNumberFormat="1" applyFont="1" applyBorder="1" applyAlignment="1">
      <alignment wrapText="1"/>
    </xf>
    <xf numFmtId="0" fontId="15" fillId="0" borderId="0" xfId="0" applyFont="1" applyAlignment="1">
      <alignment horizontal="center" vertical="center" wrapText="1"/>
    </xf>
    <xf numFmtId="0" fontId="10" fillId="0" borderId="11" xfId="0" applyFont="1" applyBorder="1" applyAlignment="1">
      <alignment horizontal="centerContinuous" vertical="top" wrapText="1"/>
    </xf>
    <xf numFmtId="0" fontId="10" fillId="0" borderId="32" xfId="0" applyFont="1" applyBorder="1" applyAlignment="1">
      <alignment horizontal="centerContinuous" wrapText="1"/>
    </xf>
    <xf numFmtId="0" fontId="10" fillId="0" borderId="12" xfId="0" applyFont="1" applyBorder="1" applyAlignment="1">
      <alignment horizontal="center" wrapText="1"/>
    </xf>
    <xf numFmtId="0" fontId="10" fillId="0" borderId="8" xfId="0" applyFont="1" applyBorder="1" applyAlignment="1">
      <alignment horizontal="center" wrapText="1"/>
    </xf>
    <xf numFmtId="0" fontId="10" fillId="0" borderId="11" xfId="0" applyFont="1" applyBorder="1" applyAlignment="1">
      <alignment horizontal="centerContinuous" wrapText="1"/>
    </xf>
    <xf numFmtId="0" fontId="5" fillId="0" borderId="8" xfId="0" applyFont="1" applyBorder="1"/>
    <xf numFmtId="0" fontId="5" fillId="0" borderId="32" xfId="0" applyFont="1" applyBorder="1" applyAlignment="1">
      <alignment horizontal="centerContinuous"/>
    </xf>
    <xf numFmtId="9" fontId="34" fillId="25" borderId="6" xfId="1" applyFont="1" applyFill="1" applyBorder="1" applyAlignment="1">
      <alignment vertical="center"/>
    </xf>
    <xf numFmtId="0" fontId="36" fillId="0" borderId="0" xfId="0" applyFont="1" applyAlignment="1">
      <alignment horizontal="center" vertical="center" wrapText="1"/>
      <extLst>
        <ext xmlns:xfpb="http://schemas.microsoft.com/office/spreadsheetml/2022/featurepropertybag" uri="{C7286773-470A-42A8-94C5-96B5CB345126}">
          <xfpb:xfComplement i="0"/>
        </ext>
      </extLst>
    </xf>
    <xf numFmtId="0" fontId="37" fillId="0" borderId="0" xfId="2">
      <alignment vertical="center"/>
    </xf>
    <xf numFmtId="0" fontId="39" fillId="0" borderId="0" xfId="2" applyFont="1">
      <alignment vertical="center"/>
    </xf>
    <xf numFmtId="0" fontId="7" fillId="0" borderId="5" xfId="0" applyFont="1" applyBorder="1" applyAlignment="1" applyProtection="1">
      <alignment horizontal="left" vertical="top" wrapText="1"/>
      <protection locked="0"/>
    </xf>
    <xf numFmtId="0" fontId="7" fillId="0" borderId="1"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41" fillId="19" borderId="0" xfId="4" applyFill="1"/>
    <xf numFmtId="0" fontId="30" fillId="19" borderId="0" xfId="4" applyFont="1" applyFill="1" applyAlignment="1">
      <alignment horizontal="center"/>
    </xf>
    <xf numFmtId="0" fontId="28" fillId="19" borderId="0" xfId="4" applyFont="1" applyFill="1"/>
    <xf numFmtId="0" fontId="44" fillId="19" borderId="0" xfId="4" applyFont="1" applyFill="1" applyAlignment="1">
      <alignment vertical="center" wrapText="1"/>
    </xf>
    <xf numFmtId="0" fontId="28" fillId="19" borderId="0" xfId="4" applyFont="1" applyFill="1" applyAlignment="1">
      <alignment vertical="center" wrapText="1"/>
    </xf>
    <xf numFmtId="0" fontId="27" fillId="19" borderId="0" xfId="4" applyFont="1" applyFill="1" applyAlignment="1">
      <alignment vertical="center" wrapText="1"/>
    </xf>
    <xf numFmtId="0" fontId="45" fillId="19" borderId="0" xfId="4" applyFont="1" applyFill="1" applyAlignment="1">
      <alignment vertical="center" wrapText="1"/>
    </xf>
    <xf numFmtId="0" fontId="28" fillId="19" borderId="0" xfId="4" applyFont="1" applyFill="1" applyAlignment="1">
      <alignment wrapText="1"/>
    </xf>
    <xf numFmtId="0" fontId="27" fillId="19" borderId="0" xfId="4" applyFont="1" applyFill="1" applyAlignment="1">
      <alignment wrapText="1"/>
    </xf>
    <xf numFmtId="0" fontId="24" fillId="19" borderId="13" xfId="0" applyFont="1" applyFill="1" applyBorder="1" applyAlignment="1">
      <alignment horizontal="left" vertical="center" wrapText="1"/>
    </xf>
    <xf numFmtId="0" fontId="24" fillId="19" borderId="20" xfId="0" applyFont="1" applyFill="1" applyBorder="1" applyAlignment="1">
      <alignment horizontal="left" vertical="center" wrapText="1"/>
    </xf>
    <xf numFmtId="0" fontId="12" fillId="0" borderId="50" xfId="0" applyFont="1" applyBorder="1" applyAlignment="1">
      <alignment wrapText="1"/>
    </xf>
    <xf numFmtId="0" fontId="12" fillId="0" borderId="48" xfId="0" applyFont="1" applyBorder="1" applyAlignment="1">
      <alignment wrapText="1"/>
    </xf>
    <xf numFmtId="0" fontId="12" fillId="0" borderId="49" xfId="0" applyFont="1" applyBorder="1" applyAlignment="1">
      <alignment wrapText="1"/>
    </xf>
    <xf numFmtId="164" fontId="34" fillId="25" borderId="6" xfId="1" applyNumberFormat="1" applyFont="1" applyFill="1" applyBorder="1" applyAlignment="1">
      <alignment vertical="center"/>
    </xf>
    <xf numFmtId="0" fontId="10" fillId="0" borderId="0" xfId="0" applyFont="1" applyAlignment="1">
      <alignment horizontal="left" vertical="top" wrapText="1"/>
    </xf>
    <xf numFmtId="0" fontId="14" fillId="0" borderId="0" xfId="0" applyFont="1" applyAlignment="1">
      <alignment horizontal="left" vertical="top" wrapText="1"/>
    </xf>
    <xf numFmtId="0" fontId="25" fillId="22" borderId="38" xfId="0" applyFont="1" applyFill="1" applyBorder="1" applyAlignment="1">
      <alignment horizontal="center" vertical="center"/>
    </xf>
    <xf numFmtId="0" fontId="10" fillId="0" borderId="0" xfId="0" applyFont="1" applyAlignment="1">
      <alignment horizontal="center" wrapText="1"/>
    </xf>
    <xf numFmtId="0" fontId="5" fillId="0" borderId="1" xfId="0" applyFont="1" applyBorder="1" applyAlignment="1" applyProtection="1">
      <alignment vertical="top"/>
      <protection locked="0"/>
    </xf>
    <xf numFmtId="0" fontId="7" fillId="0" borderId="4" xfId="0" applyFont="1" applyBorder="1" applyAlignment="1" applyProtection="1">
      <alignment horizontal="center" vertical="center"/>
      <protection locked="0"/>
    </xf>
    <xf numFmtId="9" fontId="12" fillId="0" borderId="0" xfId="0" applyNumberFormat="1" applyFont="1"/>
    <xf numFmtId="164" fontId="33" fillId="22" borderId="33" xfId="1" applyNumberFormat="1" applyFont="1" applyFill="1" applyBorder="1" applyAlignment="1">
      <alignment vertical="center"/>
    </xf>
    <xf numFmtId="164" fontId="33" fillId="22" borderId="2" xfId="1" applyNumberFormat="1" applyFont="1" applyFill="1" applyBorder="1" applyAlignment="1">
      <alignment vertical="center"/>
    </xf>
    <xf numFmtId="0" fontId="7" fillId="0" borderId="1" xfId="0" applyFont="1" applyBorder="1" applyAlignment="1" applyProtection="1">
      <alignment horizontal="left" vertical="top"/>
      <protection locked="0"/>
    </xf>
    <xf numFmtId="0" fontId="7" fillId="0" borderId="5" xfId="0" applyFont="1" applyBorder="1" applyAlignment="1" applyProtection="1">
      <alignment horizontal="left" vertical="top"/>
      <protection locked="0"/>
    </xf>
    <xf numFmtId="0" fontId="7" fillId="0" borderId="1" xfId="0" applyFont="1" applyBorder="1" applyAlignment="1">
      <alignment horizontal="center" vertical="center"/>
    </xf>
    <xf numFmtId="10" fontId="7" fillId="0" borderId="1" xfId="1" applyNumberFormat="1" applyFont="1" applyBorder="1" applyAlignment="1">
      <alignment horizontal="center" vertical="center"/>
    </xf>
    <xf numFmtId="9" fontId="7" fillId="0" borderId="1" xfId="0" applyNumberFormat="1" applyFont="1" applyBorder="1" applyAlignment="1" applyProtection="1">
      <alignment horizontal="left" vertical="top" wrapText="1"/>
      <protection locked="0"/>
    </xf>
    <xf numFmtId="0" fontId="7" fillId="0" borderId="5" xfId="0" applyFont="1" applyBorder="1" applyAlignment="1">
      <alignment horizontal="center" vertical="center"/>
    </xf>
    <xf numFmtId="10" fontId="7" fillId="0" borderId="5" xfId="1" applyNumberFormat="1" applyFont="1" applyBorder="1" applyAlignment="1">
      <alignment horizontal="center" vertical="center"/>
    </xf>
    <xf numFmtId="0" fontId="7" fillId="0" borderId="1" xfId="0" applyFont="1" applyBorder="1" applyProtection="1">
      <protection locked="0"/>
    </xf>
    <xf numFmtId="9" fontId="5" fillId="0" borderId="5" xfId="0" applyNumberFormat="1" applyFont="1" applyBorder="1" applyAlignment="1" applyProtection="1">
      <alignment horizontal="left" vertical="top" wrapText="1"/>
      <protection locked="0"/>
    </xf>
    <xf numFmtId="0" fontId="5" fillId="0" borderId="1" xfId="0" applyFont="1" applyBorder="1" applyAlignment="1">
      <alignment horizontal="center" vertical="center"/>
    </xf>
    <xf numFmtId="10" fontId="5" fillId="0" borderId="1" xfId="1" applyNumberFormat="1" applyFont="1" applyBorder="1" applyAlignment="1">
      <alignment horizontal="center" vertical="center"/>
    </xf>
    <xf numFmtId="9" fontId="5" fillId="0" borderId="1" xfId="0" applyNumberFormat="1" applyFont="1" applyBorder="1" applyAlignment="1" applyProtection="1">
      <alignment horizontal="left" vertical="top" wrapText="1"/>
      <protection locked="0"/>
    </xf>
    <xf numFmtId="0" fontId="5" fillId="0" borderId="5" xfId="0" applyFont="1" applyBorder="1" applyAlignment="1" applyProtection="1">
      <alignment horizontal="left" vertical="top" wrapText="1"/>
      <protection locked="0"/>
    </xf>
    <xf numFmtId="0" fontId="5" fillId="0" borderId="5" xfId="0" applyFont="1" applyBorder="1" applyAlignment="1" applyProtection="1">
      <alignment horizontal="center" vertical="center"/>
      <protection locked="0"/>
    </xf>
    <xf numFmtId="0" fontId="5" fillId="0" borderId="5" xfId="0" applyFont="1" applyBorder="1" applyAlignment="1">
      <alignment horizontal="center" vertical="center"/>
    </xf>
    <xf numFmtId="10" fontId="5" fillId="0" borderId="5" xfId="1" applyNumberFormat="1" applyFont="1" applyBorder="1" applyAlignment="1">
      <alignment horizontal="center" vertical="center"/>
    </xf>
    <xf numFmtId="0" fontId="7" fillId="26" borderId="1" xfId="0" applyFont="1" applyFill="1" applyBorder="1" applyAlignment="1">
      <alignment horizontal="left" vertical="top" wrapText="1"/>
    </xf>
    <xf numFmtId="0" fontId="25" fillId="22" borderId="11" xfId="0" applyFont="1" applyFill="1" applyBorder="1" applyAlignment="1">
      <alignment horizontal="center" vertical="center"/>
    </xf>
    <xf numFmtId="9" fontId="46" fillId="0" borderId="41" xfId="0" applyNumberFormat="1" applyFont="1" applyBorder="1" applyAlignment="1">
      <alignment wrapText="1"/>
    </xf>
    <xf numFmtId="0" fontId="5" fillId="0" borderId="5" xfId="0" applyFont="1" applyBorder="1" applyAlignment="1" applyProtection="1">
      <alignment vertical="top" wrapText="1"/>
      <protection locked="0"/>
    </xf>
    <xf numFmtId="0" fontId="5" fillId="0" borderId="1" xfId="0" applyFont="1" applyBorder="1" applyAlignment="1" applyProtection="1">
      <alignment horizontal="left" vertical="center" wrapText="1"/>
      <protection locked="0"/>
    </xf>
    <xf numFmtId="0" fontId="47" fillId="0" borderId="0" xfId="0" applyFont="1"/>
    <xf numFmtId="0" fontId="48" fillId="0" borderId="1" xfId="0" applyFont="1" applyBorder="1" applyAlignment="1" applyProtection="1">
      <alignment horizontal="left" vertical="top" wrapText="1"/>
      <protection locked="0"/>
    </xf>
    <xf numFmtId="0" fontId="4" fillId="3" borderId="1" xfId="0" applyFont="1" applyFill="1" applyBorder="1" applyAlignment="1">
      <alignment horizontal="center" vertical="center"/>
    </xf>
    <xf numFmtId="0" fontId="4" fillId="3" borderId="5" xfId="0" applyFont="1" applyFill="1" applyBorder="1" applyAlignment="1">
      <alignment horizontal="center" vertical="center"/>
    </xf>
    <xf numFmtId="0" fontId="49" fillId="0" borderId="0" xfId="0" applyFont="1"/>
    <xf numFmtId="0" fontId="28" fillId="0" borderId="0" xfId="0" applyFont="1" applyAlignment="1" applyProtection="1">
      <alignment horizontal="left" wrapText="1"/>
      <protection locked="0"/>
    </xf>
    <xf numFmtId="0" fontId="5" fillId="0" borderId="4" xfId="0" applyFont="1" applyBorder="1" applyAlignment="1" applyProtection="1">
      <alignment horizontal="center" vertical="top"/>
      <protection locked="0"/>
    </xf>
    <xf numFmtId="0" fontId="7" fillId="0" borderId="4" xfId="0" applyFont="1" applyBorder="1" applyAlignment="1" applyProtection="1">
      <alignment horizontal="center" vertical="top"/>
      <protection locked="0"/>
    </xf>
    <xf numFmtId="0" fontId="5" fillId="0" borderId="1" xfId="0" applyFont="1" applyBorder="1" applyAlignment="1" applyProtection="1">
      <alignment vertical="center" wrapText="1"/>
      <protection locked="0"/>
    </xf>
    <xf numFmtId="10" fontId="5" fillId="0" borderId="1" xfId="0" applyNumberFormat="1" applyFont="1" applyBorder="1" applyAlignment="1" applyProtection="1">
      <alignment horizontal="center" vertical="center"/>
      <protection locked="0"/>
    </xf>
    <xf numFmtId="0" fontId="5" fillId="0" borderId="2" xfId="0" applyFont="1" applyBorder="1" applyAlignment="1">
      <alignment vertical="center"/>
    </xf>
    <xf numFmtId="0" fontId="5" fillId="0" borderId="51" xfId="0" applyFont="1" applyBorder="1" applyAlignment="1">
      <alignment horizontal="left" vertical="top" wrapText="1"/>
    </xf>
    <xf numFmtId="0" fontId="5" fillId="0" borderId="5" xfId="0" applyFont="1" applyBorder="1" applyAlignment="1">
      <alignment horizontal="left" vertical="top" wrapText="1"/>
    </xf>
    <xf numFmtId="0" fontId="5" fillId="0" borderId="5" xfId="0" applyFont="1" applyBorder="1" applyAlignment="1" applyProtection="1">
      <alignment vertical="center" wrapText="1"/>
      <protection locked="0"/>
    </xf>
    <xf numFmtId="10" fontId="5" fillId="0" borderId="5" xfId="0" applyNumberFormat="1" applyFont="1" applyBorder="1" applyAlignment="1" applyProtection="1">
      <alignment horizontal="center" vertical="center"/>
      <protection locked="0"/>
    </xf>
    <xf numFmtId="0" fontId="5" fillId="0" borderId="10" xfId="0" applyFont="1" applyBorder="1" applyAlignment="1">
      <alignment vertical="center"/>
    </xf>
    <xf numFmtId="10" fontId="5" fillId="0" borderId="5" xfId="0" applyNumberFormat="1" applyFont="1" applyBorder="1" applyAlignment="1">
      <alignment vertical="center"/>
    </xf>
    <xf numFmtId="10" fontId="5" fillId="0" borderId="5" xfId="1" applyNumberFormat="1" applyFont="1" applyFill="1" applyBorder="1" applyAlignment="1">
      <alignment horizontal="center" vertical="center"/>
    </xf>
    <xf numFmtId="0" fontId="5" fillId="0" borderId="5" xfId="0" applyFont="1" applyBorder="1" applyAlignment="1" applyProtection="1">
      <alignment wrapText="1"/>
      <protection locked="0"/>
    </xf>
    <xf numFmtId="10" fontId="29" fillId="0" borderId="34" xfId="1" applyNumberFormat="1" applyFont="1" applyFill="1" applyBorder="1" applyAlignment="1">
      <alignment horizontal="center" vertical="center"/>
    </xf>
    <xf numFmtId="10" fontId="29" fillId="0" borderId="35" xfId="1" applyNumberFormat="1" applyFont="1" applyFill="1" applyBorder="1" applyAlignment="1">
      <alignment horizontal="center" vertical="center"/>
    </xf>
    <xf numFmtId="164" fontId="33" fillId="23" borderId="31" xfId="1" applyNumberFormat="1" applyFont="1" applyFill="1" applyBorder="1" applyAlignment="1">
      <alignment horizontal="center" vertical="center"/>
    </xf>
    <xf numFmtId="164" fontId="33" fillId="23" borderId="1" xfId="1" applyNumberFormat="1" applyFont="1" applyFill="1" applyBorder="1" applyAlignment="1">
      <alignment horizontal="center" vertical="center"/>
    </xf>
    <xf numFmtId="164" fontId="29" fillId="0" borderId="43" xfId="1" applyNumberFormat="1" applyFont="1" applyFill="1" applyBorder="1" applyAlignment="1">
      <alignment horizontal="center" vertical="center"/>
    </xf>
    <xf numFmtId="9" fontId="30" fillId="0" borderId="44" xfId="0" applyNumberFormat="1" applyFont="1" applyBorder="1" applyAlignment="1">
      <alignment horizontal="center" wrapText="1"/>
    </xf>
    <xf numFmtId="10" fontId="29" fillId="0" borderId="45" xfId="1" applyNumberFormat="1" applyFont="1" applyFill="1" applyBorder="1" applyAlignment="1">
      <alignment horizontal="center" vertical="center"/>
    </xf>
    <xf numFmtId="10" fontId="29" fillId="0" borderId="36" xfId="1" applyNumberFormat="1" applyFont="1" applyFill="1" applyBorder="1" applyAlignment="1">
      <alignment horizontal="center" vertical="center"/>
    </xf>
    <xf numFmtId="0" fontId="8" fillId="27" borderId="1" xfId="0" applyFont="1" applyFill="1" applyBorder="1" applyAlignment="1" applyProtection="1">
      <alignment vertical="center" wrapText="1"/>
      <protection locked="0"/>
    </xf>
    <xf numFmtId="0" fontId="53" fillId="0" borderId="1" xfId="0" applyFont="1" applyBorder="1" applyAlignment="1" applyProtection="1">
      <alignment horizontal="left" vertical="top" wrapText="1"/>
      <protection locked="0"/>
    </xf>
    <xf numFmtId="0" fontId="40" fillId="19" borderId="0" xfId="2" applyFont="1" applyFill="1" applyAlignment="1"/>
    <xf numFmtId="0" fontId="39" fillId="19" borderId="0" xfId="2" applyFont="1" applyFill="1">
      <alignment vertical="center"/>
    </xf>
    <xf numFmtId="0" fontId="37" fillId="19" borderId="0" xfId="2" applyFill="1">
      <alignment vertical="center"/>
    </xf>
    <xf numFmtId="0" fontId="54" fillId="19" borderId="0" xfId="2" applyFont="1" applyFill="1">
      <alignment vertical="center"/>
    </xf>
    <xf numFmtId="0" fontId="44" fillId="19" borderId="0" xfId="2" applyFont="1" applyFill="1" applyAlignment="1">
      <alignment vertical="center" wrapText="1"/>
    </xf>
    <xf numFmtId="0" fontId="27" fillId="19" borderId="0" xfId="2" applyFont="1" applyFill="1" applyAlignment="1">
      <alignment vertical="center" wrapText="1"/>
    </xf>
    <xf numFmtId="0" fontId="44" fillId="19" borderId="0" xfId="2" applyFont="1" applyFill="1" applyAlignment="1">
      <alignment wrapText="1"/>
    </xf>
    <xf numFmtId="0" fontId="27" fillId="19" borderId="0" xfId="2" applyFont="1" applyFill="1" applyAlignment="1">
      <alignment wrapText="1"/>
    </xf>
    <xf numFmtId="0" fontId="29" fillId="19" borderId="0" xfId="2" applyFont="1" applyFill="1" applyAlignment="1"/>
    <xf numFmtId="0" fontId="38" fillId="19" borderId="0" xfId="2" applyFont="1" applyFill="1">
      <alignment vertical="center"/>
    </xf>
    <xf numFmtId="0" fontId="5" fillId="19" borderId="4" xfId="0" applyFont="1" applyFill="1" applyBorder="1" applyAlignment="1" applyProtection="1">
      <alignment horizontal="center" vertical="center"/>
      <protection locked="0"/>
    </xf>
    <xf numFmtId="0" fontId="52" fillId="19" borderId="1" xfId="0" applyFont="1" applyFill="1" applyBorder="1" applyAlignment="1" applyProtection="1">
      <alignment horizontal="left" vertical="top" wrapText="1"/>
      <protection locked="0"/>
    </xf>
    <xf numFmtId="0" fontId="7" fillId="19" borderId="5" xfId="0" applyFont="1" applyFill="1" applyBorder="1" applyAlignment="1" applyProtection="1">
      <alignment horizontal="left" vertical="top" wrapText="1"/>
      <protection locked="0"/>
    </xf>
    <xf numFmtId="0" fontId="7" fillId="19" borderId="1" xfId="0" applyFont="1" applyFill="1" applyBorder="1" applyAlignment="1" applyProtection="1">
      <alignment horizontal="left" vertical="top"/>
      <protection locked="0"/>
    </xf>
    <xf numFmtId="0" fontId="7" fillId="19" borderId="1" xfId="0" applyFont="1" applyFill="1" applyBorder="1" applyAlignment="1" applyProtection="1">
      <alignment horizontal="center" vertical="center"/>
      <protection locked="0"/>
    </xf>
    <xf numFmtId="0" fontId="7" fillId="19" borderId="1" xfId="0" applyFont="1" applyFill="1" applyBorder="1" applyAlignment="1">
      <alignment horizontal="center" vertical="center"/>
    </xf>
    <xf numFmtId="10" fontId="7" fillId="19" borderId="1" xfId="1" applyNumberFormat="1" applyFont="1" applyFill="1" applyBorder="1" applyAlignment="1">
      <alignment horizontal="center" vertical="center"/>
    </xf>
    <xf numFmtId="9" fontId="7" fillId="19" borderId="1" xfId="0" applyNumberFormat="1" applyFont="1" applyFill="1" applyBorder="1" applyAlignment="1" applyProtection="1">
      <alignment horizontal="left" vertical="top" wrapText="1"/>
      <protection locked="0"/>
    </xf>
    <xf numFmtId="0" fontId="8" fillId="19" borderId="1" xfId="0" applyFont="1" applyFill="1" applyBorder="1" applyAlignment="1" applyProtection="1">
      <alignment horizontal="left" vertical="top" wrapText="1"/>
      <protection locked="0"/>
    </xf>
    <xf numFmtId="0" fontId="8" fillId="19" borderId="1" xfId="0" applyFont="1" applyFill="1" applyBorder="1" applyAlignment="1" applyProtection="1">
      <alignment vertical="center" wrapText="1"/>
      <protection locked="0"/>
    </xf>
    <xf numFmtId="10" fontId="7" fillId="19" borderId="1" xfId="0" applyNumberFormat="1" applyFont="1" applyFill="1" applyBorder="1" applyAlignment="1" applyProtection="1">
      <alignment horizontal="center" vertical="center"/>
      <protection locked="0"/>
    </xf>
    <xf numFmtId="0" fontId="5" fillId="19" borderId="1" xfId="0" applyFont="1" applyFill="1" applyBorder="1" applyProtection="1">
      <protection locked="0"/>
    </xf>
    <xf numFmtId="0" fontId="7" fillId="19" borderId="5" xfId="0" applyFont="1" applyFill="1" applyBorder="1" applyAlignment="1" applyProtection="1">
      <alignment horizontal="left" vertical="top"/>
      <protection locked="0"/>
    </xf>
    <xf numFmtId="0" fontId="7" fillId="19" borderId="5" xfId="0" applyFont="1" applyFill="1" applyBorder="1" applyAlignment="1" applyProtection="1">
      <alignment horizontal="center" vertical="center"/>
      <protection locked="0"/>
    </xf>
    <xf numFmtId="0" fontId="7" fillId="19" borderId="5" xfId="0" applyFont="1" applyFill="1" applyBorder="1" applyAlignment="1">
      <alignment horizontal="center" vertical="center"/>
    </xf>
    <xf numFmtId="10" fontId="7" fillId="19" borderId="5" xfId="1" applyNumberFormat="1" applyFont="1" applyFill="1" applyBorder="1" applyAlignment="1">
      <alignment horizontal="center" vertical="center"/>
    </xf>
    <xf numFmtId="0" fontId="8" fillId="19" borderId="5" xfId="0" applyFont="1" applyFill="1" applyBorder="1" applyAlignment="1" applyProtection="1">
      <alignment horizontal="left" vertical="top" wrapText="1"/>
      <protection locked="0"/>
    </xf>
    <xf numFmtId="0" fontId="8" fillId="19" borderId="5" xfId="0" applyFont="1" applyFill="1" applyBorder="1" applyAlignment="1" applyProtection="1">
      <alignment vertical="center" wrapText="1"/>
      <protection locked="0"/>
    </xf>
    <xf numFmtId="10" fontId="7" fillId="19" borderId="5" xfId="0" applyNumberFormat="1" applyFont="1" applyFill="1" applyBorder="1" applyAlignment="1" applyProtection="1">
      <alignment horizontal="center" vertical="center"/>
      <protection locked="0"/>
    </xf>
    <xf numFmtId="0" fontId="5" fillId="19" borderId="5" xfId="0" applyFont="1" applyFill="1" applyBorder="1" applyProtection="1">
      <protection locked="0"/>
    </xf>
    <xf numFmtId="0" fontId="7" fillId="19" borderId="1" xfId="0" applyFont="1" applyFill="1" applyBorder="1" applyAlignment="1" applyProtection="1">
      <alignment horizontal="left" vertical="top" wrapText="1"/>
      <protection locked="0"/>
    </xf>
    <xf numFmtId="0" fontId="5" fillId="2" borderId="4" xfId="0" applyFont="1" applyFill="1" applyBorder="1" applyAlignment="1" applyProtection="1">
      <alignment horizontal="center" vertical="center"/>
      <protection locked="0"/>
    </xf>
    <xf numFmtId="0" fontId="7" fillId="2" borderId="5" xfId="0" applyFont="1" applyFill="1" applyBorder="1" applyAlignment="1" applyProtection="1">
      <alignment horizontal="left" vertical="top" wrapText="1"/>
      <protection locked="0"/>
    </xf>
    <xf numFmtId="0" fontId="7" fillId="2" borderId="1" xfId="0" applyFont="1" applyFill="1" applyBorder="1" applyAlignment="1" applyProtection="1">
      <alignment horizontal="left" vertical="top"/>
      <protection locked="0"/>
    </xf>
    <xf numFmtId="0" fontId="7" fillId="2" borderId="5" xfId="0" applyFont="1" applyFill="1" applyBorder="1" applyAlignment="1" applyProtection="1">
      <alignment horizontal="center" vertical="center"/>
      <protection locked="0"/>
    </xf>
    <xf numFmtId="0" fontId="7" fillId="2" borderId="1" xfId="0" applyFont="1" applyFill="1" applyBorder="1" applyAlignment="1">
      <alignment horizontal="center" vertical="center"/>
    </xf>
    <xf numFmtId="10" fontId="7" fillId="2" borderId="1" xfId="1" applyNumberFormat="1" applyFont="1" applyFill="1" applyBorder="1" applyAlignment="1">
      <alignment horizontal="center" vertical="center"/>
    </xf>
    <xf numFmtId="9" fontId="7" fillId="2" borderId="1" xfId="0" applyNumberFormat="1" applyFont="1" applyFill="1" applyBorder="1" applyAlignment="1" applyProtection="1">
      <alignment horizontal="left" vertical="top" wrapText="1"/>
      <protection locked="0"/>
    </xf>
    <xf numFmtId="0" fontId="8" fillId="2" borderId="5" xfId="0" applyFont="1" applyFill="1" applyBorder="1" applyAlignment="1" applyProtection="1">
      <alignment horizontal="left" vertical="top" wrapText="1"/>
      <protection locked="0"/>
    </xf>
    <xf numFmtId="0" fontId="8" fillId="2" borderId="5" xfId="0" applyFont="1" applyFill="1" applyBorder="1" applyAlignment="1" applyProtection="1">
      <alignment vertical="center" wrapText="1"/>
      <protection locked="0"/>
    </xf>
    <xf numFmtId="10" fontId="7" fillId="2" borderId="1" xfId="0" applyNumberFormat="1" applyFont="1" applyFill="1" applyBorder="1" applyAlignment="1" applyProtection="1">
      <alignment horizontal="center" vertical="center"/>
      <protection locked="0"/>
    </xf>
    <xf numFmtId="0" fontId="5" fillId="2" borderId="1" xfId="0" applyFont="1" applyFill="1" applyBorder="1" applyProtection="1">
      <protection locked="0"/>
    </xf>
    <xf numFmtId="0" fontId="7" fillId="2" borderId="1" xfId="0" applyFont="1" applyFill="1" applyBorder="1" applyProtection="1">
      <protection locked="0"/>
    </xf>
    <xf numFmtId="0" fontId="7" fillId="2" borderId="1" xfId="0" applyFont="1" applyFill="1" applyBorder="1" applyAlignment="1" applyProtection="1">
      <alignment horizontal="left" vertical="top" wrapText="1"/>
      <protection locked="0"/>
    </xf>
    <xf numFmtId="0" fontId="7" fillId="19" borderId="1" xfId="0" applyFont="1" applyFill="1" applyBorder="1" applyProtection="1">
      <protection locked="0"/>
    </xf>
    <xf numFmtId="0" fontId="5" fillId="19" borderId="1" xfId="0" applyFont="1" applyFill="1" applyBorder="1" applyAlignment="1" applyProtection="1">
      <alignment horizontal="left" vertical="top" wrapText="1"/>
      <protection locked="0"/>
    </xf>
    <xf numFmtId="0" fontId="5" fillId="19" borderId="5" xfId="0" applyFont="1" applyFill="1" applyBorder="1" applyAlignment="1" applyProtection="1">
      <alignment horizontal="left" vertical="top" wrapText="1"/>
      <protection locked="0"/>
    </xf>
    <xf numFmtId="0" fontId="23" fillId="13" borderId="0" xfId="0" applyFont="1" applyFill="1" applyAlignment="1" applyProtection="1">
      <alignment horizontal="left" vertical="top"/>
      <protection locked="0"/>
    </xf>
    <xf numFmtId="0" fontId="23" fillId="14" borderId="0" xfId="0" applyFont="1" applyFill="1" applyAlignment="1" applyProtection="1">
      <alignment horizontal="left" vertical="top"/>
      <protection locked="0"/>
    </xf>
    <xf numFmtId="0" fontId="23" fillId="19" borderId="0" xfId="0" applyFont="1" applyFill="1" applyAlignment="1" applyProtection="1">
      <alignment horizontal="left" vertical="top" wrapText="1"/>
      <protection locked="0"/>
    </xf>
    <xf numFmtId="0" fontId="26" fillId="15" borderId="4" xfId="0" applyFont="1" applyFill="1" applyBorder="1" applyAlignment="1" applyProtection="1">
      <alignment horizontal="left" vertical="top" wrapText="1"/>
      <protection locked="0"/>
    </xf>
    <xf numFmtId="0" fontId="23" fillId="16" borderId="4" xfId="0" applyFont="1" applyFill="1" applyBorder="1" applyAlignment="1" applyProtection="1">
      <alignment horizontal="left" vertical="top" wrapText="1"/>
      <protection locked="0"/>
    </xf>
    <xf numFmtId="0" fontId="23" fillId="17" borderId="4" xfId="0" applyFont="1" applyFill="1" applyBorder="1" applyAlignment="1" applyProtection="1">
      <alignment horizontal="left" vertical="top" wrapText="1"/>
      <protection locked="0"/>
    </xf>
    <xf numFmtId="0" fontId="23" fillId="18" borderId="4" xfId="0" applyFont="1" applyFill="1" applyBorder="1" applyAlignment="1" applyProtection="1">
      <alignment horizontal="left" vertical="top" wrapText="1"/>
      <protection locked="0"/>
    </xf>
    <xf numFmtId="0" fontId="23" fillId="19" borderId="4" xfId="0" applyFont="1" applyFill="1" applyBorder="1" applyAlignment="1" applyProtection="1">
      <alignment horizontal="left" vertical="top" wrapText="1"/>
      <protection locked="0"/>
    </xf>
    <xf numFmtId="0" fontId="23" fillId="20" borderId="4" xfId="0" applyFont="1" applyFill="1" applyBorder="1" applyAlignment="1" applyProtection="1">
      <alignment horizontal="left" vertical="top" wrapText="1"/>
      <protection locked="0"/>
    </xf>
    <xf numFmtId="0" fontId="23" fillId="21" borderId="4" xfId="0" applyFont="1" applyFill="1" applyBorder="1" applyAlignment="1" applyProtection="1">
      <alignment horizontal="left" vertical="top" wrapText="1"/>
      <protection locked="0"/>
    </xf>
    <xf numFmtId="0" fontId="23" fillId="19" borderId="0" xfId="0" applyFont="1" applyFill="1" applyAlignment="1" applyProtection="1">
      <alignment horizontal="left" vertical="top"/>
      <protection locked="0"/>
    </xf>
    <xf numFmtId="0" fontId="23" fillId="19" borderId="10" xfId="0" applyFont="1" applyFill="1" applyBorder="1" applyAlignment="1" applyProtection="1">
      <alignment horizontal="left" vertical="top"/>
      <protection locked="0"/>
    </xf>
    <xf numFmtId="0" fontId="23" fillId="19" borderId="52" xfId="0" applyFont="1" applyFill="1" applyBorder="1" applyAlignment="1" applyProtection="1">
      <alignment horizontal="left" vertical="top"/>
      <protection locked="0"/>
    </xf>
    <xf numFmtId="0" fontId="23" fillId="19" borderId="52" xfId="0" applyFont="1" applyFill="1" applyBorder="1" applyAlignment="1" applyProtection="1">
      <alignment horizontal="left" vertical="top" wrapText="1"/>
      <protection locked="0"/>
    </xf>
    <xf numFmtId="0" fontId="23" fillId="19" borderId="9" xfId="0" applyFont="1" applyFill="1" applyBorder="1" applyAlignment="1" applyProtection="1">
      <alignment horizontal="left" vertical="top"/>
      <protection locked="0"/>
    </xf>
    <xf numFmtId="0" fontId="23" fillId="19" borderId="11" xfId="0" applyFont="1" applyFill="1" applyBorder="1" applyAlignment="1" applyProtection="1">
      <alignment horizontal="left" vertical="top"/>
      <protection locked="0"/>
    </xf>
    <xf numFmtId="0" fontId="23" fillId="19" borderId="32" xfId="0" applyFont="1" applyFill="1" applyBorder="1" applyAlignment="1" applyProtection="1">
      <alignment horizontal="left" vertical="top"/>
      <protection locked="0"/>
    </xf>
    <xf numFmtId="0" fontId="24" fillId="19" borderId="11" xfId="0" applyFont="1" applyFill="1" applyBorder="1" applyAlignment="1" applyProtection="1">
      <alignment horizontal="left" vertical="center"/>
      <protection locked="0"/>
    </xf>
    <xf numFmtId="0" fontId="24" fillId="19" borderId="32" xfId="0" applyFont="1" applyFill="1" applyBorder="1" applyAlignment="1" applyProtection="1">
      <alignment horizontal="left" vertical="center"/>
      <protection locked="0"/>
    </xf>
    <xf numFmtId="0" fontId="26" fillId="19" borderId="0" xfId="0" applyFont="1" applyFill="1" applyAlignment="1" applyProtection="1">
      <alignment horizontal="left" vertical="top" wrapText="1"/>
      <protection locked="0"/>
    </xf>
    <xf numFmtId="0" fontId="26" fillId="19" borderId="0" xfId="0" applyFont="1" applyFill="1" applyAlignment="1" applyProtection="1">
      <alignment horizontal="left" vertical="top"/>
      <protection locked="0"/>
    </xf>
    <xf numFmtId="0" fontId="23" fillId="19" borderId="0" xfId="0" quotePrefix="1" applyFont="1" applyFill="1" applyAlignment="1" applyProtection="1">
      <alignment horizontal="right" vertical="top"/>
      <protection locked="0"/>
    </xf>
    <xf numFmtId="0" fontId="42" fillId="19" borderId="0" xfId="0" quotePrefix="1" applyFont="1" applyFill="1" applyAlignment="1" applyProtection="1">
      <alignment horizontal="left" vertical="top" wrapText="1"/>
      <protection locked="0"/>
    </xf>
    <xf numFmtId="0" fontId="23" fillId="19" borderId="0" xfId="0" applyFont="1" applyFill="1" applyAlignment="1" applyProtection="1">
      <alignment vertical="top" wrapText="1"/>
      <protection locked="0"/>
    </xf>
    <xf numFmtId="0" fontId="23" fillId="19" borderId="0" xfId="0" quotePrefix="1" applyFont="1" applyFill="1" applyAlignment="1" applyProtection="1">
      <alignment horizontal="right" vertical="center"/>
      <protection locked="0"/>
    </xf>
    <xf numFmtId="0" fontId="0" fillId="19" borderId="0" xfId="0" applyFill="1" applyAlignment="1" applyProtection="1">
      <alignment vertical="top" wrapText="1"/>
      <protection locked="0"/>
    </xf>
    <xf numFmtId="0" fontId="23" fillId="19" borderId="12" xfId="0" applyFont="1" applyFill="1" applyBorder="1" applyAlignment="1" applyProtection="1">
      <alignment horizontal="left" vertical="top"/>
      <protection locked="0"/>
    </xf>
    <xf numFmtId="0" fontId="23" fillId="19" borderId="53" xfId="0" applyFont="1" applyFill="1" applyBorder="1" applyAlignment="1" applyProtection="1">
      <alignment horizontal="left" vertical="top"/>
      <protection locked="0"/>
    </xf>
    <xf numFmtId="0" fontId="23" fillId="19" borderId="53" xfId="0" applyFont="1" applyFill="1" applyBorder="1" applyAlignment="1" applyProtection="1">
      <alignment horizontal="left" vertical="top" wrapText="1"/>
      <protection locked="0"/>
    </xf>
    <xf numFmtId="0" fontId="23" fillId="19" borderId="8" xfId="0" applyFont="1" applyFill="1" applyBorder="1" applyAlignment="1" applyProtection="1">
      <alignment horizontal="left" vertical="top"/>
      <protection locked="0"/>
    </xf>
    <xf numFmtId="0" fontId="5" fillId="2" borderId="5" xfId="0" applyFont="1" applyFill="1" applyBorder="1" applyAlignment="1">
      <alignment vertical="center"/>
    </xf>
    <xf numFmtId="0" fontId="7" fillId="2" borderId="5" xfId="0" applyFont="1" applyFill="1" applyBorder="1" applyAlignment="1" applyProtection="1">
      <alignment horizontal="left" vertical="top"/>
      <protection locked="0"/>
    </xf>
    <xf numFmtId="0" fontId="7" fillId="2" borderId="5" xfId="0" applyFont="1" applyFill="1" applyBorder="1" applyAlignment="1">
      <alignment horizontal="center" vertical="center"/>
    </xf>
    <xf numFmtId="10" fontId="7" fillId="2" borderId="5" xfId="1" applyNumberFormat="1" applyFont="1" applyFill="1" applyBorder="1" applyAlignment="1">
      <alignment horizontal="center" vertical="center"/>
    </xf>
    <xf numFmtId="10" fontId="7" fillId="2" borderId="5" xfId="0" applyNumberFormat="1" applyFont="1" applyFill="1" applyBorder="1" applyAlignment="1" applyProtection="1">
      <alignment horizontal="center" vertical="center"/>
      <protection locked="0"/>
    </xf>
    <xf numFmtId="0" fontId="5" fillId="2" borderId="5" xfId="0" applyFont="1" applyFill="1" applyBorder="1" applyProtection="1">
      <protection locked="0"/>
    </xf>
    <xf numFmtId="0" fontId="0" fillId="0" borderId="0" xfId="0" applyAlignment="1">
      <alignment vertical="top"/>
    </xf>
    <xf numFmtId="0" fontId="60" fillId="28" borderId="4" xfId="0" applyFont="1" applyFill="1" applyBorder="1" applyAlignment="1">
      <alignment vertical="top" wrapText="1"/>
    </xf>
    <xf numFmtId="0" fontId="37" fillId="0" borderId="0" xfId="0" applyFont="1" applyAlignment="1">
      <alignment vertical="top"/>
    </xf>
    <xf numFmtId="0" fontId="61" fillId="0" borderId="0" xfId="0" applyFont="1" applyAlignment="1">
      <alignment vertical="top"/>
    </xf>
    <xf numFmtId="0" fontId="61" fillId="0" borderId="0" xfId="0" applyFont="1" applyAlignment="1">
      <alignment vertical="top" wrapText="1"/>
    </xf>
    <xf numFmtId="0" fontId="37" fillId="28" borderId="8" xfId="0" applyFont="1" applyFill="1" applyBorder="1" applyAlignment="1">
      <alignment vertical="top" wrapText="1"/>
    </xf>
    <xf numFmtId="0" fontId="62" fillId="0" borderId="0" xfId="0" applyFont="1" applyAlignment="1">
      <alignment vertical="top"/>
    </xf>
    <xf numFmtId="0" fontId="60" fillId="28" borderId="8" xfId="0" applyFont="1" applyFill="1" applyBorder="1" applyAlignment="1">
      <alignment vertical="top" wrapText="1"/>
    </xf>
    <xf numFmtId="0" fontId="59" fillId="0" borderId="0" xfId="0" applyFont="1" applyAlignment="1">
      <alignment vertical="top"/>
    </xf>
    <xf numFmtId="0" fontId="63" fillId="0" borderId="0" xfId="0" applyFont="1" applyAlignment="1">
      <alignment vertical="top"/>
    </xf>
    <xf numFmtId="0" fontId="61" fillId="0" borderId="56" xfId="0" applyFont="1" applyBorder="1" applyAlignment="1">
      <alignment vertical="top" wrapText="1"/>
    </xf>
    <xf numFmtId="0" fontId="64" fillId="0" borderId="56" xfId="0" applyFont="1" applyBorder="1" applyAlignment="1">
      <alignment vertical="top" wrapText="1"/>
    </xf>
    <xf numFmtId="0" fontId="61" fillId="0" borderId="53" xfId="0" applyFont="1" applyBorder="1" applyAlignment="1">
      <alignment vertical="top" wrapText="1"/>
    </xf>
    <xf numFmtId="0" fontId="63" fillId="29" borderId="2" xfId="0" applyFont="1" applyFill="1" applyBorder="1" applyAlignment="1">
      <alignment vertical="top" wrapText="1"/>
    </xf>
    <xf numFmtId="0" fontId="63" fillId="30" borderId="2" xfId="0" applyFont="1" applyFill="1" applyBorder="1" applyAlignment="1">
      <alignment vertical="top" wrapText="1"/>
    </xf>
    <xf numFmtId="0" fontId="63" fillId="30" borderId="3" xfId="0" applyFont="1" applyFill="1" applyBorder="1" applyAlignment="1">
      <alignment vertical="top"/>
    </xf>
    <xf numFmtId="0" fontId="63" fillId="31" borderId="1" xfId="0" applyFont="1" applyFill="1" applyBorder="1" applyAlignment="1">
      <alignment vertical="top" wrapText="1"/>
    </xf>
    <xf numFmtId="0" fontId="63" fillId="31" borderId="4" xfId="0" applyFont="1" applyFill="1" applyBorder="1" applyAlignment="1">
      <alignment vertical="top" wrapText="1"/>
    </xf>
    <xf numFmtId="0" fontId="63" fillId="32" borderId="57" xfId="0" applyFont="1" applyFill="1" applyBorder="1" applyAlignment="1">
      <alignment vertical="top" wrapText="1"/>
    </xf>
    <xf numFmtId="0" fontId="63" fillId="32" borderId="58" xfId="0" applyFont="1" applyFill="1" applyBorder="1" applyAlignment="1">
      <alignment vertical="top" wrapText="1"/>
    </xf>
    <xf numFmtId="0" fontId="63" fillId="32" borderId="54" xfId="0" applyFont="1" applyFill="1" applyBorder="1" applyAlignment="1">
      <alignment vertical="top" wrapText="1"/>
    </xf>
    <xf numFmtId="0" fontId="63" fillId="33" borderId="32" xfId="0" applyFont="1" applyFill="1" applyBorder="1" applyAlignment="1">
      <alignment vertical="top"/>
    </xf>
    <xf numFmtId="0" fontId="63" fillId="33" borderId="32" xfId="0" applyFont="1" applyFill="1" applyBorder="1" applyAlignment="1">
      <alignment vertical="top" wrapText="1"/>
    </xf>
    <xf numFmtId="0" fontId="63" fillId="32" borderId="8" xfId="0" applyFont="1" applyFill="1" applyBorder="1" applyAlignment="1">
      <alignment vertical="top" wrapText="1"/>
    </xf>
    <xf numFmtId="0" fontId="63" fillId="34" borderId="54" xfId="0" applyFont="1" applyFill="1" applyBorder="1" applyAlignment="1">
      <alignment vertical="top" wrapText="1"/>
    </xf>
    <xf numFmtId="0" fontId="63" fillId="30" borderId="54" xfId="0" applyFont="1" applyFill="1" applyBorder="1" applyAlignment="1">
      <alignment vertical="top" wrapText="1"/>
    </xf>
    <xf numFmtId="0" fontId="63" fillId="31" borderId="54" xfId="0" applyFont="1" applyFill="1" applyBorder="1" applyAlignment="1">
      <alignment vertical="top" wrapText="1"/>
    </xf>
    <xf numFmtId="0" fontId="27" fillId="35" borderId="1" xfId="0" applyFont="1" applyFill="1" applyBorder="1" applyAlignment="1">
      <alignment vertical="top" wrapText="1"/>
    </xf>
    <xf numFmtId="0" fontId="27" fillId="35" borderId="4" xfId="0" applyFont="1" applyFill="1" applyBorder="1" applyAlignment="1">
      <alignment vertical="top" wrapText="1"/>
    </xf>
    <xf numFmtId="0" fontId="61" fillId="35" borderId="4" xfId="0" applyFont="1" applyFill="1" applyBorder="1" applyAlignment="1">
      <alignment vertical="top" wrapText="1"/>
    </xf>
    <xf numFmtId="0" fontId="54" fillId="35" borderId="4" xfId="0" applyFont="1" applyFill="1" applyBorder="1" applyAlignment="1">
      <alignment vertical="top" wrapText="1"/>
    </xf>
    <xf numFmtId="0" fontId="61" fillId="36" borderId="8" xfId="0" applyFont="1" applyFill="1" applyBorder="1" applyAlignment="1">
      <alignment vertical="top" wrapText="1"/>
    </xf>
    <xf numFmtId="0" fontId="61" fillId="0" borderId="4" xfId="0" applyFont="1" applyBorder="1" applyAlignment="1">
      <alignment vertical="top" wrapText="1"/>
    </xf>
    <xf numFmtId="10" fontId="65" fillId="0" borderId="4" xfId="0" applyNumberFormat="1" applyFont="1" applyBorder="1" applyAlignment="1">
      <alignment vertical="top" wrapText="1"/>
    </xf>
    <xf numFmtId="0" fontId="37" fillId="0" borderId="4" xfId="0" applyFont="1" applyBorder="1" applyAlignment="1">
      <alignment vertical="top" wrapText="1"/>
    </xf>
    <xf numFmtId="0" fontId="61" fillId="37" borderId="4" xfId="0" applyFont="1" applyFill="1" applyBorder="1" applyAlignment="1">
      <alignment vertical="top" wrapText="1"/>
    </xf>
    <xf numFmtId="0" fontId="65" fillId="0" borderId="3" xfId="0" applyFont="1" applyBorder="1" applyAlignment="1">
      <alignment vertical="top" wrapText="1"/>
    </xf>
    <xf numFmtId="0" fontId="61" fillId="38" borderId="7" xfId="0" applyFont="1" applyFill="1" applyBorder="1" applyAlignment="1">
      <alignment vertical="top" wrapText="1"/>
    </xf>
    <xf numFmtId="0" fontId="27" fillId="35" borderId="7" xfId="0" applyFont="1" applyFill="1" applyBorder="1" applyAlignment="1">
      <alignment vertical="top" wrapText="1"/>
    </xf>
    <xf numFmtId="0" fontId="27" fillId="35" borderId="8" xfId="0" applyFont="1" applyFill="1" applyBorder="1" applyAlignment="1">
      <alignment vertical="top" wrapText="1"/>
    </xf>
    <xf numFmtId="0" fontId="61" fillId="35" borderId="8" xfId="0" applyFont="1" applyFill="1" applyBorder="1" applyAlignment="1">
      <alignment vertical="top" wrapText="1"/>
    </xf>
    <xf numFmtId="0" fontId="54" fillId="35" borderId="8" xfId="0" applyFont="1" applyFill="1" applyBorder="1" applyAlignment="1">
      <alignment vertical="top" wrapText="1"/>
    </xf>
    <xf numFmtId="0" fontId="61" fillId="0" borderId="8" xfId="0" applyFont="1" applyBorder="1" applyAlignment="1">
      <alignment vertical="top" wrapText="1"/>
    </xf>
    <xf numFmtId="10" fontId="65" fillId="0" borderId="8" xfId="0" applyNumberFormat="1" applyFont="1" applyBorder="1" applyAlignment="1">
      <alignment vertical="top" wrapText="1"/>
    </xf>
    <xf numFmtId="0" fontId="37" fillId="0" borderId="8" xfId="0" applyFont="1" applyBorder="1" applyAlignment="1">
      <alignment vertical="top" wrapText="1"/>
    </xf>
    <xf numFmtId="0" fontId="61" fillId="37" borderId="8" xfId="0" applyFont="1" applyFill="1" applyBorder="1" applyAlignment="1">
      <alignment vertical="top" wrapText="1"/>
    </xf>
    <xf numFmtId="0" fontId="65" fillId="0" borderId="53" xfId="0" applyFont="1" applyBorder="1" applyAlignment="1">
      <alignment vertical="top" wrapText="1"/>
    </xf>
    <xf numFmtId="0" fontId="65" fillId="0" borderId="8" xfId="0" applyFont="1" applyBorder="1" applyAlignment="1">
      <alignment vertical="top" wrapText="1"/>
    </xf>
    <xf numFmtId="0" fontId="61" fillId="38" borderId="32" xfId="0" applyFont="1" applyFill="1" applyBorder="1" applyAlignment="1">
      <alignment vertical="top" wrapText="1"/>
    </xf>
    <xf numFmtId="0" fontId="61" fillId="38" borderId="59" xfId="0" applyFont="1" applyFill="1" applyBorder="1" applyAlignment="1">
      <alignment vertical="top" wrapText="1"/>
    </xf>
    <xf numFmtId="0" fontId="61" fillId="38" borderId="8" xfId="0" applyFont="1" applyFill="1" applyBorder="1" applyAlignment="1">
      <alignment vertical="top" wrapText="1"/>
    </xf>
    <xf numFmtId="0" fontId="61" fillId="38" borderId="60" xfId="0" applyFont="1" applyFill="1" applyBorder="1" applyAlignment="1">
      <alignment vertical="top" wrapText="1"/>
    </xf>
    <xf numFmtId="0" fontId="61" fillId="38" borderId="4" xfId="0" applyFont="1" applyFill="1" applyBorder="1" applyAlignment="1">
      <alignment vertical="top" wrapText="1"/>
    </xf>
    <xf numFmtId="0" fontId="61" fillId="38" borderId="57" xfId="0" applyFont="1" applyFill="1" applyBorder="1" applyAlignment="1">
      <alignment vertical="top" wrapText="1"/>
    </xf>
    <xf numFmtId="0" fontId="61" fillId="38" borderId="1" xfId="0" applyFont="1" applyFill="1" applyBorder="1" applyAlignment="1">
      <alignment vertical="top" wrapText="1"/>
    </xf>
    <xf numFmtId="0" fontId="66" fillId="38" borderId="8" xfId="0" applyFont="1" applyFill="1" applyBorder="1" applyAlignment="1">
      <alignment vertical="top" wrapText="1"/>
    </xf>
    <xf numFmtId="0" fontId="61" fillId="35" borderId="61" xfId="0" applyFont="1" applyFill="1" applyBorder="1" applyAlignment="1">
      <alignment vertical="top" wrapText="1"/>
    </xf>
    <xf numFmtId="0" fontId="61" fillId="28" borderId="7" xfId="0" applyFont="1" applyFill="1" applyBorder="1" applyAlignment="1">
      <alignment vertical="top"/>
    </xf>
    <xf numFmtId="0" fontId="61" fillId="28" borderId="8" xfId="0" applyFont="1" applyFill="1" applyBorder="1" applyAlignment="1">
      <alignment vertical="top"/>
    </xf>
    <xf numFmtId="0" fontId="61" fillId="28" borderId="8" xfId="0" applyFont="1" applyFill="1" applyBorder="1" applyAlignment="1">
      <alignment vertical="top" wrapText="1"/>
    </xf>
    <xf numFmtId="0" fontId="63" fillId="0" borderId="0" xfId="0" applyFont="1" applyAlignment="1">
      <alignment vertical="top" wrapText="1"/>
    </xf>
    <xf numFmtId="0" fontId="67" fillId="0" borderId="62" xfId="0" applyFont="1" applyBorder="1" applyAlignment="1">
      <alignment vertical="top"/>
    </xf>
    <xf numFmtId="9" fontId="68" fillId="0" borderId="61" xfId="0" applyNumberFormat="1" applyFont="1" applyBorder="1" applyAlignment="1">
      <alignment vertical="top"/>
    </xf>
    <xf numFmtId="0" fontId="67" fillId="0" borderId="0" xfId="0" applyFont="1" applyAlignment="1">
      <alignment vertical="top" wrapText="1"/>
    </xf>
    <xf numFmtId="0" fontId="68" fillId="0" borderId="0" xfId="0" applyFont="1" applyAlignment="1">
      <alignment vertical="top"/>
    </xf>
    <xf numFmtId="0" fontId="61" fillId="0" borderId="1" xfId="0" applyFont="1" applyBorder="1" applyAlignment="1">
      <alignment vertical="top"/>
    </xf>
    <xf numFmtId="0" fontId="61" fillId="0" borderId="7" xfId="0" applyFont="1" applyBorder="1" applyAlignment="1">
      <alignment vertical="top"/>
    </xf>
    <xf numFmtId="0" fontId="66" fillId="35" borderId="8" xfId="0" applyFont="1" applyFill="1" applyBorder="1" applyAlignment="1">
      <alignment vertical="top" wrapText="1"/>
    </xf>
    <xf numFmtId="0" fontId="61" fillId="39" borderId="4" xfId="0" applyFont="1" applyFill="1" applyBorder="1" applyAlignment="1">
      <alignment vertical="top" wrapText="1"/>
    </xf>
    <xf numFmtId="0" fontId="13" fillId="10" borderId="0" xfId="0" applyFont="1" applyFill="1" applyAlignment="1">
      <alignment horizontal="left" vertical="top" wrapText="1"/>
    </xf>
    <xf numFmtId="0" fontId="15" fillId="0" borderId="0" xfId="0" applyFont="1" applyAlignment="1">
      <alignment horizontal="left" vertical="top" wrapText="1"/>
    </xf>
    <xf numFmtId="0" fontId="4" fillId="2" borderId="5" xfId="0" applyFont="1" applyFill="1" applyBorder="1" applyAlignment="1">
      <alignment horizontal="center" vertical="center" textRotation="90"/>
    </xf>
    <xf numFmtId="0" fontId="4" fillId="2" borderId="6" xfId="0" applyFont="1" applyFill="1" applyBorder="1" applyAlignment="1">
      <alignment horizontal="center" vertical="center" textRotation="90"/>
    </xf>
    <xf numFmtId="0" fontId="4" fillId="3" borderId="1" xfId="0" applyFont="1" applyFill="1" applyBorder="1" applyAlignment="1">
      <alignment horizontal="center" vertical="center"/>
    </xf>
    <xf numFmtId="0" fontId="4" fillId="3" borderId="5"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5" xfId="0" applyFont="1" applyFill="1" applyBorder="1" applyAlignment="1">
      <alignment horizontal="center" vertical="center"/>
    </xf>
    <xf numFmtId="0" fontId="10" fillId="0" borderId="0" xfId="0" applyFont="1" applyAlignment="1">
      <alignment horizontal="left" vertical="top" wrapText="1"/>
    </xf>
    <xf numFmtId="0" fontId="14" fillId="0" borderId="0" xfId="0" applyFont="1" applyAlignment="1">
      <alignment horizontal="left" vertical="top" wrapText="1"/>
    </xf>
    <xf numFmtId="0" fontId="0" fillId="19" borderId="0" xfId="0" applyFill="1" applyAlignment="1" applyProtection="1">
      <alignment horizontal="left" vertical="top"/>
      <protection locked="0"/>
    </xf>
    <xf numFmtId="0" fontId="0" fillId="19" borderId="11" xfId="0" applyFill="1" applyBorder="1" applyAlignment="1" applyProtection="1">
      <alignment horizontal="left"/>
      <protection locked="0"/>
    </xf>
    <xf numFmtId="0" fontId="0" fillId="19" borderId="0" xfId="0" applyFill="1" applyAlignment="1" applyProtection="1">
      <alignment horizontal="left"/>
      <protection locked="0"/>
    </xf>
    <xf numFmtId="0" fontId="23" fillId="19" borderId="0" xfId="0" applyFont="1" applyFill="1" applyAlignment="1" applyProtection="1">
      <alignment horizontal="left" vertical="top" wrapText="1"/>
      <protection locked="0"/>
    </xf>
    <xf numFmtId="0" fontId="23" fillId="0" borderId="0" xfId="0" applyFont="1" applyAlignment="1" applyProtection="1">
      <alignment horizontal="left" vertical="top" wrapText="1"/>
      <protection locked="0"/>
    </xf>
    <xf numFmtId="0" fontId="57" fillId="12" borderId="0" xfId="0" applyFont="1" applyFill="1" applyAlignment="1" applyProtection="1">
      <alignment horizontal="center" vertical="center" wrapText="1"/>
      <protection locked="0"/>
    </xf>
    <xf numFmtId="0" fontId="58" fillId="19" borderId="0" xfId="0" applyFont="1" applyFill="1" applyAlignment="1" applyProtection="1">
      <alignment horizontal="center" vertical="top" wrapText="1"/>
      <protection locked="0"/>
    </xf>
    <xf numFmtId="0" fontId="0" fillId="19" borderId="0" xfId="0" applyFill="1" applyAlignment="1" applyProtection="1">
      <alignment horizontal="left" vertical="top" wrapText="1"/>
      <protection locked="0"/>
    </xf>
    <xf numFmtId="0" fontId="42" fillId="19" borderId="0" xfId="0" quotePrefix="1" applyFont="1" applyFill="1" applyAlignment="1" applyProtection="1">
      <alignment horizontal="left" vertical="top" wrapText="1"/>
      <protection locked="0"/>
    </xf>
    <xf numFmtId="0" fontId="25" fillId="22" borderId="38" xfId="0" applyFont="1" applyFill="1" applyBorder="1" applyAlignment="1">
      <alignment horizontal="center" vertical="center"/>
    </xf>
    <xf numFmtId="0" fontId="25" fillId="22" borderId="47" xfId="0" applyFont="1" applyFill="1" applyBorder="1" applyAlignment="1">
      <alignment horizontal="center" vertical="center"/>
    </xf>
    <xf numFmtId="0" fontId="35" fillId="0" borderId="23" xfId="0" applyFont="1" applyBorder="1" applyAlignment="1">
      <alignment horizontal="right" vertical="center" wrapText="1"/>
    </xf>
    <xf numFmtId="0" fontId="35" fillId="0" borderId="0" xfId="0" applyFont="1" applyAlignment="1">
      <alignment horizontal="right" vertical="center" wrapText="1"/>
    </xf>
    <xf numFmtId="0" fontId="29" fillId="19" borderId="0" xfId="4" applyFont="1" applyFill="1" applyAlignment="1">
      <alignment horizontal="center"/>
    </xf>
    <xf numFmtId="0" fontId="43" fillId="19" borderId="0" xfId="4" applyFont="1" applyFill="1" applyAlignment="1">
      <alignment horizontal="center" vertical="center"/>
    </xf>
    <xf numFmtId="0" fontId="10" fillId="0" borderId="10" xfId="0" applyFont="1" applyBorder="1" applyAlignment="1">
      <alignment horizontal="center" vertical="top" wrapText="1"/>
    </xf>
    <xf numFmtId="0" fontId="10" fillId="0" borderId="9" xfId="0" applyFont="1" applyBorder="1" applyAlignment="1">
      <alignment horizontal="center" vertical="top" wrapText="1"/>
    </xf>
    <xf numFmtId="0" fontId="10" fillId="0" borderId="11" xfId="0" applyFont="1" applyBorder="1" applyAlignment="1">
      <alignment horizontal="center" vertical="top" wrapText="1"/>
    </xf>
    <xf numFmtId="0" fontId="10" fillId="0" borderId="32" xfId="0" applyFont="1" applyBorder="1" applyAlignment="1">
      <alignment horizontal="center" vertical="top" wrapText="1"/>
    </xf>
    <xf numFmtId="0" fontId="63" fillId="31" borderId="5" xfId="0" applyFont="1" applyFill="1" applyBorder="1" applyAlignment="1">
      <alignment vertical="top" wrapText="1"/>
    </xf>
    <xf numFmtId="0" fontId="63" fillId="31" borderId="7" xfId="0" applyFont="1" applyFill="1" applyBorder="1" applyAlignment="1">
      <alignment vertical="top" wrapText="1"/>
    </xf>
    <xf numFmtId="0" fontId="63" fillId="28" borderId="11" xfId="0" applyFont="1" applyFill="1" applyBorder="1" applyAlignment="1">
      <alignment vertical="top" wrapText="1"/>
    </xf>
    <xf numFmtId="0" fontId="63" fillId="28" borderId="0" xfId="0" applyFont="1" applyFill="1" applyAlignment="1">
      <alignment vertical="top" wrapText="1"/>
    </xf>
    <xf numFmtId="0" fontId="63" fillId="28" borderId="32" xfId="0" applyFont="1" applyFill="1" applyBorder="1" applyAlignment="1">
      <alignment vertical="top" wrapText="1"/>
    </xf>
    <xf numFmtId="0" fontId="60" fillId="28" borderId="2" xfId="0" applyFont="1" applyFill="1" applyBorder="1" applyAlignment="1">
      <alignment vertical="top"/>
    </xf>
    <xf numFmtId="0" fontId="60" fillId="28" borderId="55" xfId="0" applyFont="1" applyFill="1" applyBorder="1" applyAlignment="1">
      <alignment vertical="top"/>
    </xf>
    <xf numFmtId="0" fontId="10" fillId="0" borderId="0" xfId="0" applyFont="1" applyAlignment="1">
      <alignment horizontal="center" wrapText="1"/>
    </xf>
    <xf numFmtId="0" fontId="31" fillId="0" borderId="29" xfId="0" applyFont="1" applyBorder="1" applyAlignment="1">
      <alignment horizontal="center"/>
    </xf>
    <xf numFmtId="0" fontId="31" fillId="0" borderId="30" xfId="0" applyFont="1" applyBorder="1" applyAlignment="1">
      <alignment horizontal="center"/>
    </xf>
  </cellXfs>
  <cellStyles count="12">
    <cellStyle name="Normal" xfId="0" builtinId="0"/>
    <cellStyle name="Normal 2" xfId="2" xr:uid="{52A8B2BE-7A7C-4503-928E-6A9E73E88D8B}"/>
    <cellStyle name="Normal 2 2" xfId="4" xr:uid="{69B7A210-71CD-4F3B-9056-4B3D1E051C9A}"/>
    <cellStyle name="Normal 2 2 2" xfId="5" xr:uid="{A50C596E-E4F3-4FAF-8CDF-BE3C4B4148D9}"/>
    <cellStyle name="Normal 3" xfId="11" xr:uid="{6CDC9E24-B8F0-4971-A652-4E271E222B7B}"/>
    <cellStyle name="Normal 3 2" xfId="9" xr:uid="{272F3088-8CA6-4256-805C-4B9430C9D6BE}"/>
    <cellStyle name="Normal 4" xfId="7" xr:uid="{1C118077-41BD-4FE2-93F2-BD473C3DC02D}"/>
    <cellStyle name="Normal 5" xfId="3" xr:uid="{F415C659-6307-4220-974B-7C9FEE125647}"/>
    <cellStyle name="Percent" xfId="1" builtinId="5"/>
    <cellStyle name="Percent 2 2" xfId="8" xr:uid="{97653B95-BF37-4DCF-8D46-28F9E26C1431}"/>
    <cellStyle name="Percent 3" xfId="6" xr:uid="{9B06AD13-9098-4DA1-9F1A-C04DA17256A8}"/>
    <cellStyle name="Percent 4" xfId="10" xr:uid="{2456E817-4F83-49A0-8898-CECA3A5C5404}"/>
  </cellStyles>
  <dxfs count="630">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theme="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theme="1"/>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9"/>
        <color theme="1"/>
        <name val="Arial"/>
        <family val="2"/>
        <scheme val="none"/>
      </font>
      <alignment vertical="top"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9"/>
        <color theme="1"/>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theme="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numFmt numFmtId="13" formatCode="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FF0000"/>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sz val="9"/>
        <color auto="1"/>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alignment horizontal="center" vertical="top"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14" formatCode="0.00%"/>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numFmt numFmtId="0" formatCode="Genera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auto="1"/>
        <name val="Arial"/>
        <family val="2"/>
        <scheme val="none"/>
      </font>
      <numFmt numFmtId="14" formatCode="0.00%"/>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9"/>
        <color auto="1"/>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9"/>
        <color rgb="FF002060"/>
        <name val="Arial"/>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rgb="FF002060"/>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protection locked="0" hidden="0"/>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rgb="FF0070C0"/>
        <name val="Arial"/>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9"/>
        <name val="Arial"/>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name val="Arial"/>
        <family val="2"/>
        <scheme val="none"/>
      </font>
    </dxf>
    <dxf>
      <border>
        <bottom style="thin">
          <color rgb="FF000000"/>
        </bottom>
      </border>
    </dxf>
    <dxf>
      <font>
        <strike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i val="0"/>
        <strike val="0"/>
        <condense val="0"/>
        <extend val="0"/>
        <outline val="0"/>
        <shadow val="0"/>
        <u val="none"/>
        <vertAlign val="baseline"/>
        <sz val="8"/>
        <color auto="1"/>
        <name val="Arial"/>
        <family val="2"/>
        <scheme val="none"/>
      </font>
      <numFmt numFmtId="30" formatCode="@"/>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i val="0"/>
        <strike val="0"/>
        <condense val="0"/>
        <extend val="0"/>
        <outline val="0"/>
        <shadow val="0"/>
        <u val="none"/>
        <vertAlign val="baseline"/>
        <sz val="8"/>
        <color auto="1"/>
        <name val="Arial"/>
        <family val="2"/>
        <scheme val="none"/>
      </font>
      <numFmt numFmtId="30" formatCode="@"/>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8"/>
        <name val="Arial"/>
        <family val="2"/>
        <scheme val="none"/>
      </font>
      <alignment horizontal="general" vertical="center" textRotation="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8"/>
        <name val="Arial"/>
        <family val="2"/>
        <scheme val="none"/>
      </font>
      <alignment horizontal="general" vertical="center" textRotation="0" indent="0" justifyLastLine="0" shrinkToFit="0" readingOrder="0"/>
      <border diagonalUp="0" diagonalDown="0">
        <left style="thin">
          <color indexed="64"/>
        </left>
        <right style="thin">
          <color indexed="64"/>
        </right>
        <top style="thin">
          <color indexed="64"/>
        </top>
        <bottom style="thin">
          <color indexed="64"/>
        </bottom>
      </border>
    </dxf>
    <dxf>
      <border outline="0">
        <right style="medium">
          <color indexed="64"/>
        </right>
        <top style="medium">
          <color indexed="64"/>
        </top>
        <bottom style="medium">
          <color indexed="64"/>
        </bottom>
      </border>
    </dxf>
    <dxf>
      <font>
        <strike val="0"/>
        <outline val="0"/>
        <shadow val="0"/>
        <u val="none"/>
        <vertAlign val="baseline"/>
        <color auto="1"/>
        <name val="Arial"/>
        <family val="2"/>
        <scheme val="none"/>
      </font>
    </dxf>
    <dxf>
      <font>
        <color rgb="FFC00000"/>
      </font>
      <fill>
        <patternFill>
          <bgColor rgb="FFFF5050"/>
        </patternFill>
      </fill>
    </dxf>
    <dxf>
      <font>
        <color rgb="FFC00000"/>
      </font>
      <fill>
        <patternFill>
          <bgColor rgb="FFFF5050"/>
        </patternFill>
      </fill>
    </dxf>
    <dxf>
      <font>
        <b/>
        <i val="0"/>
        <color theme="2" tint="-0.749961851863155"/>
      </font>
      <fill>
        <patternFill>
          <bgColor theme="2"/>
        </patternFill>
      </fill>
    </dxf>
    <dxf>
      <font>
        <color rgb="FFC00000"/>
      </font>
      <fill>
        <patternFill>
          <bgColor rgb="FFFF5050"/>
        </patternFill>
      </fill>
    </dxf>
    <dxf>
      <font>
        <color rgb="FFC00000"/>
      </font>
      <fill>
        <patternFill>
          <bgColor rgb="FFFF5050"/>
        </patternFill>
      </fill>
    </dxf>
    <dxf>
      <font>
        <color rgb="FF00B050"/>
      </font>
      <fill>
        <patternFill>
          <bgColor theme="9" tint="0.39994506668294322"/>
        </patternFill>
      </fill>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14"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numFmt numFmtId="0" formatCode="Genera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Arial"/>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rgb="FF002060"/>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rgb="FF002060"/>
        <name val="Arial"/>
        <family val="2"/>
        <scheme val="none"/>
      </font>
      <numFmt numFmtId="0" formatCode="Genera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rgb="FF002060"/>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rgb="FF002060"/>
        <name val="Arial"/>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rgb="FF002060"/>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rgb="FF002060"/>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top style="thin">
          <color indexed="64"/>
        </top>
      </border>
    </dxf>
    <dxf>
      <border outline="0">
        <right style="thin">
          <color indexed="64"/>
        </right>
      </border>
    </dxf>
    <dxf>
      <font>
        <b val="0"/>
        <i val="0"/>
        <strike val="0"/>
        <condense val="0"/>
        <extend val="0"/>
        <outline val="0"/>
        <shadow val="0"/>
        <u val="none"/>
        <vertAlign val="baseline"/>
        <sz val="9"/>
        <color theme="1"/>
        <name val="Arial"/>
        <family val="2"/>
        <scheme val="none"/>
      </font>
      <alignment horizontal="general" vertical="center" textRotation="0" wrapText="0" indent="0" justifyLastLine="0" shrinkToFit="0" readingOrder="0"/>
    </dxf>
    <dxf>
      <border outline="0">
        <bottom style="thin">
          <color indexed="64"/>
        </bottom>
      </border>
    </dxf>
    <dxf>
      <font>
        <b val="0"/>
        <i val="0"/>
        <strike val="0"/>
        <condense val="0"/>
        <extend val="0"/>
        <outline val="0"/>
        <shadow val="0"/>
        <u val="none"/>
        <vertAlign val="baseline"/>
        <sz val="9"/>
        <color theme="1"/>
        <name val="Arial"/>
        <family val="2"/>
        <scheme val="none"/>
      </font>
      <border diagonalUp="0" diagonalDown="0" outline="0">
        <left style="thin">
          <color indexed="64"/>
        </left>
        <right style="thin">
          <color indexed="64"/>
        </right>
        <top/>
        <bottom/>
      </border>
    </dxf>
    <dxf>
      <font>
        <color rgb="FFC00000"/>
      </font>
      <fill>
        <patternFill>
          <bgColor rgb="FFFF5050"/>
        </patternFill>
      </fill>
    </dxf>
  </dxfs>
  <tableStyles count="0" defaultTableStyle="TableStyleMedium2" defaultPivotStyle="PivotStyleLight16"/>
  <colors>
    <mruColors>
      <color rgb="FFFF5050"/>
      <color rgb="FF0000CC"/>
      <color rgb="FF66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alcChain" Target="calcChain.xml"/><Relationship Id="rId35" Type="http://schemas.microsoft.com/office/2022/11/relationships/FeaturePropertyBag" Target="featurePropertyBag/featurePropertyBag.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5511"/>
    <xdr:pic>
      <xdr:nvPicPr>
        <xdr:cNvPr id="2" name="Picture 1" hidden="1">
          <a:extLst>
            <a:ext uri="{FF2B5EF4-FFF2-40B4-BE49-F238E27FC236}">
              <a16:creationId xmlns:a16="http://schemas.microsoft.com/office/drawing/2014/main" id="{40081B74-8FE6-43F0-A799-B40FB58426BD}"/>
            </a:ext>
          </a:extLst>
        </xdr:cNvPr>
        <xdr:cNvPicPr>
          <a:picLocks noChangeAspect="1"/>
        </xdr:cNvPicPr>
      </xdr:nvPicPr>
      <xdr:blipFill>
        <a:blip xmlns:r="http://schemas.openxmlformats.org/officeDocument/2006/relationships" r:embed="rId1"/>
        <a:stretch>
          <a:fillRect/>
        </a:stretch>
      </xdr:blipFill>
      <xdr:spPr>
        <a:xfrm>
          <a:off x="15107976" y="3705225"/>
          <a:ext cx="1553154" cy="445511"/>
        </a:xfrm>
        <a:prstGeom prst="rect">
          <a:avLst/>
        </a:prstGeom>
      </xdr:spPr>
    </xdr:pic>
    <xdr:clientData/>
  </xdr:oneCellAnchor>
  <xdr:oneCellAnchor>
    <xdr:from>
      <xdr:col>12</xdr:col>
      <xdr:colOff>944301</xdr:colOff>
      <xdr:row>9</xdr:row>
      <xdr:rowOff>0</xdr:rowOff>
    </xdr:from>
    <xdr:ext cx="1553154" cy="443183"/>
    <xdr:pic>
      <xdr:nvPicPr>
        <xdr:cNvPr id="3" name="Picture 2" hidden="1">
          <a:extLst>
            <a:ext uri="{FF2B5EF4-FFF2-40B4-BE49-F238E27FC236}">
              <a16:creationId xmlns:a16="http://schemas.microsoft.com/office/drawing/2014/main" id="{0E9C3B76-FF65-41A2-BDF2-04C0EFF03DFF}"/>
            </a:ext>
          </a:extLst>
        </xdr:cNvPr>
        <xdr:cNvPicPr>
          <a:picLocks noChangeAspect="1"/>
        </xdr:cNvPicPr>
      </xdr:nvPicPr>
      <xdr:blipFill>
        <a:blip xmlns:r="http://schemas.openxmlformats.org/officeDocument/2006/relationships" r:embed="rId1"/>
        <a:stretch>
          <a:fillRect/>
        </a:stretch>
      </xdr:blipFill>
      <xdr:spPr>
        <a:xfrm>
          <a:off x="15107976" y="3705225"/>
          <a:ext cx="1553154" cy="443183"/>
        </a:xfrm>
        <a:prstGeom prst="rect">
          <a:avLst/>
        </a:prstGeom>
      </xdr:spPr>
    </xdr:pic>
    <xdr:clientData/>
  </xdr:oneCellAnchor>
  <xdr:oneCellAnchor>
    <xdr:from>
      <xdr:col>12</xdr:col>
      <xdr:colOff>944301</xdr:colOff>
      <xdr:row>9</xdr:row>
      <xdr:rowOff>0</xdr:rowOff>
    </xdr:from>
    <xdr:ext cx="1553154" cy="498428"/>
    <xdr:pic>
      <xdr:nvPicPr>
        <xdr:cNvPr id="4" name="Picture 3" hidden="1">
          <a:extLst>
            <a:ext uri="{FF2B5EF4-FFF2-40B4-BE49-F238E27FC236}">
              <a16:creationId xmlns:a16="http://schemas.microsoft.com/office/drawing/2014/main" id="{65943288-E21A-4B6B-9460-8BB2E3FC2F8D}"/>
            </a:ext>
          </a:extLst>
        </xdr:cNvPr>
        <xdr:cNvPicPr>
          <a:picLocks noChangeAspect="1"/>
        </xdr:cNvPicPr>
      </xdr:nvPicPr>
      <xdr:blipFill>
        <a:blip xmlns:r="http://schemas.openxmlformats.org/officeDocument/2006/relationships" r:embed="rId1"/>
        <a:stretch>
          <a:fillRect/>
        </a:stretch>
      </xdr:blipFill>
      <xdr:spPr>
        <a:xfrm>
          <a:off x="15107976" y="3705225"/>
          <a:ext cx="1553154" cy="498428"/>
        </a:xfrm>
        <a:prstGeom prst="rect">
          <a:avLst/>
        </a:prstGeom>
      </xdr:spPr>
    </xdr:pic>
    <xdr:clientData/>
  </xdr:oneCellAnchor>
  <xdr:twoCellAnchor>
    <xdr:from>
      <xdr:col>2</xdr:col>
      <xdr:colOff>2040255</xdr:colOff>
      <xdr:row>12</xdr:row>
      <xdr:rowOff>306161</xdr:rowOff>
    </xdr:from>
    <xdr:to>
      <xdr:col>3</xdr:col>
      <xdr:colOff>1973036</xdr:colOff>
      <xdr:row>12</xdr:row>
      <xdr:rowOff>312420</xdr:rowOff>
    </xdr:to>
    <xdr:cxnSp macro="">
      <xdr:nvCxnSpPr>
        <xdr:cNvPr id="5" name="Straight Arrow Connector 4">
          <a:extLst>
            <a:ext uri="{FF2B5EF4-FFF2-40B4-BE49-F238E27FC236}">
              <a16:creationId xmlns:a16="http://schemas.microsoft.com/office/drawing/2014/main" id="{F13F682C-B844-4073-A0E8-FEA4699AEE05}"/>
            </a:ext>
          </a:extLst>
        </xdr:cNvPr>
        <xdr:cNvCxnSpPr/>
      </xdr:nvCxnSpPr>
      <xdr:spPr>
        <a:xfrm flipH="1">
          <a:off x="4965791" y="4490357"/>
          <a:ext cx="1973852" cy="6259"/>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3876</xdr:colOff>
      <xdr:row>14</xdr:row>
      <xdr:rowOff>441960</xdr:rowOff>
    </xdr:from>
    <xdr:to>
      <xdr:col>3</xdr:col>
      <xdr:colOff>1996966</xdr:colOff>
      <xdr:row>14</xdr:row>
      <xdr:rowOff>446690</xdr:rowOff>
    </xdr:to>
    <xdr:cxnSp macro="">
      <xdr:nvCxnSpPr>
        <xdr:cNvPr id="6" name="Straight Arrow Connector 5">
          <a:extLst>
            <a:ext uri="{FF2B5EF4-FFF2-40B4-BE49-F238E27FC236}">
              <a16:creationId xmlns:a16="http://schemas.microsoft.com/office/drawing/2014/main" id="{7CADEDFB-7743-4242-B5BA-C3CC5D75CB4A}"/>
            </a:ext>
          </a:extLst>
        </xdr:cNvPr>
        <xdr:cNvCxnSpPr/>
      </xdr:nvCxnSpPr>
      <xdr:spPr>
        <a:xfrm flipH="1" flipV="1">
          <a:off x="4950307" y="5368684"/>
          <a:ext cx="1993090" cy="4730"/>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12</xdr:col>
      <xdr:colOff>944301</xdr:colOff>
      <xdr:row>24</xdr:row>
      <xdr:rowOff>0</xdr:rowOff>
    </xdr:from>
    <xdr:ext cx="1553154" cy="445511"/>
    <xdr:pic>
      <xdr:nvPicPr>
        <xdr:cNvPr id="7" name="Picture 6" hidden="1">
          <a:extLst>
            <a:ext uri="{FF2B5EF4-FFF2-40B4-BE49-F238E27FC236}">
              <a16:creationId xmlns:a16="http://schemas.microsoft.com/office/drawing/2014/main" id="{C07580C3-5596-4785-9873-9B3B9C42E741}"/>
            </a:ext>
          </a:extLst>
        </xdr:cNvPr>
        <xdr:cNvPicPr>
          <a:picLocks noChangeAspect="1"/>
        </xdr:cNvPicPr>
      </xdr:nvPicPr>
      <xdr:blipFill>
        <a:blip xmlns:r="http://schemas.openxmlformats.org/officeDocument/2006/relationships" r:embed="rId1"/>
        <a:stretch>
          <a:fillRect/>
        </a:stretch>
      </xdr:blipFill>
      <xdr:spPr>
        <a:xfrm>
          <a:off x="15107976" y="10315575"/>
          <a:ext cx="1553154" cy="445511"/>
        </a:xfrm>
        <a:prstGeom prst="rect">
          <a:avLst/>
        </a:prstGeom>
      </xdr:spPr>
    </xdr:pic>
    <xdr:clientData/>
  </xdr:oneCellAnchor>
  <xdr:oneCellAnchor>
    <xdr:from>
      <xdr:col>12</xdr:col>
      <xdr:colOff>944301</xdr:colOff>
      <xdr:row>24</xdr:row>
      <xdr:rowOff>0</xdr:rowOff>
    </xdr:from>
    <xdr:ext cx="1553154" cy="443183"/>
    <xdr:pic>
      <xdr:nvPicPr>
        <xdr:cNvPr id="8" name="Picture 7" hidden="1">
          <a:extLst>
            <a:ext uri="{FF2B5EF4-FFF2-40B4-BE49-F238E27FC236}">
              <a16:creationId xmlns:a16="http://schemas.microsoft.com/office/drawing/2014/main" id="{01F107F8-9C83-48FB-A51B-0B5C230B8C06}"/>
            </a:ext>
          </a:extLst>
        </xdr:cNvPr>
        <xdr:cNvPicPr>
          <a:picLocks noChangeAspect="1"/>
        </xdr:cNvPicPr>
      </xdr:nvPicPr>
      <xdr:blipFill>
        <a:blip xmlns:r="http://schemas.openxmlformats.org/officeDocument/2006/relationships" r:embed="rId1"/>
        <a:stretch>
          <a:fillRect/>
        </a:stretch>
      </xdr:blipFill>
      <xdr:spPr>
        <a:xfrm>
          <a:off x="15107976" y="10315575"/>
          <a:ext cx="1553154" cy="443183"/>
        </a:xfrm>
        <a:prstGeom prst="rect">
          <a:avLst/>
        </a:prstGeom>
      </xdr:spPr>
    </xdr:pic>
    <xdr:clientData/>
  </xdr:oneCellAnchor>
  <xdr:oneCellAnchor>
    <xdr:from>
      <xdr:col>12</xdr:col>
      <xdr:colOff>944301</xdr:colOff>
      <xdr:row>24</xdr:row>
      <xdr:rowOff>0</xdr:rowOff>
    </xdr:from>
    <xdr:ext cx="1553154" cy="498428"/>
    <xdr:pic>
      <xdr:nvPicPr>
        <xdr:cNvPr id="9" name="Picture 8" hidden="1">
          <a:extLst>
            <a:ext uri="{FF2B5EF4-FFF2-40B4-BE49-F238E27FC236}">
              <a16:creationId xmlns:a16="http://schemas.microsoft.com/office/drawing/2014/main" id="{E9966A76-1417-4285-B285-BFD64F5B32E6}"/>
            </a:ext>
          </a:extLst>
        </xdr:cNvPr>
        <xdr:cNvPicPr>
          <a:picLocks noChangeAspect="1"/>
        </xdr:cNvPicPr>
      </xdr:nvPicPr>
      <xdr:blipFill>
        <a:blip xmlns:r="http://schemas.openxmlformats.org/officeDocument/2006/relationships" r:embed="rId1"/>
        <a:stretch>
          <a:fillRect/>
        </a:stretch>
      </xdr:blipFill>
      <xdr:spPr>
        <a:xfrm>
          <a:off x="15107976" y="10315575"/>
          <a:ext cx="1553154" cy="498428"/>
        </a:xfrm>
        <a:prstGeom prst="rect">
          <a:avLst/>
        </a:prstGeom>
      </xdr:spPr>
    </xdr:pic>
    <xdr:clientData/>
  </xdr:oneCellAnchor>
  <xdr:oneCellAnchor>
    <xdr:from>
      <xdr:col>12</xdr:col>
      <xdr:colOff>944301</xdr:colOff>
      <xdr:row>16</xdr:row>
      <xdr:rowOff>0</xdr:rowOff>
    </xdr:from>
    <xdr:ext cx="1553154" cy="444818"/>
    <xdr:pic>
      <xdr:nvPicPr>
        <xdr:cNvPr id="22" name="Picture 21" hidden="1">
          <a:extLst>
            <a:ext uri="{FF2B5EF4-FFF2-40B4-BE49-F238E27FC236}">
              <a16:creationId xmlns:a16="http://schemas.microsoft.com/office/drawing/2014/main" id="{267C7530-D338-4F6C-BBAB-EF0D09566E25}"/>
            </a:ext>
          </a:extLst>
        </xdr:cNvPr>
        <xdr:cNvPicPr>
          <a:picLocks noChangeAspect="1"/>
        </xdr:cNvPicPr>
      </xdr:nvPicPr>
      <xdr:blipFill>
        <a:blip xmlns:r="http://schemas.openxmlformats.org/officeDocument/2006/relationships" r:embed="rId1"/>
        <a:stretch>
          <a:fillRect/>
        </a:stretch>
      </xdr:blipFill>
      <xdr:spPr>
        <a:xfrm>
          <a:off x="15955701" y="2524125"/>
          <a:ext cx="1553154" cy="444818"/>
        </a:xfrm>
        <a:prstGeom prst="rect">
          <a:avLst/>
        </a:prstGeom>
      </xdr:spPr>
    </xdr:pic>
    <xdr:clientData/>
  </xdr:oneCellAnchor>
  <xdr:oneCellAnchor>
    <xdr:from>
      <xdr:col>12</xdr:col>
      <xdr:colOff>944301</xdr:colOff>
      <xdr:row>16</xdr:row>
      <xdr:rowOff>0</xdr:rowOff>
    </xdr:from>
    <xdr:ext cx="1549344" cy="446300"/>
    <xdr:pic>
      <xdr:nvPicPr>
        <xdr:cNvPr id="23" name="Picture 22" hidden="1">
          <a:extLst>
            <a:ext uri="{FF2B5EF4-FFF2-40B4-BE49-F238E27FC236}">
              <a16:creationId xmlns:a16="http://schemas.microsoft.com/office/drawing/2014/main" id="{3D8FFF8E-53AE-4E04-8DA4-4310CAF06B6B}"/>
            </a:ext>
          </a:extLst>
        </xdr:cNvPr>
        <xdr:cNvPicPr>
          <a:picLocks noChangeAspect="1"/>
        </xdr:cNvPicPr>
      </xdr:nvPicPr>
      <xdr:blipFill>
        <a:blip xmlns:r="http://schemas.openxmlformats.org/officeDocument/2006/relationships" r:embed="rId1"/>
        <a:stretch>
          <a:fillRect/>
        </a:stretch>
      </xdr:blipFill>
      <xdr:spPr>
        <a:xfrm>
          <a:off x="15955701" y="2524125"/>
          <a:ext cx="1549344" cy="446300"/>
        </a:xfrm>
        <a:prstGeom prst="rect">
          <a:avLst/>
        </a:prstGeom>
      </xdr:spPr>
    </xdr:pic>
    <xdr:clientData/>
  </xdr:oneCellAnchor>
  <xdr:oneCellAnchor>
    <xdr:from>
      <xdr:col>12</xdr:col>
      <xdr:colOff>944301</xdr:colOff>
      <xdr:row>16</xdr:row>
      <xdr:rowOff>0</xdr:rowOff>
    </xdr:from>
    <xdr:ext cx="1549344" cy="494964"/>
    <xdr:pic>
      <xdr:nvPicPr>
        <xdr:cNvPr id="24" name="Picture 23" hidden="1">
          <a:extLst>
            <a:ext uri="{FF2B5EF4-FFF2-40B4-BE49-F238E27FC236}">
              <a16:creationId xmlns:a16="http://schemas.microsoft.com/office/drawing/2014/main" id="{6C18CC3C-8B49-42D6-91BE-19DCF5C9D755}"/>
            </a:ext>
          </a:extLst>
        </xdr:cNvPr>
        <xdr:cNvPicPr>
          <a:picLocks noChangeAspect="1"/>
        </xdr:cNvPicPr>
      </xdr:nvPicPr>
      <xdr:blipFill>
        <a:blip xmlns:r="http://schemas.openxmlformats.org/officeDocument/2006/relationships" r:embed="rId1"/>
        <a:stretch>
          <a:fillRect/>
        </a:stretch>
      </xdr:blipFill>
      <xdr:spPr>
        <a:xfrm>
          <a:off x="15955701" y="2524125"/>
          <a:ext cx="1549344" cy="494964"/>
        </a:xfrm>
        <a:prstGeom prst="rect">
          <a:avLst/>
        </a:prstGeom>
      </xdr:spPr>
    </xdr:pic>
    <xdr:clientData/>
  </xdr:oneCellAnchor>
  <xdr:oneCellAnchor>
    <xdr:from>
      <xdr:col>23</xdr:col>
      <xdr:colOff>944301</xdr:colOff>
      <xdr:row>16</xdr:row>
      <xdr:rowOff>0</xdr:rowOff>
    </xdr:from>
    <xdr:ext cx="1553154" cy="444818"/>
    <xdr:pic>
      <xdr:nvPicPr>
        <xdr:cNvPr id="25" name="Picture 24" hidden="1">
          <a:extLst>
            <a:ext uri="{FF2B5EF4-FFF2-40B4-BE49-F238E27FC236}">
              <a16:creationId xmlns:a16="http://schemas.microsoft.com/office/drawing/2014/main" id="{F80D6091-E355-4302-A3B3-E8DF1364AE49}"/>
            </a:ext>
          </a:extLst>
        </xdr:cNvPr>
        <xdr:cNvPicPr>
          <a:picLocks noChangeAspect="1"/>
        </xdr:cNvPicPr>
      </xdr:nvPicPr>
      <xdr:blipFill>
        <a:blip xmlns:r="http://schemas.openxmlformats.org/officeDocument/2006/relationships" r:embed="rId1"/>
        <a:stretch>
          <a:fillRect/>
        </a:stretch>
      </xdr:blipFill>
      <xdr:spPr>
        <a:xfrm>
          <a:off x="16325850" y="2524125"/>
          <a:ext cx="1553154" cy="444818"/>
        </a:xfrm>
        <a:prstGeom prst="rect">
          <a:avLst/>
        </a:prstGeom>
      </xdr:spPr>
    </xdr:pic>
    <xdr:clientData/>
  </xdr:oneCellAnchor>
  <xdr:oneCellAnchor>
    <xdr:from>
      <xdr:col>23</xdr:col>
      <xdr:colOff>944301</xdr:colOff>
      <xdr:row>16</xdr:row>
      <xdr:rowOff>0</xdr:rowOff>
    </xdr:from>
    <xdr:ext cx="1549344" cy="446300"/>
    <xdr:pic>
      <xdr:nvPicPr>
        <xdr:cNvPr id="26" name="Picture 25" hidden="1">
          <a:extLst>
            <a:ext uri="{FF2B5EF4-FFF2-40B4-BE49-F238E27FC236}">
              <a16:creationId xmlns:a16="http://schemas.microsoft.com/office/drawing/2014/main" id="{3C2A4771-2942-496B-9BA4-BD7D92F785E5}"/>
            </a:ext>
          </a:extLst>
        </xdr:cNvPr>
        <xdr:cNvPicPr>
          <a:picLocks noChangeAspect="1"/>
        </xdr:cNvPicPr>
      </xdr:nvPicPr>
      <xdr:blipFill>
        <a:blip xmlns:r="http://schemas.openxmlformats.org/officeDocument/2006/relationships" r:embed="rId1"/>
        <a:stretch>
          <a:fillRect/>
        </a:stretch>
      </xdr:blipFill>
      <xdr:spPr>
        <a:xfrm>
          <a:off x="16325850" y="2524125"/>
          <a:ext cx="1549344" cy="446300"/>
        </a:xfrm>
        <a:prstGeom prst="rect">
          <a:avLst/>
        </a:prstGeom>
      </xdr:spPr>
    </xdr:pic>
    <xdr:clientData/>
  </xdr:oneCellAnchor>
  <xdr:oneCellAnchor>
    <xdr:from>
      <xdr:col>23</xdr:col>
      <xdr:colOff>944301</xdr:colOff>
      <xdr:row>16</xdr:row>
      <xdr:rowOff>0</xdr:rowOff>
    </xdr:from>
    <xdr:ext cx="1549344" cy="494964"/>
    <xdr:pic>
      <xdr:nvPicPr>
        <xdr:cNvPr id="27" name="Picture 26" hidden="1">
          <a:extLst>
            <a:ext uri="{FF2B5EF4-FFF2-40B4-BE49-F238E27FC236}">
              <a16:creationId xmlns:a16="http://schemas.microsoft.com/office/drawing/2014/main" id="{7944E30F-1071-4C20-A3A2-94471DF56CC0}"/>
            </a:ext>
          </a:extLst>
        </xdr:cNvPr>
        <xdr:cNvPicPr>
          <a:picLocks noChangeAspect="1"/>
        </xdr:cNvPicPr>
      </xdr:nvPicPr>
      <xdr:blipFill>
        <a:blip xmlns:r="http://schemas.openxmlformats.org/officeDocument/2006/relationships" r:embed="rId1"/>
        <a:stretch>
          <a:fillRect/>
        </a:stretch>
      </xdr:blipFill>
      <xdr:spPr>
        <a:xfrm>
          <a:off x="16325850" y="2524125"/>
          <a:ext cx="1549344" cy="49496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106257</xdr:colOff>
      <xdr:row>17</xdr:row>
      <xdr:rowOff>1691</xdr:rowOff>
    </xdr:from>
    <xdr:to>
      <xdr:col>11</xdr:col>
      <xdr:colOff>0</xdr:colOff>
      <xdr:row>20</xdr:row>
      <xdr:rowOff>10583</xdr:rowOff>
    </xdr:to>
    <xdr:sp macro="" textlink="">
      <xdr:nvSpPr>
        <xdr:cNvPr id="2" name="TextBox 1">
          <a:extLst>
            <a:ext uri="{FF2B5EF4-FFF2-40B4-BE49-F238E27FC236}">
              <a16:creationId xmlns:a16="http://schemas.microsoft.com/office/drawing/2014/main" id="{BAC1172B-2B05-4C45-988A-8D80E461B2FE}"/>
            </a:ext>
          </a:extLst>
        </xdr:cNvPr>
        <xdr:cNvSpPr txBox="1"/>
      </xdr:nvSpPr>
      <xdr:spPr>
        <a:xfrm>
          <a:off x="212514" y="3144941"/>
          <a:ext cx="17465886" cy="3256917"/>
        </a:xfrm>
        <a:prstGeom prst="rect">
          <a:avLst/>
        </a:prstGeom>
        <a:solidFill>
          <a:sysClr val="window" lastClr="FFFFFF"/>
        </a:solidFill>
        <a:ln w="9525" cmpd="sng">
          <a:solidFill>
            <a:sysClr val="window" lastClr="FFFFFF">
              <a:shade val="50000"/>
            </a:sysClr>
          </a:solidFill>
        </a:ln>
        <a:effectLst/>
      </xdr:spPr>
      <xdr:txBody>
        <a:bodyPr wrap="square" rtlCol="0" anchor="t"/>
        <a:lstStyle>
          <a:defPPr>
            <a:defRPr lang="en-US"/>
          </a:defPPr>
          <a:lvl1pPr marL="0" algn="l" defTabSz="914400" rtl="0" eaLnBrk="1" latinLnBrk="0" hangingPunct="1">
            <a:defRPr sz="1800" kern="1200">
              <a:solidFill>
                <a:srgbClr val="003896"/>
              </a:solidFill>
              <a:latin typeface="Arial" panose="020B0604020202020204"/>
            </a:defRPr>
          </a:lvl1pPr>
          <a:lvl2pPr marL="457200" algn="l" defTabSz="914400" rtl="0" eaLnBrk="1" latinLnBrk="0" hangingPunct="1">
            <a:defRPr sz="1800" kern="1200">
              <a:solidFill>
                <a:srgbClr val="003896"/>
              </a:solidFill>
              <a:latin typeface="Arial" panose="020B0604020202020204"/>
            </a:defRPr>
          </a:lvl2pPr>
          <a:lvl3pPr marL="914400" algn="l" defTabSz="914400" rtl="0" eaLnBrk="1" latinLnBrk="0" hangingPunct="1">
            <a:defRPr sz="1800" kern="1200">
              <a:solidFill>
                <a:srgbClr val="003896"/>
              </a:solidFill>
              <a:latin typeface="Arial" panose="020B0604020202020204"/>
            </a:defRPr>
          </a:lvl3pPr>
          <a:lvl4pPr marL="1371600" algn="l" defTabSz="914400" rtl="0" eaLnBrk="1" latinLnBrk="0" hangingPunct="1">
            <a:defRPr sz="1800" kern="1200">
              <a:solidFill>
                <a:srgbClr val="003896"/>
              </a:solidFill>
              <a:latin typeface="Arial" panose="020B0604020202020204"/>
            </a:defRPr>
          </a:lvl4pPr>
          <a:lvl5pPr marL="1828800" algn="l" defTabSz="914400" rtl="0" eaLnBrk="1" latinLnBrk="0" hangingPunct="1">
            <a:defRPr sz="1800" kern="1200">
              <a:solidFill>
                <a:srgbClr val="003896"/>
              </a:solidFill>
              <a:latin typeface="Arial" panose="020B0604020202020204"/>
            </a:defRPr>
          </a:lvl5pPr>
          <a:lvl6pPr marL="2286000" algn="l" defTabSz="914400" rtl="0" eaLnBrk="1" latinLnBrk="0" hangingPunct="1">
            <a:defRPr sz="1800" kern="1200">
              <a:solidFill>
                <a:srgbClr val="003896"/>
              </a:solidFill>
              <a:latin typeface="Arial" panose="020B0604020202020204"/>
            </a:defRPr>
          </a:lvl6pPr>
          <a:lvl7pPr marL="2743200" algn="l" defTabSz="914400" rtl="0" eaLnBrk="1" latinLnBrk="0" hangingPunct="1">
            <a:defRPr sz="1800" kern="1200">
              <a:solidFill>
                <a:srgbClr val="003896"/>
              </a:solidFill>
              <a:latin typeface="Arial" panose="020B0604020202020204"/>
            </a:defRPr>
          </a:lvl7pPr>
          <a:lvl8pPr marL="3200400" algn="l" defTabSz="914400" rtl="0" eaLnBrk="1" latinLnBrk="0" hangingPunct="1">
            <a:defRPr sz="1800" kern="1200">
              <a:solidFill>
                <a:srgbClr val="003896"/>
              </a:solidFill>
              <a:latin typeface="Arial" panose="020B0604020202020204"/>
            </a:defRPr>
          </a:lvl8pPr>
          <a:lvl9pPr marL="3657600" algn="l" defTabSz="914400" rtl="0" eaLnBrk="1" latinLnBrk="0" hangingPunct="1">
            <a:defRPr sz="1800" kern="1200">
              <a:solidFill>
                <a:srgbClr val="003896"/>
              </a:solidFill>
              <a:latin typeface="Arial" panose="020B0604020202020204"/>
            </a:defRPr>
          </a:lvl9pPr>
        </a:lstStyle>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Each Tab/worksheet describes the technical requirements under the green heading, these include the business requirements and the mandatory returnables a vendor must provide as evidence that they can meet the business requirements.</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The vendor may only complete the three columns with orange headings, according to the instructions in the column heading.</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The columns with blue headings are for internal Eskom use.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rgbClr val="ED7D31">
                <a:lumMod val="75000"/>
              </a:srgbClr>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200" b="1" i="0" u="none" strike="noStrike" kern="0" cap="none" spc="0" normalizeH="0" baseline="0">
              <a:ln>
                <a:noFill/>
              </a:ln>
              <a:solidFill>
                <a:sysClr val="windowText" lastClr="000000"/>
              </a:solidFill>
              <a:effectLst/>
              <a:uLnTx/>
              <a:uFillTx/>
              <a:latin typeface="Calibri" panose="020F0502020204030204"/>
            </a:rPr>
            <a:t>NOTE 1: A tenderer must meet or exceed the listed threshold in order to pass. Any tenderer who does not meet the minimum threshold will be disqualified from the tender process.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200" b="1" i="0" u="none" strike="noStrike" kern="0" cap="none" spc="0" normalizeH="0" baseline="0">
            <a:ln>
              <a:noFill/>
            </a:ln>
            <a:solidFill>
              <a:sysClr val="windowText" lastClr="000000"/>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200" b="1" i="0" u="none" strike="noStrike" kern="0" cap="none" spc="0" normalizeH="0" baseline="0">
              <a:ln>
                <a:noFill/>
              </a:ln>
              <a:solidFill>
                <a:sysClr val="windowText" lastClr="000000"/>
              </a:solidFill>
              <a:effectLst/>
              <a:uLnTx/>
              <a:uFillTx/>
              <a:latin typeface="Calibri" panose="020F0502020204030204"/>
            </a:rPr>
            <a:t>Note 2: All mandatory returnables/evidence listed in this criteria must be included in the tender submission. Returnables must be clearly marked in the technical file and numbered to align with each criteria question. </a:t>
          </a:r>
          <a:r>
            <a:rPr kumimoji="0" lang="en-ZA" sz="1200" b="1" i="0" u="sng" strike="noStrike" kern="0" cap="none" spc="0" normalizeH="0" baseline="0">
              <a:ln>
                <a:noFill/>
              </a:ln>
              <a:solidFill>
                <a:sysClr val="windowText" lastClr="000000"/>
              </a:solidFill>
              <a:effectLst/>
              <a:uLnTx/>
              <a:uFillTx/>
              <a:latin typeface="Calibri" panose="020F0502020204030204"/>
            </a:rPr>
            <a:t>Points will not be allocated for questions where no returnables/evidence has been provided.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ysClr val="windowText" lastClr="000000"/>
            </a:solidFill>
            <a:effectLst/>
            <a:uLnTx/>
            <a:uFillTx/>
            <a:latin typeface="Calibri" panose="020F0502020204030204"/>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Only vendors who pass the desktop evaluation threshold will be invited for a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Eskom will not reimburse vendors for time spent preparing for or presenting their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The demonstration tab describes the business requirements and what what needs to be presented if a vendor is invited for a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The threshold to pass the demonstration is stated in the scoring summary tab</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ZA" sz="1100" b="1" i="0" u="none" strike="noStrike" kern="0" cap="none" spc="0" normalizeH="0" baseline="0" noProof="0">
            <a:ln>
              <a:noFill/>
            </a:ln>
            <a:solidFill>
              <a:srgbClr val="ED7D31">
                <a:lumMod val="75000"/>
              </a:srgbClr>
            </a:solidFill>
            <a:effectLst/>
            <a:uLnTx/>
            <a:uFillTx/>
            <a:latin typeface="Calibri" panose="020F0502020204030204"/>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ysClr val="windowText" lastClr="000000"/>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100" b="1" i="0" u="none" strike="noStrike" kern="0" cap="none" spc="0" normalizeH="0" baseline="0">
              <a:ln>
                <a:noFill/>
              </a:ln>
              <a:solidFill>
                <a:sysClr val="windowText" lastClr="000000"/>
              </a:solidFill>
              <a:effectLst/>
              <a:uLnTx/>
              <a:uFillTx/>
              <a:latin typeface="Calibri" panose="020F0502020204030204"/>
            </a:rPr>
            <a:t> `</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4</xdr:col>
      <xdr:colOff>657225</xdr:colOff>
      <xdr:row>0</xdr:row>
      <xdr:rowOff>161925</xdr:rowOff>
    </xdr:from>
    <xdr:ext cx="1352550" cy="447416"/>
    <xdr:pic>
      <xdr:nvPicPr>
        <xdr:cNvPr id="3" name="Picture 2">
          <a:extLst>
            <a:ext uri="{FF2B5EF4-FFF2-40B4-BE49-F238E27FC236}">
              <a16:creationId xmlns:a16="http://schemas.microsoft.com/office/drawing/2014/main" id="{44565A53-AB0E-4D5F-8828-B16DC7649731}"/>
            </a:ext>
          </a:extLst>
        </xdr:cNvPr>
        <xdr:cNvPicPr>
          <a:picLocks noChangeAspect="1"/>
        </xdr:cNvPicPr>
      </xdr:nvPicPr>
      <xdr:blipFill>
        <a:blip xmlns:r="http://schemas.openxmlformats.org/officeDocument/2006/relationships" r:embed="rId1"/>
        <a:stretch>
          <a:fillRect/>
        </a:stretch>
      </xdr:blipFill>
      <xdr:spPr>
        <a:xfrm>
          <a:off x="7343775" y="161925"/>
          <a:ext cx="1352550" cy="447416"/>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6</xdr:col>
      <xdr:colOff>390525</xdr:colOff>
      <xdr:row>1</xdr:row>
      <xdr:rowOff>30232</xdr:rowOff>
    </xdr:from>
    <xdr:ext cx="1352550" cy="447416"/>
    <xdr:pic>
      <xdr:nvPicPr>
        <xdr:cNvPr id="2" name="Picture 1">
          <a:extLst>
            <a:ext uri="{FF2B5EF4-FFF2-40B4-BE49-F238E27FC236}">
              <a16:creationId xmlns:a16="http://schemas.microsoft.com/office/drawing/2014/main" id="{C7E36304-B637-4711-82BC-5E9FFEBB954D}"/>
            </a:ext>
          </a:extLst>
        </xdr:cNvPr>
        <xdr:cNvPicPr>
          <a:picLocks noChangeAspect="1"/>
        </xdr:cNvPicPr>
      </xdr:nvPicPr>
      <xdr:blipFill>
        <a:blip xmlns:r="http://schemas.openxmlformats.org/officeDocument/2006/relationships" r:embed="rId1"/>
        <a:stretch>
          <a:fillRect/>
        </a:stretch>
      </xdr:blipFill>
      <xdr:spPr>
        <a:xfrm>
          <a:off x="11287125" y="211207"/>
          <a:ext cx="1352550" cy="44741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CDF1D061-C3BF-418B-9021-DD630E60D749}"/>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F196D795-9FD2-49E7-8960-A2E7F99520DF}"/>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46E5EC48-3914-48DE-8CDA-3C25212B6750}"/>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FEEF0739-9967-4D8E-9F37-C51E48400130}"/>
            </a:ext>
          </a:extLst>
        </xdr:cNvPr>
        <xdr:cNvPicPr>
          <a:picLocks noChangeAspect="1"/>
        </xdr:cNvPicPr>
      </xdr:nvPicPr>
      <xdr:blipFill>
        <a:blip xmlns:r="http://schemas.openxmlformats.org/officeDocument/2006/relationships" r:embed="rId1"/>
        <a:stretch>
          <a:fillRect/>
        </a:stretch>
      </xdr:blipFill>
      <xdr:spPr>
        <a:xfrm>
          <a:off x="17472660"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3A145942-2BAE-42F4-A38A-A5FE35016F34}"/>
            </a:ext>
          </a:extLst>
        </xdr:cNvPr>
        <xdr:cNvPicPr>
          <a:picLocks noChangeAspect="1"/>
        </xdr:cNvPicPr>
      </xdr:nvPicPr>
      <xdr:blipFill>
        <a:blip xmlns:r="http://schemas.openxmlformats.org/officeDocument/2006/relationships" r:embed="rId1"/>
        <a:stretch>
          <a:fillRect/>
        </a:stretch>
      </xdr:blipFill>
      <xdr:spPr>
        <a:xfrm>
          <a:off x="17472660"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D88E4D75-B3F9-4DFD-A0F6-33ACD515360E}"/>
            </a:ext>
          </a:extLst>
        </xdr:cNvPr>
        <xdr:cNvPicPr>
          <a:picLocks noChangeAspect="1"/>
        </xdr:cNvPicPr>
      </xdr:nvPicPr>
      <xdr:blipFill>
        <a:blip xmlns:r="http://schemas.openxmlformats.org/officeDocument/2006/relationships" r:embed="rId1"/>
        <a:stretch>
          <a:fillRect/>
        </a:stretch>
      </xdr:blipFill>
      <xdr:spPr>
        <a:xfrm>
          <a:off x="17472660" y="1935480"/>
          <a:ext cx="1549344" cy="494964"/>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13</xdr:col>
      <xdr:colOff>944301</xdr:colOff>
      <xdr:row>9</xdr:row>
      <xdr:rowOff>0</xdr:rowOff>
    </xdr:from>
    <xdr:ext cx="1553154" cy="444818"/>
    <xdr:pic>
      <xdr:nvPicPr>
        <xdr:cNvPr id="2" name="Picture 1" hidden="1">
          <a:extLst>
            <a:ext uri="{FF2B5EF4-FFF2-40B4-BE49-F238E27FC236}">
              <a16:creationId xmlns:a16="http://schemas.microsoft.com/office/drawing/2014/main" id="{299B5C6F-BEB8-47DC-872C-8F9BFB431186}"/>
            </a:ext>
          </a:extLst>
        </xdr:cNvPr>
        <xdr:cNvPicPr>
          <a:picLocks noChangeAspect="1"/>
        </xdr:cNvPicPr>
      </xdr:nvPicPr>
      <xdr:blipFill>
        <a:blip xmlns:r="http://schemas.openxmlformats.org/officeDocument/2006/relationships" r:embed="rId1"/>
        <a:stretch>
          <a:fillRect/>
        </a:stretch>
      </xdr:blipFill>
      <xdr:spPr>
        <a:xfrm>
          <a:off x="19124351" y="1943100"/>
          <a:ext cx="1553154" cy="444818"/>
        </a:xfrm>
        <a:prstGeom prst="rect">
          <a:avLst/>
        </a:prstGeom>
      </xdr:spPr>
    </xdr:pic>
    <xdr:clientData/>
  </xdr:oneCellAnchor>
  <xdr:oneCellAnchor>
    <xdr:from>
      <xdr:col>13</xdr:col>
      <xdr:colOff>944301</xdr:colOff>
      <xdr:row>9</xdr:row>
      <xdr:rowOff>0</xdr:rowOff>
    </xdr:from>
    <xdr:ext cx="1549344" cy="446300"/>
    <xdr:pic>
      <xdr:nvPicPr>
        <xdr:cNvPr id="3" name="Picture 2" hidden="1">
          <a:extLst>
            <a:ext uri="{FF2B5EF4-FFF2-40B4-BE49-F238E27FC236}">
              <a16:creationId xmlns:a16="http://schemas.microsoft.com/office/drawing/2014/main" id="{0552B992-CD96-445C-B2F4-F6C2457F1F98}"/>
            </a:ext>
          </a:extLst>
        </xdr:cNvPr>
        <xdr:cNvPicPr>
          <a:picLocks noChangeAspect="1"/>
        </xdr:cNvPicPr>
      </xdr:nvPicPr>
      <xdr:blipFill>
        <a:blip xmlns:r="http://schemas.openxmlformats.org/officeDocument/2006/relationships" r:embed="rId1"/>
        <a:stretch>
          <a:fillRect/>
        </a:stretch>
      </xdr:blipFill>
      <xdr:spPr>
        <a:xfrm>
          <a:off x="19124351" y="1943100"/>
          <a:ext cx="1549344" cy="446300"/>
        </a:xfrm>
        <a:prstGeom prst="rect">
          <a:avLst/>
        </a:prstGeom>
      </xdr:spPr>
    </xdr:pic>
    <xdr:clientData/>
  </xdr:oneCellAnchor>
  <xdr:oneCellAnchor>
    <xdr:from>
      <xdr:col>13</xdr:col>
      <xdr:colOff>944301</xdr:colOff>
      <xdr:row>9</xdr:row>
      <xdr:rowOff>0</xdr:rowOff>
    </xdr:from>
    <xdr:ext cx="1549344" cy="494964"/>
    <xdr:pic>
      <xdr:nvPicPr>
        <xdr:cNvPr id="4" name="Picture 3" hidden="1">
          <a:extLst>
            <a:ext uri="{FF2B5EF4-FFF2-40B4-BE49-F238E27FC236}">
              <a16:creationId xmlns:a16="http://schemas.microsoft.com/office/drawing/2014/main" id="{EAD9394C-407E-42DB-B19B-E22909D91960}"/>
            </a:ext>
          </a:extLst>
        </xdr:cNvPr>
        <xdr:cNvPicPr>
          <a:picLocks noChangeAspect="1"/>
        </xdr:cNvPicPr>
      </xdr:nvPicPr>
      <xdr:blipFill>
        <a:blip xmlns:r="http://schemas.openxmlformats.org/officeDocument/2006/relationships" r:embed="rId1"/>
        <a:stretch>
          <a:fillRect/>
        </a:stretch>
      </xdr:blipFill>
      <xdr:spPr>
        <a:xfrm>
          <a:off x="19124351" y="1943100"/>
          <a:ext cx="1549344" cy="494964"/>
        </a:xfrm>
        <a:prstGeom prst="rect">
          <a:avLst/>
        </a:prstGeom>
      </xdr:spPr>
    </xdr:pic>
    <xdr:clientData/>
  </xdr:oneCellAnchor>
  <xdr:oneCellAnchor>
    <xdr:from>
      <xdr:col>24</xdr:col>
      <xdr:colOff>944301</xdr:colOff>
      <xdr:row>9</xdr:row>
      <xdr:rowOff>0</xdr:rowOff>
    </xdr:from>
    <xdr:ext cx="1553154" cy="444818"/>
    <xdr:pic>
      <xdr:nvPicPr>
        <xdr:cNvPr id="5" name="Picture 4" hidden="1">
          <a:extLst>
            <a:ext uri="{FF2B5EF4-FFF2-40B4-BE49-F238E27FC236}">
              <a16:creationId xmlns:a16="http://schemas.microsoft.com/office/drawing/2014/main" id="{08317316-33BB-418F-8096-093C4BBE162B}"/>
            </a:ext>
          </a:extLst>
        </xdr:cNvPr>
        <xdr:cNvPicPr>
          <a:picLocks noChangeAspect="1"/>
        </xdr:cNvPicPr>
      </xdr:nvPicPr>
      <xdr:blipFill>
        <a:blip xmlns:r="http://schemas.openxmlformats.org/officeDocument/2006/relationships" r:embed="rId1"/>
        <a:stretch>
          <a:fillRect/>
        </a:stretch>
      </xdr:blipFill>
      <xdr:spPr>
        <a:xfrm>
          <a:off x="24496451" y="1943100"/>
          <a:ext cx="1553154" cy="444818"/>
        </a:xfrm>
        <a:prstGeom prst="rect">
          <a:avLst/>
        </a:prstGeom>
      </xdr:spPr>
    </xdr:pic>
    <xdr:clientData/>
  </xdr:oneCellAnchor>
  <xdr:oneCellAnchor>
    <xdr:from>
      <xdr:col>24</xdr:col>
      <xdr:colOff>944301</xdr:colOff>
      <xdr:row>9</xdr:row>
      <xdr:rowOff>0</xdr:rowOff>
    </xdr:from>
    <xdr:ext cx="1549344" cy="446300"/>
    <xdr:pic>
      <xdr:nvPicPr>
        <xdr:cNvPr id="6" name="Picture 5" hidden="1">
          <a:extLst>
            <a:ext uri="{FF2B5EF4-FFF2-40B4-BE49-F238E27FC236}">
              <a16:creationId xmlns:a16="http://schemas.microsoft.com/office/drawing/2014/main" id="{D77922E0-7E4C-4B64-9F53-50DA167A2218}"/>
            </a:ext>
          </a:extLst>
        </xdr:cNvPr>
        <xdr:cNvPicPr>
          <a:picLocks noChangeAspect="1"/>
        </xdr:cNvPicPr>
      </xdr:nvPicPr>
      <xdr:blipFill>
        <a:blip xmlns:r="http://schemas.openxmlformats.org/officeDocument/2006/relationships" r:embed="rId1"/>
        <a:stretch>
          <a:fillRect/>
        </a:stretch>
      </xdr:blipFill>
      <xdr:spPr>
        <a:xfrm>
          <a:off x="24496451" y="1943100"/>
          <a:ext cx="1549344" cy="446300"/>
        </a:xfrm>
        <a:prstGeom prst="rect">
          <a:avLst/>
        </a:prstGeom>
      </xdr:spPr>
    </xdr:pic>
    <xdr:clientData/>
  </xdr:oneCellAnchor>
  <xdr:oneCellAnchor>
    <xdr:from>
      <xdr:col>24</xdr:col>
      <xdr:colOff>944301</xdr:colOff>
      <xdr:row>9</xdr:row>
      <xdr:rowOff>0</xdr:rowOff>
    </xdr:from>
    <xdr:ext cx="1549344" cy="494964"/>
    <xdr:pic>
      <xdr:nvPicPr>
        <xdr:cNvPr id="7" name="Picture 6" hidden="1">
          <a:extLst>
            <a:ext uri="{FF2B5EF4-FFF2-40B4-BE49-F238E27FC236}">
              <a16:creationId xmlns:a16="http://schemas.microsoft.com/office/drawing/2014/main" id="{6E706AA9-11F7-4634-B611-584CFED9B764}"/>
            </a:ext>
          </a:extLst>
        </xdr:cNvPr>
        <xdr:cNvPicPr>
          <a:picLocks noChangeAspect="1"/>
        </xdr:cNvPicPr>
      </xdr:nvPicPr>
      <xdr:blipFill>
        <a:blip xmlns:r="http://schemas.openxmlformats.org/officeDocument/2006/relationships" r:embed="rId1"/>
        <a:stretch>
          <a:fillRect/>
        </a:stretch>
      </xdr:blipFill>
      <xdr:spPr>
        <a:xfrm>
          <a:off x="24496451" y="1943100"/>
          <a:ext cx="1549344" cy="494964"/>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EDB8D575-9E31-425E-98F7-3AE481722158}"/>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12FF3AAA-44F1-45A2-B1A1-99CB39DC1C56}"/>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9819FB07-BFC6-4119-AC28-4CB31FF02AEE}"/>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9565FEA1-30F7-4C5B-9EE2-98D240889463}"/>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343A800A-2BAA-4712-987B-3A49CA9FB004}"/>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070C0010-BFE1-4586-8139-5E603C4B969A}"/>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24D342FE-D37C-4A82-87D5-2B0DB3835A2E}"/>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0EC7BEA5-6B23-47DD-9DAD-C617D10A16C7}"/>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D93FEACC-46C6-425A-8590-7AA91C511106}"/>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476B3CE7-3294-4616-9AA8-71AA2C7A2489}"/>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B14DB819-5155-4130-9CEC-1730DAB1399F}"/>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0B2FDBC8-2EB5-4CA6-9416-F7130F811FCE}"/>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917B63BC-A9EF-4D68-9C7E-A0BDB29606E1}"/>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1D9315F3-F622-4F30-AB03-EE3AADEB44F7}"/>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0982FF19-3F49-42B8-AF79-CB74D17848BD}"/>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4BD4F7B7-043E-41F6-B153-362117692A94}"/>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6FFECFD2-EDE7-4FD8-9D01-2CD943BCC798}"/>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8E0D8ACD-317B-420D-B3BA-1736DCF2D520}"/>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691D1AC4-4D04-462B-AE8B-8EDEDB23CF06}"/>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BDDBC44B-74BF-4B1B-B56B-4EC971D1A37F}"/>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E7391A25-1E65-4688-9B72-425D377F3583}"/>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E33A8F1D-7636-4CEB-A0B5-80943D0B682D}"/>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72BAD3DE-53F3-4E23-A1F2-15A54B6026F5}"/>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842539C3-14BA-44E7-8046-E1012B01C1EB}"/>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329CFD7B-2852-48A2-9DC6-116CB3455C2A}"/>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A03D919C-7BA4-4E1F-9DD3-94B9497B8499}"/>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25335C14-848D-45B8-82FE-1F2C3BDEF958}"/>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6A994DEA-F2D9-4F37-9351-4048570F57CE}"/>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238DD985-D49F-4F31-BB41-84B3CE4804AC}"/>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D2C7BF47-4280-47CD-A65C-B724BAC1A8FC}"/>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7A900785-A284-4A0D-AF79-0163422EAF29}"/>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A956ADAC-70C2-4569-992C-DEC06A3A86DF}"/>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068C8852-6660-4010-A939-B92BE624A439}"/>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BDA1415B-F820-4613-8534-94C6B73CE814}"/>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783037AB-A8DF-42CA-BE9D-53EDBCB6DE0E}"/>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0C41FC74-5244-414F-B0E2-B3BE8F725B88}"/>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5FAB4028-E1D1-40C4-A3E8-3707811A076B}"/>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14D8166A-A458-462B-98E0-D416531EDEE8}"/>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7CADE398-64C0-4269-A190-6250097FBAEF}"/>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541EA63F-F984-45CA-82C6-92AE2C47E7C2}"/>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F4289B5E-B0FE-4A76-81A0-60332521767C}"/>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988BCF7F-0400-41F1-8724-8863D9AA68FC}"/>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912AB801-DAF2-44F6-8DA6-C435312B0260}"/>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1274D85F-E5EC-4DC6-9B1E-D25151C60117}"/>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0A14DBE3-9DE6-4F69-828D-0DF43BEF2425}"/>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20F2B50F-58B5-4AA2-AC54-C1C4F9958706}"/>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8B1BC872-C66E-431A-8855-3A62D7B320B2}"/>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F9B699CB-88F1-4664-9F0E-66E01E226B64}"/>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FF61C045-5921-4709-B351-B6F6A7B26D68}"/>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735F8165-463A-4A83-92C3-5CF9B0B04DF9}"/>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E85C05DF-B380-498A-8ED8-BAF5351E3BFD}"/>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F4BE9867-AF6A-47C1-A42D-BB362B962FB3}"/>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F77594B3-ECA7-4904-B469-CD196B789725}"/>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E7BB4E65-8877-4114-94D3-DF3342B6AF33}"/>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14D3451E-4634-4E45-AE8A-4FA4EE20596C}"/>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C69FEB87-4D47-491B-AD65-AD3A28DBCF0C}"/>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B0234A34-DA15-452F-82CC-A1A5CC28C89E}"/>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23D7A01A-AD79-4B28-BB7E-988A37C38A30}"/>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48A2E0B3-47CF-4186-A59F-6A1EF6B78618}"/>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54F82E45-56EE-4B9B-B118-D79FA4BFC3A5}"/>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AF41F23F-339D-47BA-B2F4-EC4B41994B98}"/>
            </a:ext>
          </a:extLst>
        </xdr:cNvPr>
        <xdr:cNvPicPr>
          <a:picLocks noChangeAspect="1"/>
        </xdr:cNvPicPr>
      </xdr:nvPicPr>
      <xdr:blipFill>
        <a:blip xmlns:r="http://schemas.openxmlformats.org/officeDocument/2006/relationships" r:embed="rId1"/>
        <a:stretch>
          <a:fillRect/>
        </a:stretch>
      </xdr:blipFill>
      <xdr:spPr>
        <a:xfrm>
          <a:off x="17068221" y="193548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5121BF75-5078-42AD-958B-A0A00CBD1358}"/>
            </a:ext>
          </a:extLst>
        </xdr:cNvPr>
        <xdr:cNvPicPr>
          <a:picLocks noChangeAspect="1"/>
        </xdr:cNvPicPr>
      </xdr:nvPicPr>
      <xdr:blipFill>
        <a:blip xmlns:r="http://schemas.openxmlformats.org/officeDocument/2006/relationships" r:embed="rId1"/>
        <a:stretch>
          <a:fillRect/>
        </a:stretch>
      </xdr:blipFill>
      <xdr:spPr>
        <a:xfrm>
          <a:off x="17068221" y="193548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60E4C8A1-EB99-42C6-8AD2-2BB22EE2D08D}"/>
            </a:ext>
          </a:extLst>
        </xdr:cNvPr>
        <xdr:cNvPicPr>
          <a:picLocks noChangeAspect="1"/>
        </xdr:cNvPicPr>
      </xdr:nvPicPr>
      <xdr:blipFill>
        <a:blip xmlns:r="http://schemas.openxmlformats.org/officeDocument/2006/relationships" r:embed="rId1"/>
        <a:stretch>
          <a:fillRect/>
        </a:stretch>
      </xdr:blipFill>
      <xdr:spPr>
        <a:xfrm>
          <a:off x="17068221" y="193548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A7102C56-A910-47CB-9BDF-0BB556421183}"/>
            </a:ext>
          </a:extLst>
        </xdr:cNvPr>
        <xdr:cNvPicPr>
          <a:picLocks noChangeAspect="1"/>
        </xdr:cNvPicPr>
      </xdr:nvPicPr>
      <xdr:blipFill>
        <a:blip xmlns:r="http://schemas.openxmlformats.org/officeDocument/2006/relationships" r:embed="rId1"/>
        <a:stretch>
          <a:fillRect/>
        </a:stretch>
      </xdr:blipFill>
      <xdr:spPr>
        <a:xfrm>
          <a:off x="22341261" y="193548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2A863EAD-9716-4464-8A4D-AE990F570261}"/>
            </a:ext>
          </a:extLst>
        </xdr:cNvPr>
        <xdr:cNvPicPr>
          <a:picLocks noChangeAspect="1"/>
        </xdr:cNvPicPr>
      </xdr:nvPicPr>
      <xdr:blipFill>
        <a:blip xmlns:r="http://schemas.openxmlformats.org/officeDocument/2006/relationships" r:embed="rId1"/>
        <a:stretch>
          <a:fillRect/>
        </a:stretch>
      </xdr:blipFill>
      <xdr:spPr>
        <a:xfrm>
          <a:off x="22341261" y="193548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754A70F0-5C33-4121-9BA2-25688448EB21}"/>
            </a:ext>
          </a:extLst>
        </xdr:cNvPr>
        <xdr:cNvPicPr>
          <a:picLocks noChangeAspect="1"/>
        </xdr:cNvPicPr>
      </xdr:nvPicPr>
      <xdr:blipFill>
        <a:blip xmlns:r="http://schemas.openxmlformats.org/officeDocument/2006/relationships" r:embed="rId1"/>
        <a:stretch>
          <a:fillRect/>
        </a:stretch>
      </xdr:blipFill>
      <xdr:spPr>
        <a:xfrm>
          <a:off x="22341261" y="1935480"/>
          <a:ext cx="1549344" cy="494964"/>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12</xdr:col>
      <xdr:colOff>944301</xdr:colOff>
      <xdr:row>9</xdr:row>
      <xdr:rowOff>0</xdr:rowOff>
    </xdr:from>
    <xdr:ext cx="1553154" cy="444818"/>
    <xdr:pic>
      <xdr:nvPicPr>
        <xdr:cNvPr id="2" name="Picture 1" hidden="1">
          <a:extLst>
            <a:ext uri="{FF2B5EF4-FFF2-40B4-BE49-F238E27FC236}">
              <a16:creationId xmlns:a16="http://schemas.microsoft.com/office/drawing/2014/main" id="{BA0B7013-D03F-41DB-8364-A13C5A5A08CC}"/>
            </a:ext>
          </a:extLst>
        </xdr:cNvPr>
        <xdr:cNvPicPr>
          <a:picLocks noChangeAspect="1"/>
        </xdr:cNvPicPr>
      </xdr:nvPicPr>
      <xdr:blipFill>
        <a:blip xmlns:r="http://schemas.openxmlformats.org/officeDocument/2006/relationships" r:embed="rId1"/>
        <a:stretch>
          <a:fillRect/>
        </a:stretch>
      </xdr:blipFill>
      <xdr:spPr>
        <a:xfrm>
          <a:off x="18043581" y="1920240"/>
          <a:ext cx="1553154" cy="444818"/>
        </a:xfrm>
        <a:prstGeom prst="rect">
          <a:avLst/>
        </a:prstGeom>
      </xdr:spPr>
    </xdr:pic>
    <xdr:clientData/>
  </xdr:oneCellAnchor>
  <xdr:oneCellAnchor>
    <xdr:from>
      <xdr:col>12</xdr:col>
      <xdr:colOff>944301</xdr:colOff>
      <xdr:row>9</xdr:row>
      <xdr:rowOff>0</xdr:rowOff>
    </xdr:from>
    <xdr:ext cx="1549344" cy="446300"/>
    <xdr:pic>
      <xdr:nvPicPr>
        <xdr:cNvPr id="3" name="Picture 2" hidden="1">
          <a:extLst>
            <a:ext uri="{FF2B5EF4-FFF2-40B4-BE49-F238E27FC236}">
              <a16:creationId xmlns:a16="http://schemas.microsoft.com/office/drawing/2014/main" id="{9A04E4A7-5107-482C-AC3B-E124099DDE8F}"/>
            </a:ext>
          </a:extLst>
        </xdr:cNvPr>
        <xdr:cNvPicPr>
          <a:picLocks noChangeAspect="1"/>
        </xdr:cNvPicPr>
      </xdr:nvPicPr>
      <xdr:blipFill>
        <a:blip xmlns:r="http://schemas.openxmlformats.org/officeDocument/2006/relationships" r:embed="rId1"/>
        <a:stretch>
          <a:fillRect/>
        </a:stretch>
      </xdr:blipFill>
      <xdr:spPr>
        <a:xfrm>
          <a:off x="18043581" y="1920240"/>
          <a:ext cx="1549344" cy="446300"/>
        </a:xfrm>
        <a:prstGeom prst="rect">
          <a:avLst/>
        </a:prstGeom>
      </xdr:spPr>
    </xdr:pic>
    <xdr:clientData/>
  </xdr:oneCellAnchor>
  <xdr:oneCellAnchor>
    <xdr:from>
      <xdr:col>12</xdr:col>
      <xdr:colOff>944301</xdr:colOff>
      <xdr:row>9</xdr:row>
      <xdr:rowOff>0</xdr:rowOff>
    </xdr:from>
    <xdr:ext cx="1549344" cy="494964"/>
    <xdr:pic>
      <xdr:nvPicPr>
        <xdr:cNvPr id="4" name="Picture 3" hidden="1">
          <a:extLst>
            <a:ext uri="{FF2B5EF4-FFF2-40B4-BE49-F238E27FC236}">
              <a16:creationId xmlns:a16="http://schemas.microsoft.com/office/drawing/2014/main" id="{F1B1FDFF-1AD5-4AD6-BEC9-88042AA10BB8}"/>
            </a:ext>
          </a:extLst>
        </xdr:cNvPr>
        <xdr:cNvPicPr>
          <a:picLocks noChangeAspect="1"/>
        </xdr:cNvPicPr>
      </xdr:nvPicPr>
      <xdr:blipFill>
        <a:blip xmlns:r="http://schemas.openxmlformats.org/officeDocument/2006/relationships" r:embed="rId1"/>
        <a:stretch>
          <a:fillRect/>
        </a:stretch>
      </xdr:blipFill>
      <xdr:spPr>
        <a:xfrm>
          <a:off x="18043581" y="1920240"/>
          <a:ext cx="1549344" cy="494964"/>
        </a:xfrm>
        <a:prstGeom prst="rect">
          <a:avLst/>
        </a:prstGeom>
      </xdr:spPr>
    </xdr:pic>
    <xdr:clientData/>
  </xdr:oneCellAnchor>
  <xdr:oneCellAnchor>
    <xdr:from>
      <xdr:col>23</xdr:col>
      <xdr:colOff>944301</xdr:colOff>
      <xdr:row>9</xdr:row>
      <xdr:rowOff>0</xdr:rowOff>
    </xdr:from>
    <xdr:ext cx="1553154" cy="444818"/>
    <xdr:pic>
      <xdr:nvPicPr>
        <xdr:cNvPr id="5" name="Picture 4" hidden="1">
          <a:extLst>
            <a:ext uri="{FF2B5EF4-FFF2-40B4-BE49-F238E27FC236}">
              <a16:creationId xmlns:a16="http://schemas.microsoft.com/office/drawing/2014/main" id="{EA729E12-CDC8-4D62-939F-4CEFBAC4C9D0}"/>
            </a:ext>
          </a:extLst>
        </xdr:cNvPr>
        <xdr:cNvPicPr>
          <a:picLocks noChangeAspect="1"/>
        </xdr:cNvPicPr>
      </xdr:nvPicPr>
      <xdr:blipFill>
        <a:blip xmlns:r="http://schemas.openxmlformats.org/officeDocument/2006/relationships" r:embed="rId1"/>
        <a:stretch>
          <a:fillRect/>
        </a:stretch>
      </xdr:blipFill>
      <xdr:spPr>
        <a:xfrm>
          <a:off x="23316621" y="1920240"/>
          <a:ext cx="1553154" cy="444818"/>
        </a:xfrm>
        <a:prstGeom prst="rect">
          <a:avLst/>
        </a:prstGeom>
      </xdr:spPr>
    </xdr:pic>
    <xdr:clientData/>
  </xdr:oneCellAnchor>
  <xdr:oneCellAnchor>
    <xdr:from>
      <xdr:col>23</xdr:col>
      <xdr:colOff>944301</xdr:colOff>
      <xdr:row>9</xdr:row>
      <xdr:rowOff>0</xdr:rowOff>
    </xdr:from>
    <xdr:ext cx="1549344" cy="446300"/>
    <xdr:pic>
      <xdr:nvPicPr>
        <xdr:cNvPr id="6" name="Picture 5" hidden="1">
          <a:extLst>
            <a:ext uri="{FF2B5EF4-FFF2-40B4-BE49-F238E27FC236}">
              <a16:creationId xmlns:a16="http://schemas.microsoft.com/office/drawing/2014/main" id="{434BEB24-E0E5-47C0-A470-873B21E57960}"/>
            </a:ext>
          </a:extLst>
        </xdr:cNvPr>
        <xdr:cNvPicPr>
          <a:picLocks noChangeAspect="1"/>
        </xdr:cNvPicPr>
      </xdr:nvPicPr>
      <xdr:blipFill>
        <a:blip xmlns:r="http://schemas.openxmlformats.org/officeDocument/2006/relationships" r:embed="rId1"/>
        <a:stretch>
          <a:fillRect/>
        </a:stretch>
      </xdr:blipFill>
      <xdr:spPr>
        <a:xfrm>
          <a:off x="23316621" y="1920240"/>
          <a:ext cx="1549344" cy="446300"/>
        </a:xfrm>
        <a:prstGeom prst="rect">
          <a:avLst/>
        </a:prstGeom>
      </xdr:spPr>
    </xdr:pic>
    <xdr:clientData/>
  </xdr:oneCellAnchor>
  <xdr:oneCellAnchor>
    <xdr:from>
      <xdr:col>23</xdr:col>
      <xdr:colOff>944301</xdr:colOff>
      <xdr:row>9</xdr:row>
      <xdr:rowOff>0</xdr:rowOff>
    </xdr:from>
    <xdr:ext cx="1549344" cy="494964"/>
    <xdr:pic>
      <xdr:nvPicPr>
        <xdr:cNvPr id="7" name="Picture 6" hidden="1">
          <a:extLst>
            <a:ext uri="{FF2B5EF4-FFF2-40B4-BE49-F238E27FC236}">
              <a16:creationId xmlns:a16="http://schemas.microsoft.com/office/drawing/2014/main" id="{EB4CDF13-2238-402B-AC47-06BCB6FF737E}"/>
            </a:ext>
          </a:extLst>
        </xdr:cNvPr>
        <xdr:cNvPicPr>
          <a:picLocks noChangeAspect="1"/>
        </xdr:cNvPicPr>
      </xdr:nvPicPr>
      <xdr:blipFill>
        <a:blip xmlns:r="http://schemas.openxmlformats.org/officeDocument/2006/relationships" r:embed="rId1"/>
        <a:stretch>
          <a:fillRect/>
        </a:stretch>
      </xdr:blipFill>
      <xdr:spPr>
        <a:xfrm>
          <a:off x="23316621" y="1920240"/>
          <a:ext cx="1549344" cy="494964"/>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skom.sharepoint.com/Users/tshav/AppData/Local/Microsoft/Olk/Attachments/ooa-5fd77448-73d5-45fb-9774-0c0fae116df4/ab78b287ebe3c7b2795e682962def974b603a86e0ed9ac1e84e914645250cc91/Technical%20Evalation%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NDERER - Response Guidelines"/>
      <sheetName val="Evaluation Summary"/>
      <sheetName val="General Questions"/>
      <sheetName val="FN1 Standard Functionality"/>
      <sheetName val="FN2 Data Changes"/>
      <sheetName val="FN3 Spatial Data"/>
      <sheetName val="FN4 Data Quality"/>
      <sheetName val="FN5 Redlining"/>
      <sheetName val="FN6 Reports"/>
      <sheetName val="FN7 Tracing &amp; Points"/>
      <sheetName val="FN8 Network Plannng"/>
      <sheetName val="FN9 Lands &amp; Rights"/>
      <sheetName val="FN10 Line Designs"/>
      <sheetName val="FN11 Schematics"/>
      <sheetName val="Architecture"/>
      <sheetName val="Integration"/>
      <sheetName val="System Support"/>
      <sheetName val="Security"/>
      <sheetName val="Demonstration"/>
      <sheetName val="Priority Ratings &amp; Descriptions"/>
      <sheetName val="Definitions &amp; Abbreviations"/>
      <sheetName val="Functional Overview Diagram"/>
      <sheetName val="FN Detailed Funtional Reqs"/>
      <sheetName val="Concerns and Recommendations"/>
      <sheetName val="Lookup Tables (hide)"/>
      <sheetName val="Technical Evalation -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Azwi Sigama" id="{17A53FD9-CB89-4A20-8193-A7F473CCCA61}" userId="Azwi Sigama" providerId="None"/>
  <person displayName="Heiny Peck" id="{738B746C-4C09-445C-B8FE-621602696C31}" userId="S::PeckHG@eskom.co.za::d76039fb-a41c-4a72-8a74-a6bc0cc0d217"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21E81F3-0CD7-4733-8ED9-F7769996A956}" name="Table9" displayName="Table9" ref="A19:AI21" totalsRowShown="0" headerRowDxfId="628" dataDxfId="626" headerRowBorderDxfId="627" tableBorderDxfId="625" totalsRowBorderDxfId="624">
  <autoFilter ref="A19:AI21" xr:uid="{E21E81F3-0CD7-4733-8ED9-F7769996A956}"/>
  <tableColumns count="35">
    <tableColumn id="1" xr3:uid="{30CD54A5-1CF8-47F1-B412-1A3DFFAE1C91}" name="Intem#" dataDxfId="623"/>
    <tableColumn id="2" xr3:uid="{A21E39F1-ADC7-4646-836D-409E961BB9E5}" name="Business requirements " dataDxfId="622"/>
    <tableColumn id="3" xr3:uid="{6E935421-5062-406F-82D3-F3CA9D74433C}" name="Mandatory Returnables - This colunm lists the mandotory evidence to be provided by the vendor in the technical file and numbered to align with each criteria question. " dataDxfId="621"/>
    <tableColumn id="4" xr3:uid="{A0D3A1FF-BA7F-4AF4-B5F9-F40B54869C54}" name="Vendor Response: Vendor to indicate if, and to what extent they meet the requirement, detail must be provided in the tender submission" dataDxfId="620"/>
    <tableColumn id="5" xr3:uid="{9FFAF5DA-D885-4DC1-B683-2DAE01C05557}" name="Vendor Evidence: Location of Supporting Document/detailed response in your tender submission (state the file number, section &amp; page number)" dataDxfId="619"/>
    <tableColumn id="6" xr3:uid="{7EA67A68-8427-4C09-BDFB-A2AEFD303F42}" name="Priority Description" dataDxfId="618"/>
    <tableColumn id="7" xr3:uid="{A63BE23B-05DF-4F1D-A1B4-9DD468686629}" name="Priority" dataDxfId="617">
      <calculatedColumnFormula array="1">_xlfn.IFS(F20="","",F20="No interest",0,F20="Nice to have",1,F20="Useful",2,F20="Important",3,F20="Very important",4,F20="Critical",5,F20="Show stopper",6)</calculatedColumnFormula>
    </tableColumn>
    <tableColumn id="8" xr3:uid="{B8ED9736-8573-4302-BE70-72ABB3614B44}" name="Weight" dataDxfId="616" dataCellStyle="Percent">
      <calculatedColumnFormula>(G20/$G$18)*$F$18</calculatedColumnFormula>
    </tableColumn>
    <tableColumn id="9" xr3:uid="{BDD06966-B18B-44A0-B057-87E18E551049}" name="Selection Option" dataDxfId="615"/>
    <tableColumn id="10" xr3:uid="{9ED9B463-633A-4EA1-9C04-AF4A65605CDD}" name="Option Score" dataDxfId="614">
      <calculatedColumnFormula array="1">_xlfn.TEXTJOIN(","&amp;CHAR(10),,TEXT(Table9[[#This Row],[12]:[22]],"0,00%"))</calculatedColumnFormula>
    </tableColumn>
    <tableColumn id="11" xr3:uid="{80948B11-130E-4CC7-98FF-F42E42EB6266}" name="Evaluators Response (SELECT)" dataDxfId="613"/>
    <tableColumn id="12" xr3:uid="{7C509331-9E2A-4795-ABF5-0F9CCD204D4A}" name="Score" dataDxfId="612">
      <calculatedColumnFormula>H20-(H20*((MATCH(#REF!,#REF!,0)-1)/(COUNTA(#REF!)-COUNTBLANK(#REF!)-1)))</calculatedColumnFormula>
    </tableColumn>
    <tableColumn id="13" xr3:uid="{7592EE7D-8FC6-48EE-B10D-EFB983B7EC5A}" name="Evaluator comments" dataDxfId="611"/>
    <tableColumn id="14" xr3:uid="{76AF9911-3BA8-4DB7-AA31-C98A86EE76A8}" name="1" dataDxfId="610">
      <calculatedColumnFormula array="1">IFERROR(INDEX(_xlfn.UNIQUE(TRIM(_xlfn.TEXTSPLIT(Table9[[#This Row],[Selection Option]:[Selection Option]],","))),,N$18),"")</calculatedColumnFormula>
    </tableColumn>
    <tableColumn id="15" xr3:uid="{829A7325-A189-4E8E-ACAE-7B333F386AB1}" name="2" dataDxfId="609">
      <calculatedColumnFormula array="1">IFERROR(INDEX(_xlfn.UNIQUE(TRIM(_xlfn.TEXTSPLIT(Table9[[#This Row],[Selection Option]:[Selection Option]],","))),,O$18),"")</calculatedColumnFormula>
    </tableColumn>
    <tableColumn id="16" xr3:uid="{CDE3F9B0-4A4E-4EE7-BB4F-E1391B71ECAB}" name="3" dataDxfId="608">
      <calculatedColumnFormula array="1">IFERROR(INDEX(_xlfn.UNIQUE(TRIM(_xlfn.TEXTSPLIT(Table9[[#This Row],[Selection Option]:[Selection Option]],","))),,P$18),"")</calculatedColumnFormula>
    </tableColumn>
    <tableColumn id="17" xr3:uid="{A513037E-D4B4-4791-96F8-F4EE074B8CC6}" name="4" dataDxfId="607">
      <calculatedColumnFormula array="1">IFERROR(INDEX(_xlfn.UNIQUE(TRIM(_xlfn.TEXTSPLIT(Table9[[#This Row],[Selection Option]:[Selection Option]],","))),,Q$18),"")</calculatedColumnFormula>
    </tableColumn>
    <tableColumn id="18" xr3:uid="{BFBFD067-3172-4AF4-B22B-44E5723D74D3}" name="5" dataDxfId="606">
      <calculatedColumnFormula array="1">IFERROR(INDEX(_xlfn.UNIQUE(TRIM(_xlfn.TEXTSPLIT(Table9[[#This Row],[Selection Option]:[Selection Option]],","))),,R$18),"")</calculatedColumnFormula>
    </tableColumn>
    <tableColumn id="19" xr3:uid="{F969CB0A-7605-4295-9E6F-4B1A145A389B}" name="6" dataDxfId="605">
      <calculatedColumnFormula array="1">IFERROR(INDEX(_xlfn.UNIQUE(TRIM(_xlfn.TEXTSPLIT(Table9[[#This Row],[Selection Option]:[Selection Option]],","))),,S$18),"")</calculatedColumnFormula>
    </tableColumn>
    <tableColumn id="20" xr3:uid="{DAC80CD7-1B83-4748-AC20-CE0071822C44}" name="7" dataDxfId="604">
      <calculatedColumnFormula array="1">IFERROR(INDEX(_xlfn.UNIQUE(TRIM(_xlfn.TEXTSPLIT(Table9[[#This Row],[Selection Option]:[Selection Option]],","))),,T$18),"")</calculatedColumnFormula>
    </tableColumn>
    <tableColumn id="21" xr3:uid="{BAD34264-610C-44AC-BDC5-38F40A245A82}" name="8" dataDxfId="603">
      <calculatedColumnFormula array="1">IFERROR(INDEX(_xlfn.UNIQUE(TRIM(_xlfn.TEXTSPLIT(Table9[[#This Row],[Selection Option]:[Selection Option]],","))),,U$18),"")</calculatedColumnFormula>
    </tableColumn>
    <tableColumn id="22" xr3:uid="{38C4D623-481A-406A-803B-E49D4D3A1902}" name="9" dataDxfId="602">
      <calculatedColumnFormula array="1">IFERROR(INDEX(_xlfn.UNIQUE(TRIM(_xlfn.TEXTSPLIT(Table9[[#This Row],[Selection Option]:[Selection Option]],","))),,V$18),"")</calculatedColumnFormula>
    </tableColumn>
    <tableColumn id="23" xr3:uid="{C1D169C6-53A8-4A70-A560-0FC53A35B6DB}" name="10" dataDxfId="601">
      <calculatedColumnFormula array="1">IFERROR(INDEX(_xlfn.UNIQUE(TRIM(_xlfn.TEXTSPLIT(Table9[[#This Row],[Selection Option]:[Selection Option]],","))),,W$18),"")</calculatedColumnFormula>
    </tableColumn>
    <tableColumn id="24" xr3:uid="{537224B4-7FFD-46BA-87EE-532CA5C9FD4F}" name="11" dataDxfId="600">
      <calculatedColumnFormula array="1">IFERROR(INDEX(_xlfn.UNIQUE(TRIM(_xlfn.TEXTSPLIT(Table9[[#This Row],[Selection Option]:[Selection Option]],","))),,X$18),"")</calculatedColumnFormula>
    </tableColumn>
    <tableColumn id="25" xr3:uid="{99A7A388-A463-4FA6-A290-602B7636F06A}" name="12" dataDxfId="599">
      <calculatedColumnFormula array="1">IF(Table9[[#This Row],[1]]="","",Table9[[#This Row],[Weight]:[Weight]]-(Table9[[#This Row],[Weight]:[Weight]]*((_xlfn.XMATCH(Table9[[#This Row],[1]],Table9[[#This Row],[1]:[11]],0))-1)/(COUNTA(Table9[[#This Row],[1]:[11]])-COUNTBLANK(Table9[[#This Row],[1]:[11]])-1)))</calculatedColumnFormula>
    </tableColumn>
    <tableColumn id="26" xr3:uid="{36CE87D7-DCE6-4BF5-8939-2FFD503E598B}" name="13" dataDxfId="598">
      <calculatedColumnFormula array="1">IF(Table9[[#This Row],[2]]="","",Table9[[#This Row],[Weight]:[Weight]]-(Table9[[#This Row],[Weight]:[Weight]]*((_xlfn.XMATCH(Table9[[#This Row],[2]],Table9[[#This Row],[1]:[11]],0))-1)/(COUNTA(Table9[[#This Row],[1]:[11]])-COUNTBLANK(Table9[[#This Row],[1]:[11]])-1)))</calculatedColumnFormula>
    </tableColumn>
    <tableColumn id="27" xr3:uid="{72EEC2B8-A37E-412F-9212-E0269D8F1FC4}" name="14" dataDxfId="597">
      <calculatedColumnFormula array="1">IF(Table9[[#This Row],[3]]="","",Table9[[#This Row],[Weight]:[Weight]]-(Table9[[#This Row],[Weight]:[Weight]]*((_xlfn.XMATCH(Table9[[#This Row],[3]],Table9[[#This Row],[1]:[11]],0))-1)/(COUNTA(Table9[[#This Row],[1]:[11]])-COUNTBLANK(Table9[[#This Row],[1]:[11]])-1)))</calculatedColumnFormula>
    </tableColumn>
    <tableColumn id="28" xr3:uid="{2B1BA063-5FD3-4D1C-BD11-459AD5A9F86C}" name="15" dataDxfId="596">
      <calculatedColumnFormula array="1">IF(Table9[[#This Row],[4]]="","",Table9[[#This Row],[Weight]:[Weight]]-(Table9[[#This Row],[Weight]:[Weight]]*((_xlfn.XMATCH(Table9[[#This Row],[4]],Table9[[#This Row],[1]:[11]],0))-1)/(COUNTA(Table9[[#This Row],[1]:[11]])-COUNTBLANK(Table9[[#This Row],[1]:[11]])-1)))</calculatedColumnFormula>
    </tableColumn>
    <tableColumn id="29" xr3:uid="{FCD3F37B-0AD5-4145-B51F-016D737F7813}" name="16" dataDxfId="595">
      <calculatedColumnFormula array="1">IF(Table9[[#This Row],[5]]="","",Table9[[#This Row],[Weight]:[Weight]]-(Table9[[#This Row],[Weight]:[Weight]]*((_xlfn.XMATCH(Table9[[#This Row],[5]],Table9[[#This Row],[1]:[11]],0))-1)/(COUNTA(Table9[[#This Row],[1]:[11]])-COUNTBLANK(Table9[[#This Row],[1]:[11]])-1)))</calculatedColumnFormula>
    </tableColumn>
    <tableColumn id="30" xr3:uid="{D8D87066-C8BB-4196-9082-CB8690E407A9}" name="17" dataDxfId="594">
      <calculatedColumnFormula array="1">IF(Table9[[#This Row],[6]]="","",Table9[[#This Row],[Weight]:[Weight]]-(Table9[[#This Row],[Weight]:[Weight]]*((_xlfn.XMATCH(Table9[[#This Row],[6]],Table9[[#This Row],[1]:[11]],0))-1)/(COUNTA(Table9[[#This Row],[1]:[11]])-COUNTBLANK(Table9[[#This Row],[1]:[11]])-1)))</calculatedColumnFormula>
    </tableColumn>
    <tableColumn id="31" xr3:uid="{3958FCBD-B6A4-498F-BDAB-DCF7C97B6407}" name="18" dataDxfId="593">
      <calculatedColumnFormula array="1">IF(Table9[[#This Row],[7]]="","",Table9[[#This Row],[Weight]:[Weight]]-(Table9[[#This Row],[Weight]:[Weight]]*((_xlfn.XMATCH(Table9[[#This Row],[7]],Table9[[#This Row],[1]:[11]],0))-1)/(COUNTA(Table9[[#This Row],[1]:[11]])-COUNTBLANK(Table9[[#This Row],[1]:[11]])-1)))</calculatedColumnFormula>
    </tableColumn>
    <tableColumn id="32" xr3:uid="{C5E3DDF0-2BA5-4E22-A7AB-76135A20669F}" name="19" dataDxfId="592">
      <calculatedColumnFormula array="1">IF(Table9[[#This Row],[8]]="","",Table9[[#This Row],[Weight]:[Weight]]-(Table9[[#This Row],[Weight]:[Weight]]*((_xlfn.XMATCH(Table9[[#This Row],[8]],Table9[[#This Row],[1]:[11]],0))-1)/(COUNTA(Table9[[#This Row],[1]:[11]])-COUNTBLANK(Table9[[#This Row],[1]:[11]])-1)))</calculatedColumnFormula>
    </tableColumn>
    <tableColumn id="33" xr3:uid="{00F37AE9-4411-495C-BCA5-7D793C48E800}" name="20" dataDxfId="591">
      <calculatedColumnFormula array="1">IF(Table9[[#This Row],[9]]="","",Table9[[#This Row],[Weight]:[Weight]]-(Table9[[#This Row],[Weight]:[Weight]]*((_xlfn.XMATCH(Table9[[#This Row],[9]],Table9[[#This Row],[1]:[11]],0))-1)/(COUNTA(Table9[[#This Row],[1]:[11]])-COUNTBLANK(Table9[[#This Row],[1]:[11]])-1)))</calculatedColumnFormula>
    </tableColumn>
    <tableColumn id="34" xr3:uid="{B600C1AC-8C35-45B8-956F-1982FA263715}" name="21" dataDxfId="590">
      <calculatedColumnFormula array="1">IF(Table9[[#This Row],[10]]="","",Table9[[#This Row],[Weight]:[Weight]]-(Table9[[#This Row],[Weight]:[Weight]]*((_xlfn.XMATCH(Table9[[#This Row],[10]],Table9[[#This Row],[1]:[11]],0))-1)/(COUNTA(Table9[[#This Row],[1]:[11]])-COUNTBLANK(Table9[[#This Row],[1]:[11]])-1)))</calculatedColumnFormula>
    </tableColumn>
    <tableColumn id="35" xr3:uid="{21ADA048-D9B0-4329-A967-8FA483AEAB96}" name="22" dataDxfId="589">
      <calculatedColumnFormula array="1">IF(Table9[[#This Row],[11]]="","",Table9[[#This Row],[Weight]:[Weight]]-(Table9[[#This Row],[Weight]:[Weight]]*((_xlfn.XMATCH(Table9[[#This Row],[11]],Table9[[#This Row],[1]:[11]],0))-1)/(COUNTA(Table9[[#This Row],[1]:[11]])-COUNTBLANK(Table9[[#This Row],[1]:[11]])-1)))</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FCD147-9256-47C2-AFBA-CA919E891508}" name="Table1" displayName="Table1" ref="B9:G11" totalsRowShown="0" headerRowDxfId="582" tableBorderDxfId="581">
  <autoFilter ref="B9:G11" xr:uid="{B33F1B45-8BCF-49AE-ACC6-0A86E9EBAC7D}"/>
  <tableColumns count="6">
    <tableColumn id="1" xr3:uid="{5F994A4F-7BB6-4AC6-9D7E-88226C1FB448}" name="GateKeeper Requirements" dataDxfId="580"/>
    <tableColumn id="2" xr3:uid="{D6B950A0-B7B1-43EF-A66C-3FF6E74C4BFF}" name="Mandatory Returnables - Evidence below to be provided in the technical file and numbered to align with each criteria question. " dataDxfId="579"/>
    <tableColumn id="3" xr3:uid="{EE14C81F-C838-4A8D-8884-706D8C792CAB}" name="Vendor Response: Vendor to provide answer the questions below and provide detail in their tender submission" dataDxfId="578"/>
    <tableColumn id="4" xr3:uid="{F87BA367-DAAD-4E72-8138-F84C6FC020B1}" name="Vendor Evidence: Location of Supporting Document/detailed response in your tender submission (state the file number, section &amp; page number)" dataDxfId="577"/>
    <tableColumn id="5" xr3:uid="{449E7F49-ED63-49FE-B12B-CE1934F56529}" name="Scoring" dataDxfId="576"/>
    <tableColumn id="6" xr3:uid="{1FAA8E31-BBAA-4249-A2E8-4CFDF660EE81}" name="Evaluator comments" dataDxfId="575"/>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CE94F485-7E4F-4366-AE2D-0BF14E3991E4}" name="Table2614" displayName="Table2614" ref="A12:AI24" totalsRowShown="0" headerRowDxfId="573" dataDxfId="571" headerRowBorderDxfId="572" tableBorderDxfId="570" totalsRowBorderDxfId="569">
  <autoFilter ref="A12:AI24" xr:uid="{DBBFD16F-C697-4B03-8565-497D940E477E}"/>
  <tableColumns count="35">
    <tableColumn id="1" xr3:uid="{6E0EE809-35BD-4541-9E9D-CEC6E43573E7}" name="Item#" dataDxfId="568"/>
    <tableColumn id="2" xr3:uid="{2E7872E0-18F8-480D-A6FB-516F2FD7EA7D}" name="Business requirements " dataDxfId="567"/>
    <tableColumn id="3" xr3:uid="{413B212F-BFF0-4DB0-843A-4C2CB6867623}" name="Mandatory Returnables - This column lists the mandatory evidence to be provided by the vendor in the technical file and numbered to align with each criteria question. " dataDxfId="566"/>
    <tableColumn id="4" xr3:uid="{84551C44-165D-4DC1-B28C-22111632CE0E}" name="Vendor Response: Vendor to indicate if, and to what extent they meet the requirement, detail must be provided in the tender submission" dataDxfId="565"/>
    <tableColumn id="5" xr3:uid="{70D8482F-E5AE-4562-9733-E4B9188FDB9A}" name="Vendor Evidence: Location of Supporting Document/detailed response in your tender submission (state the file number, section &amp; page number)" dataDxfId="564"/>
    <tableColumn id="6" xr3:uid="{44DCA6F3-8C94-4250-9645-3E60013A42BC}" name="Priority Description" dataDxfId="563"/>
    <tableColumn id="7" xr3:uid="{719A7ED6-85AF-4BDE-8805-B5E723819CCA}" name="Priority" dataDxfId="562">
      <calculatedColumnFormula array="1">_xlfn.IFS(F13="","",F13="No interest",0,F13="Nice to have",1,F13="Useful",2,F13="Important",3,F13="Very important",4,F13="Critical",5,F13="Show stopper",6)</calculatedColumnFormula>
    </tableColumn>
    <tableColumn id="8" xr3:uid="{BF572E93-A2E1-4BC2-B02C-8B4ED614BF47}" name="Weight" dataDxfId="561" dataCellStyle="Percent">
      <calculatedColumnFormula>(G13/$G$11)*$F$11</calculatedColumnFormula>
    </tableColumn>
    <tableColumn id="9" xr3:uid="{AAA8459D-8438-4770-AE54-EF6CD12A2A01}" name="Selection Options" dataDxfId="560"/>
    <tableColumn id="42" xr3:uid="{D9D4919D-683F-4142-B072-A1CAE4C8DBBB}" name="Option Score" dataDxfId="559">
      <calculatedColumnFormula array="1">_xlfn.TEXTJOIN(","&amp;CHAR(10),,TEXT(Table2614[[#This Row],[12]:[22]],"0,00%"))</calculatedColumnFormula>
    </tableColumn>
    <tableColumn id="11" xr3:uid="{A3228657-E0C2-4628-A694-B2C0F6AAEEAE}" name="Evaluators Response (SELECT)" dataDxfId="558"/>
    <tableColumn id="12" xr3:uid="{D25C9D0A-9547-405E-A0D4-EF55B6C31A6D}" name="Score" dataDxfId="557">
      <calculatedColumnFormula>H13-(H13*((MATCH(Table2614[[#This Row],[Evaluators Response (SELECT)]],Table2614[[#This Row],[1]:[11]],0)-1)/(COUNTA(Table2614[[#This Row],[1]:[11]])-COUNTBLANK(Table2614[[#This Row],[1]:[11]])-1)))</calculatedColumnFormula>
    </tableColumn>
    <tableColumn id="13" xr3:uid="{89690FF5-A783-44B4-9D09-751595988C56}" name="Evaluator comments" dataDxfId="556"/>
    <tableColumn id="14" xr3:uid="{0036BBE8-FB73-4B1C-9541-ECEE6DA69698}" name="1" dataDxfId="555">
      <calculatedColumnFormula array="1">IFERROR(INDEX(_xlfn.UNIQUE(TRIM(_xlfn.TEXTSPLIT(Table2614[[#This Row],[Selection Options]:[Selection Options]],","))),,N$11),"")</calculatedColumnFormula>
    </tableColumn>
    <tableColumn id="15" xr3:uid="{56E49567-397C-42EE-A41B-5D50150441A1}" name="2" dataDxfId="554"/>
    <tableColumn id="16" xr3:uid="{2FA89ACE-95F3-4365-89E0-5E93369A9682}" name="3" dataDxfId="553"/>
    <tableColumn id="17" xr3:uid="{CB5C57B3-DE46-42CC-9606-5D3016E0F9C2}" name="4" dataDxfId="552"/>
    <tableColumn id="18" xr3:uid="{52054F8E-6560-433A-BC27-2BB543D4D686}" name="5" dataDxfId="551"/>
    <tableColumn id="25" xr3:uid="{2080CFC9-CDF5-40B4-AC35-F52D6999877B}" name="6" dataDxfId="550"/>
    <tableColumn id="26" xr3:uid="{DC7E79F6-3FE7-4079-BB62-2B71B28A243A}" name="7" dataDxfId="549"/>
    <tableColumn id="27" xr3:uid="{497E8AFD-45C6-4CE5-AF0B-6604D2C7AA78}" name="8" dataDxfId="548"/>
    <tableColumn id="28" xr3:uid="{9998F5E2-86D0-4415-ACBC-A904D5175562}" name="9" dataDxfId="547"/>
    <tableColumn id="29" xr3:uid="{6C1D8C3B-BADE-4967-9C04-6D54FA3F9F60}" name="10" dataDxfId="546"/>
    <tableColumn id="30" xr3:uid="{4F85CF9E-11A1-4FE6-8F0A-2B3815DABA9E}" name="11" dataDxfId="545"/>
    <tableColumn id="31" xr3:uid="{591B8EFE-4C5A-4655-AB6C-347B6EA1B13B}" name="12" dataDxfId="544">
      <calculatedColumnFormula array="1">IF(Table2614[[#This Row],[1]]="","",Table2614[[#This Row],[Weight]:[Weight]]-(Table2614[[#This Row],[Weight]:[Weight]]*((_xlfn.XMATCH(Table2614[[#This Row],[1]],Table2614[[#This Row],[1]:[11]],0))-1)/(COUNTA(Table2614[[#This Row],[1]:[11]])-COUNTBLANK(Table2614[[#This Row],[1]:[11]])-1)))</calculatedColumnFormula>
    </tableColumn>
    <tableColumn id="32" xr3:uid="{2E00F24F-2753-4F8E-AD54-9180E321A608}" name="13" dataDxfId="543">
      <calculatedColumnFormula array="1">IF(Table2614[[#This Row],[2]]="","",Table2614[[#This Row],[Weight]:[Weight]]-(Table2614[[#This Row],[Weight]:[Weight]]*((_xlfn.XMATCH(Table2614[[#This Row],[2]],Table2614[[#This Row],[1]:[11]],0))-1)/(COUNTA(Table2614[[#This Row],[1]:[11]])-COUNTBLANK(Table2614[[#This Row],[1]:[11]])-1)))</calculatedColumnFormula>
    </tableColumn>
    <tableColumn id="33" xr3:uid="{6E9793D0-C46C-41B6-A808-61625FC0A0A9}" name="14" dataDxfId="542">
      <calculatedColumnFormula array="1">IF(Table2614[[#This Row],[3]]="","",Table2614[[#This Row],[Weight]:[Weight]]-(Table2614[[#This Row],[Weight]:[Weight]]*((_xlfn.XMATCH(Table2614[[#This Row],[3]],Table2614[[#This Row],[1]:[11]],0))-1)/(COUNTA(Table2614[[#This Row],[1]:[11]])-COUNTBLANK(Table2614[[#This Row],[1]:[11]])-1)))</calculatedColumnFormula>
    </tableColumn>
    <tableColumn id="34" xr3:uid="{2780E33F-AA29-4C97-8E92-327AE684F4FB}" name="15" dataDxfId="541">
      <calculatedColumnFormula array="1">IF(Table2614[[#This Row],[4]]="","",Table2614[[#This Row],[Weight]:[Weight]]-(Table2614[[#This Row],[Weight]:[Weight]]*((_xlfn.XMATCH(Table2614[[#This Row],[4]],Table2614[[#This Row],[1]:[11]],0))-1)/(COUNTA(Table2614[[#This Row],[1]:[11]])-COUNTBLANK(Table2614[[#This Row],[1]:[11]])-1)))</calculatedColumnFormula>
    </tableColumn>
    <tableColumn id="35" xr3:uid="{E66711ED-DE6A-4925-9C09-02FA00D614FB}" name="16" dataDxfId="540">
      <calculatedColumnFormula array="1">IF(Table2614[[#This Row],[5]]="","",Table2614[[#This Row],[Weight]:[Weight]]-(Table2614[[#This Row],[Weight]:[Weight]]*((_xlfn.XMATCH(Table2614[[#This Row],[5]],Table2614[[#This Row],[1]:[11]],0))-1)/(COUNTA(Table2614[[#This Row],[1]:[11]])-COUNTBLANK(Table2614[[#This Row],[1]:[11]])-1)))</calculatedColumnFormula>
    </tableColumn>
    <tableColumn id="36" xr3:uid="{762A825E-14FA-45B1-8FF1-6FD323124121}" name="17" dataDxfId="539">
      <calculatedColumnFormula array="1">IF(Table2614[[#This Row],[6]]="","",Table2614[[#This Row],[Weight]:[Weight]]-(Table2614[[#This Row],[Weight]:[Weight]]*((_xlfn.XMATCH(Table2614[[#This Row],[6]],Table2614[[#This Row],[1]:[11]],0))-1)/(COUNTA(Table2614[[#This Row],[1]:[11]])-COUNTBLANK(Table2614[[#This Row],[1]:[11]])-1)))</calculatedColumnFormula>
    </tableColumn>
    <tableColumn id="37" xr3:uid="{BF4A251A-207B-46EC-B78B-E746CB5B9D21}" name="18" dataDxfId="538">
      <calculatedColumnFormula array="1">IF(Table2614[[#This Row],[7]]="","",Table2614[[#This Row],[Weight]:[Weight]]-(Table2614[[#This Row],[Weight]:[Weight]]*((_xlfn.XMATCH(Table2614[[#This Row],[7]],Table2614[[#This Row],[1]:[11]],0))-1)/(COUNTA(Table2614[[#This Row],[1]:[11]])-COUNTBLANK(Table2614[[#This Row],[1]:[11]])-1)))</calculatedColumnFormula>
    </tableColumn>
    <tableColumn id="38" xr3:uid="{12E39CD1-54AA-497A-BD12-86AF7CDD819B}" name="19" dataDxfId="537">
      <calculatedColumnFormula array="1">IF(Table2614[[#This Row],[8]]="","",Table2614[[#This Row],[Weight]:[Weight]]-(Table2614[[#This Row],[Weight]:[Weight]]*((_xlfn.XMATCH(Table2614[[#This Row],[8]],Table2614[[#This Row],[1]:[11]],0))-1)/(COUNTA(Table2614[[#This Row],[1]:[11]])-COUNTBLANK(Table2614[[#This Row],[1]:[11]])-1)))</calculatedColumnFormula>
    </tableColumn>
    <tableColumn id="39" xr3:uid="{3AF34431-2AFF-4214-81D0-581007F8C54F}" name="20" dataDxfId="536">
      <calculatedColumnFormula array="1">IF(Table2614[[#This Row],[9]]="","",Table2614[[#This Row],[Weight]:[Weight]]-(Table2614[[#This Row],[Weight]:[Weight]]*((_xlfn.XMATCH(Table2614[[#This Row],[9]],Table2614[[#This Row],[1]:[11]],0))-1)/(COUNTA(Table2614[[#This Row],[1]:[11]])-COUNTBLANK(Table2614[[#This Row],[1]:[11]])-1)))</calculatedColumnFormula>
    </tableColumn>
    <tableColumn id="40" xr3:uid="{83A08DE9-E8A8-4B7D-908F-0089CB659576}" name="21" dataDxfId="535">
      <calculatedColumnFormula array="1">IF(Table2614[[#This Row],[10]]="","",Table2614[[#This Row],[Weight]:[Weight]]-(Table2614[[#This Row],[Weight]:[Weight]]*((_xlfn.XMATCH(Table2614[[#This Row],[10]],Table2614[[#This Row],[1]:[11]],0))-1)/(COUNTA(Table2614[[#This Row],[1]:[11]])-COUNTBLANK(Table2614[[#This Row],[1]:[11]])-1)))</calculatedColumnFormula>
    </tableColumn>
    <tableColumn id="41" xr3:uid="{7813122B-81D3-4A6C-8A1B-F929A4062E91}" name="22" dataDxfId="534">
      <calculatedColumnFormula array="1">IF(Table2614[[#This Row],[11]]="","",Table2614[[#This Row],[Weight]:[Weight]]-(Table2614[[#This Row],[Weight]:[Weight]]*((_xlfn.XMATCH(Table2614[[#This Row],[11]],Table2614[[#This Row],[1]:[11]],0))-1)/(COUNTA(Table2614[[#This Row],[1]:[11]])-COUNTBLANK(Table2614[[#This Row],[1]:[11]])-1)))</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744BE12-E13A-4495-9302-CC6D8A3917BE}" name="Table261424" displayName="Table261424" ref="A12:AJ115" totalsRowShown="0" headerRowDxfId="532" dataDxfId="530" headerRowBorderDxfId="531" tableBorderDxfId="529" totalsRowBorderDxfId="528">
  <autoFilter ref="A12:AJ115" xr:uid="{DBBFD16F-C697-4B03-8565-497D940E477E}"/>
  <tableColumns count="36">
    <tableColumn id="1" xr3:uid="{469C8712-9D13-44F6-B712-23D883461D9D}" name="Item#" dataDxfId="527"/>
    <tableColumn id="2" xr3:uid="{55F1F643-93F1-4C75-BCF2-88BDD07AD3F1}" name="Business requirements " dataDxfId="526"/>
    <tableColumn id="3" xr3:uid="{ADCD2F6A-7AC1-440E-8AD6-B0033A3465E1}" name="Mandatory Returnables - This column lists the mandatory evidence to be provided by the vendor in the technical file and numbered to align with each criteria question. " dataDxfId="525"/>
    <tableColumn id="19" xr3:uid="{0B2F6AD5-0502-46F8-8C09-CC19B60EC44F}" name="Comments from the business" dataDxfId="524"/>
    <tableColumn id="4" xr3:uid="{6860A100-1072-48FC-B178-D7785E5F4D65}" name="Vendor Response: Vendor to indicate if, and to what extent they meet the requirement, detail must be provided in the tender submission" dataDxfId="523"/>
    <tableColumn id="5" xr3:uid="{0AE39251-4D0E-4D2A-BB5F-1034E93706AA}" name="Vendor Evidence: Location of Supporting Document/detailed response in your tender submission (state the file number, section &amp; page number)" dataDxfId="522"/>
    <tableColumn id="6" xr3:uid="{366485A6-FF68-4EFF-BFB4-F04D2FC237AA}" name="Priority Description" dataDxfId="521"/>
    <tableColumn id="7" xr3:uid="{C5352BAF-0BD0-4D74-8966-6A2A71A8C735}" name="Priority" dataDxfId="520">
      <calculatedColumnFormula array="1">_xlfn.IFS(G13="","",G13="No interest",0,G13="Nice to have",1,G13="Useful",2,G13="Important",3,G13="Very important",4,G13="Critical",5,G13="Show stopper",6)</calculatedColumnFormula>
    </tableColumn>
    <tableColumn id="8" xr3:uid="{20702712-AA1E-4F36-8F18-71D72B55D337}" name="Weight" dataDxfId="519" dataCellStyle="Percent">
      <calculatedColumnFormula>(H13/$H$11)*$G$11</calculatedColumnFormula>
    </tableColumn>
    <tableColumn id="9" xr3:uid="{7AEDE7D8-00D1-42C4-9527-1EABE8840DBA}" name="Selection Options" dataDxfId="518"/>
    <tableColumn id="42" xr3:uid="{1AF66FD5-8502-4165-B6BE-A922F871F8D3}" name="Option Score" dataDxfId="517">
      <calculatedColumnFormula array="1">_xlfn.TEXTJOIN(","&amp;CHAR(10),,TEXT(Table261424[[#This Row],[12]:[22]],"0,00%"))</calculatedColumnFormula>
    </tableColumn>
    <tableColumn id="11" xr3:uid="{833E461C-5733-4317-99EF-E91C6926A0BD}" name="Evaluators Response (SELECT)" dataDxfId="516"/>
    <tableColumn id="12" xr3:uid="{B1A56B81-FB18-4067-973F-ECAC3941DA0C}" name="Score" dataDxfId="515">
      <calculatedColumnFormula>I13-(I13*((MATCH(Table261424[[#This Row],[Evaluators Response (SELECT)]],Table261424[[#This Row],[1]:[11]],0)-1)/(COUNTA(Table261424[[#This Row],[1]:[11]])-COUNTBLANK(Table261424[[#This Row],[1]:[11]])-1)))</calculatedColumnFormula>
    </tableColumn>
    <tableColumn id="13" xr3:uid="{4A0EA069-9A17-43A5-86EF-1D4FD2BBC3D4}" name="Evaluator comments" dataDxfId="514"/>
    <tableColumn id="14" xr3:uid="{F9BD82BC-D3C4-42EC-AF61-07BC942FD537}" name="1" dataDxfId="513">
      <calculatedColumnFormula array="1">IFERROR(INDEX(_xlfn.UNIQUE(TRIM(_xlfn.TEXTSPLIT(Table261424[[#This Row],[Selection Options]:[Selection Options]],","))),,O$11),"")</calculatedColumnFormula>
    </tableColumn>
    <tableColumn id="15" xr3:uid="{EC38740C-3C72-416B-A48B-67B23C457EBA}" name="2" dataDxfId="512">
      <calculatedColumnFormula array="1">IFERROR(INDEX(_xlfn.UNIQUE(TRIM(_xlfn.TEXTSPLIT(Table261424[[#This Row],[Selection Options]:[Selection Options]],","))),,P$11),"")</calculatedColumnFormula>
    </tableColumn>
    <tableColumn id="16" xr3:uid="{C6384E66-2591-4E16-BAC7-5FA120223C90}" name="3" dataDxfId="511">
      <calculatedColumnFormula array="1">IFERROR(INDEX(_xlfn.UNIQUE(TRIM(_xlfn.TEXTSPLIT(Table261424[[#This Row],[Selection Options]:[Selection Options]],","))),,Q$11),"")</calculatedColumnFormula>
    </tableColumn>
    <tableColumn id="17" xr3:uid="{8944866E-535B-44C7-9B21-BC4D9D616C8C}" name="4" dataDxfId="510">
      <calculatedColumnFormula array="1">IFERROR(INDEX(_xlfn.UNIQUE(TRIM(_xlfn.TEXTSPLIT(Table261424[[#This Row],[Selection Options]:[Selection Options]],","))),,R$11),"")</calculatedColumnFormula>
    </tableColumn>
    <tableColumn id="18" xr3:uid="{29CF8441-C607-4603-8626-BF27F17E66B7}" name="5" dataDxfId="509">
      <calculatedColumnFormula array="1">IFERROR(INDEX(_xlfn.UNIQUE(TRIM(_xlfn.TEXTSPLIT(Table261424[[#This Row],[Selection Options]:[Selection Options]],","))),,S$11),"")</calculatedColumnFormula>
    </tableColumn>
    <tableColumn id="25" xr3:uid="{FE556A02-0AEF-4848-8CFD-C6344762DDEE}" name="6" dataDxfId="508">
      <calculatedColumnFormula array="1">IFERROR(INDEX(_xlfn.UNIQUE(TRIM(_xlfn.TEXTSPLIT(Table261424[[#This Row],[Selection Options]:[Selection Options]],","))),,T$11),"")</calculatedColumnFormula>
    </tableColumn>
    <tableColumn id="26" xr3:uid="{538B277A-3210-4C2A-91A3-E68DDD4E6A03}" name="7" dataDxfId="507">
      <calculatedColumnFormula array="1">IFERROR(INDEX(_xlfn.UNIQUE(TRIM(_xlfn.TEXTSPLIT(Table261424[[#This Row],[Selection Options]:[Selection Options]],","))),,U$11),"")</calculatedColumnFormula>
    </tableColumn>
    <tableColumn id="27" xr3:uid="{3E818AD4-48D7-4EEF-8A8C-7D4620AD97E4}" name="8" dataDxfId="506">
      <calculatedColumnFormula array="1">IFERROR(INDEX(_xlfn.UNIQUE(TRIM(_xlfn.TEXTSPLIT(Table261424[[#This Row],[Selection Options]:[Selection Options]],","))),,V$11),"")</calculatedColumnFormula>
    </tableColumn>
    <tableColumn id="28" xr3:uid="{54D213A0-FDDD-4823-8FFC-041FCB3D8BE1}" name="9" dataDxfId="505">
      <calculatedColumnFormula array="1">IFERROR(INDEX(_xlfn.UNIQUE(TRIM(_xlfn.TEXTSPLIT(Table261424[[#This Row],[Selection Options]:[Selection Options]],","))),,W$11),"")</calculatedColumnFormula>
    </tableColumn>
    <tableColumn id="29" xr3:uid="{A45E36D6-8682-41D4-A1F1-E9FF801E356D}" name="10" dataDxfId="504">
      <calculatedColumnFormula array="1">IFERROR(INDEX(_xlfn.UNIQUE(TRIM(_xlfn.TEXTSPLIT(Table261424[[#This Row],[Selection Options]:[Selection Options]],","))),,X$11),"")</calculatedColumnFormula>
    </tableColumn>
    <tableColumn id="30" xr3:uid="{CDABFB02-51A2-493D-B00D-27F61D4C81C3}" name="11" dataDxfId="503">
      <calculatedColumnFormula array="1">IFERROR(INDEX(_xlfn.UNIQUE(TRIM(_xlfn.TEXTSPLIT(Table261424[[#This Row],[Selection Options]:[Selection Options]],","))),,Y$11),"")</calculatedColumnFormula>
    </tableColumn>
    <tableColumn id="31" xr3:uid="{5B90DB67-413B-4467-962B-2E3A52183324}" name="12" dataDxfId="502">
      <calculatedColumnFormula array="1">IF(Table261424[[#This Row],[1]]="","",Table261424[[#This Row],[Weight]:[Weight]]-(Table261424[[#This Row],[Weight]:[Weight]]*((_xlfn.XMATCH(Table261424[[#This Row],[1]],Table261424[[#This Row],[1]:[11]],0))-1)/(COUNTA(Table261424[[#This Row],[1]:[11]])-COUNTBLANK(Table261424[[#This Row],[1]:[11]])-1)))</calculatedColumnFormula>
    </tableColumn>
    <tableColumn id="32" xr3:uid="{36E5420E-9C99-431C-A1D5-5456FF95DEA1}" name="13" dataDxfId="501">
      <calculatedColumnFormula array="1">IF(Table261424[[#This Row],[2]]="","",Table261424[[#This Row],[Weight]:[Weight]]-(Table261424[[#This Row],[Weight]:[Weight]]*((_xlfn.XMATCH(Table261424[[#This Row],[2]],Table261424[[#This Row],[1]:[11]],0))-1)/(COUNTA(Table261424[[#This Row],[1]:[11]])-COUNTBLANK(Table261424[[#This Row],[1]:[11]])-1)))</calculatedColumnFormula>
    </tableColumn>
    <tableColumn id="33" xr3:uid="{89F47D12-BB5A-4C5A-AFED-5DB8EB50A3F6}" name="14" dataDxfId="500">
      <calculatedColumnFormula array="1">IF(Table261424[[#This Row],[3]]="","",Table261424[[#This Row],[Weight]:[Weight]]-(Table261424[[#This Row],[Weight]:[Weight]]*((_xlfn.XMATCH(Table261424[[#This Row],[3]],Table261424[[#This Row],[1]:[11]],0))-1)/(COUNTA(Table261424[[#This Row],[1]:[11]])-COUNTBLANK(Table261424[[#This Row],[1]:[11]])-1)))</calculatedColumnFormula>
    </tableColumn>
    <tableColumn id="34" xr3:uid="{840BF522-9641-4FE5-8B71-A1988FBDC0EF}" name="15" dataDxfId="499">
      <calculatedColumnFormula array="1">IF(Table261424[[#This Row],[4]]="","",Table261424[[#This Row],[Weight]:[Weight]]-(Table261424[[#This Row],[Weight]:[Weight]]*((_xlfn.XMATCH(Table261424[[#This Row],[4]],Table261424[[#This Row],[1]:[11]],0))-1)/(COUNTA(Table261424[[#This Row],[1]:[11]])-COUNTBLANK(Table261424[[#This Row],[1]:[11]])-1)))</calculatedColumnFormula>
    </tableColumn>
    <tableColumn id="35" xr3:uid="{799A8E24-5FE6-4C02-B051-17F9F03F6C90}" name="16" dataDxfId="498">
      <calculatedColumnFormula array="1">IF(Table261424[[#This Row],[5]]="","",Table261424[[#This Row],[Weight]:[Weight]]-(Table261424[[#This Row],[Weight]:[Weight]]*((_xlfn.XMATCH(Table261424[[#This Row],[5]],Table261424[[#This Row],[1]:[11]],0))-1)/(COUNTA(Table261424[[#This Row],[1]:[11]])-COUNTBLANK(Table261424[[#This Row],[1]:[11]])-1)))</calculatedColumnFormula>
    </tableColumn>
    <tableColumn id="36" xr3:uid="{42C6A947-0185-4344-9F6C-917DCA8CBACF}" name="17" dataDxfId="497">
      <calculatedColumnFormula array="1">IF(Table261424[[#This Row],[6]]="","",Table261424[[#This Row],[Weight]:[Weight]]-(Table261424[[#This Row],[Weight]:[Weight]]*((_xlfn.XMATCH(Table261424[[#This Row],[6]],Table261424[[#This Row],[1]:[11]],0))-1)/(COUNTA(Table261424[[#This Row],[1]:[11]])-COUNTBLANK(Table261424[[#This Row],[1]:[11]])-1)))</calculatedColumnFormula>
    </tableColumn>
    <tableColumn id="37" xr3:uid="{305D88D8-FF5D-42D7-8557-7330BE8EEAC6}" name="18" dataDxfId="496">
      <calculatedColumnFormula array="1">IF(Table261424[[#This Row],[7]]="","",Table261424[[#This Row],[Weight]:[Weight]]-(Table261424[[#This Row],[Weight]:[Weight]]*((_xlfn.XMATCH(Table261424[[#This Row],[7]],Table261424[[#This Row],[1]:[11]],0))-1)/(COUNTA(Table261424[[#This Row],[1]:[11]])-COUNTBLANK(Table261424[[#This Row],[1]:[11]])-1)))</calculatedColumnFormula>
    </tableColumn>
    <tableColumn id="38" xr3:uid="{88E7A901-1D61-4D13-822A-93809E92D566}" name="19" dataDxfId="495">
      <calculatedColumnFormula array="1">IF(Table261424[[#This Row],[8]]="","",Table261424[[#This Row],[Weight]:[Weight]]-(Table261424[[#This Row],[Weight]:[Weight]]*((_xlfn.XMATCH(Table261424[[#This Row],[8]],Table261424[[#This Row],[1]:[11]],0))-1)/(COUNTA(Table261424[[#This Row],[1]:[11]])-COUNTBLANK(Table261424[[#This Row],[1]:[11]])-1)))</calculatedColumnFormula>
    </tableColumn>
    <tableColumn id="39" xr3:uid="{02DD0FA7-8F6E-4AD7-9535-B424B17055EF}" name="20" dataDxfId="494">
      <calculatedColumnFormula array="1">IF(Table261424[[#This Row],[9]]="","",Table261424[[#This Row],[Weight]:[Weight]]-(Table261424[[#This Row],[Weight]:[Weight]]*((_xlfn.XMATCH(Table261424[[#This Row],[9]],Table261424[[#This Row],[1]:[11]],0))-1)/(COUNTA(Table261424[[#This Row],[1]:[11]])-COUNTBLANK(Table261424[[#This Row],[1]:[11]])-1)))</calculatedColumnFormula>
    </tableColumn>
    <tableColumn id="40" xr3:uid="{6F7A931E-39EA-485E-A2F9-A7AB22991C9D}" name="21" dataDxfId="493">
      <calculatedColumnFormula array="1">IF(Table261424[[#This Row],[10]]="","",Table261424[[#This Row],[Weight]:[Weight]]-(Table261424[[#This Row],[Weight]:[Weight]]*((_xlfn.XMATCH(Table261424[[#This Row],[10]],Table261424[[#This Row],[1]:[11]],0))-1)/(COUNTA(Table261424[[#This Row],[1]:[11]])-COUNTBLANK(Table261424[[#This Row],[1]:[11]])-1)))</calculatedColumnFormula>
    </tableColumn>
    <tableColumn id="41" xr3:uid="{E7951CD8-AC29-4CD8-B7B9-4FC21BB67C20}" name="22" dataDxfId="492">
      <calculatedColumnFormula array="1">IF(Table261424[[#This Row],[11]]="","",Table261424[[#This Row],[Weight]:[Weight]]-(Table261424[[#This Row],[Weight]:[Weight]]*((_xlfn.XMATCH(Table261424[[#This Row],[11]],Table261424[[#This Row],[1]:[11]],0))-1)/(COUNTA(Table261424[[#This Row],[1]:[11]])-COUNTBLANK(Table261424[[#This Row],[1]:[11]])-1)))</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AE5AFE1-5C84-4F30-89AC-5FDA861220E5}" name="Table261425" displayName="Table261425" ref="A12:AI37" totalsRowShown="0" headerRowDxfId="490" dataDxfId="488" headerRowBorderDxfId="489" tableBorderDxfId="487" totalsRowBorderDxfId="486">
  <autoFilter ref="A12:AI37" xr:uid="{DBBFD16F-C697-4B03-8565-497D940E477E}"/>
  <tableColumns count="35">
    <tableColumn id="1" xr3:uid="{5F760BEC-A76E-4725-8598-D8DCC1C720AB}" name="Item#" dataDxfId="485"/>
    <tableColumn id="2" xr3:uid="{AA7D7452-A0D4-45BD-8923-1AE1B3D245B3}" name="Business requirements " dataDxfId="484"/>
    <tableColumn id="3" xr3:uid="{5D81CE6C-2672-4A62-9F8F-4421318C451E}" name="Mandatory Returnables - This column lists the mandatory evidence to be provided by the vendor in the technical file and numbered to align with each criteria question. " dataDxfId="483"/>
    <tableColumn id="4" xr3:uid="{D9313AC3-D119-47E3-BDCB-D7F0C41B3DCC}" name="Vendor Response: Vendor to indicate if, and to what extent they meet the requirement, detail must be provided in the tender submission" dataDxfId="482"/>
    <tableColumn id="5" xr3:uid="{1A100BC6-0330-4C2E-A104-BE1D05FF96E8}" name="Vendor Evidence: Location of Supporting Document/detailed response in your tender submission (state the file number, section &amp; page number)" dataDxfId="481"/>
    <tableColumn id="6" xr3:uid="{351761F4-039E-44C1-9ACD-1B950E5E8AED}" name="Priority Description" dataDxfId="480"/>
    <tableColumn id="7" xr3:uid="{8A2BE4F2-BA34-4214-9565-355210565651}" name="Priority" dataDxfId="479">
      <calculatedColumnFormula array="1">_xlfn.IFS(F13="","",F13="No interest",0,F13="Nice to have",1,F13="Useful",2,F13="Important",3,F13="Very important",4,F13="Critical",5,F13="Show stopper",6)</calculatedColumnFormula>
    </tableColumn>
    <tableColumn id="8" xr3:uid="{BD490815-B9E4-4AB1-BE69-9359F55FA612}" name="Weight" dataDxfId="478" dataCellStyle="Percent">
      <calculatedColumnFormula>(G13/$G$11)*$F$11</calculatedColumnFormula>
    </tableColumn>
    <tableColumn id="9" xr3:uid="{F32F6EF8-35D9-4142-B35D-BA72D18F39C0}" name="Selection Options" dataDxfId="477"/>
    <tableColumn id="42" xr3:uid="{089074ED-688B-4E6B-A192-887160597FAE}" name="Option Score" dataDxfId="476">
      <calculatedColumnFormula array="1">_xlfn.TEXTJOIN(","&amp;CHAR(10),,TEXT(Table261425[[#This Row],[12]:[22]],"0,00%"))</calculatedColumnFormula>
    </tableColumn>
    <tableColumn id="11" xr3:uid="{DC8A2E28-3217-4DFF-9BBA-823847256486}" name="Evaluators Response (SELECT)" dataDxfId="475"/>
    <tableColumn id="12" xr3:uid="{04B0DE34-FDA0-43CD-8B2F-A466706B4C5A}" name="Score" dataDxfId="474">
      <calculatedColumnFormula>H13-(H13*((MATCH(Table261425[[#This Row],[Evaluators Response (SELECT)]],Table261425[[#This Row],[1]:[11]],0)-1)/(COUNTA(Table261425[[#This Row],[1]:[11]])-COUNTBLANK(Table261425[[#This Row],[1]:[11]])-1)))</calculatedColumnFormula>
    </tableColumn>
    <tableColumn id="13" xr3:uid="{FE055B31-6775-45A8-A808-6CCBE7B1DF2E}" name="Evaluator comments" dataDxfId="473"/>
    <tableColumn id="14" xr3:uid="{1591A459-C187-4B18-90FF-F17DFA2C1C5D}" name="1" dataDxfId="472">
      <calculatedColumnFormula array="1">IFERROR(INDEX(_xlfn.UNIQUE(TRIM(_xlfn.TEXTSPLIT(Table261425[[#This Row],[Selection Options]:[Selection Options]],","))),,N$11),"")</calculatedColumnFormula>
    </tableColumn>
    <tableColumn id="15" xr3:uid="{A47D196A-62E8-4B3A-8FE3-DF54D061B70D}" name="2" dataDxfId="471">
      <calculatedColumnFormula array="1">IFERROR(INDEX(_xlfn.UNIQUE(TRIM(_xlfn.TEXTSPLIT(Table261425[[#This Row],[Selection Options]:[Selection Options]],","))),,O$11),"")</calculatedColumnFormula>
    </tableColumn>
    <tableColumn id="16" xr3:uid="{BE30158F-099B-4490-973A-C6CDB6C13787}" name="3" dataDxfId="470">
      <calculatedColumnFormula array="1">IFERROR(INDEX(_xlfn.UNIQUE(TRIM(_xlfn.TEXTSPLIT(Table261425[[#This Row],[Selection Options]:[Selection Options]],","))),,P$11),"")</calculatedColumnFormula>
    </tableColumn>
    <tableColumn id="17" xr3:uid="{27EFCFA1-EAE7-40A6-B142-A4E6DDC22AA0}" name="4" dataDxfId="469">
      <calculatedColumnFormula array="1">IFERROR(INDEX(_xlfn.UNIQUE(TRIM(_xlfn.TEXTSPLIT(Table261425[[#This Row],[Selection Options]:[Selection Options]],","))),,Q$11),"")</calculatedColumnFormula>
    </tableColumn>
    <tableColumn id="18" xr3:uid="{1174D870-2B8D-456E-9123-6D46DBB32121}" name="5" dataDxfId="468">
      <calculatedColumnFormula array="1">IFERROR(INDEX(_xlfn.UNIQUE(TRIM(_xlfn.TEXTSPLIT(Table261425[[#This Row],[Selection Options]:[Selection Options]],","))),,R$11),"")</calculatedColumnFormula>
    </tableColumn>
    <tableColumn id="25" xr3:uid="{E13BE655-7B61-42E4-9333-4E76F0D18AA8}" name="6" dataDxfId="467">
      <calculatedColumnFormula array="1">IFERROR(INDEX(_xlfn.UNIQUE(TRIM(_xlfn.TEXTSPLIT(Table261425[[#This Row],[Selection Options]:[Selection Options]],","))),,S$11),"")</calculatedColumnFormula>
    </tableColumn>
    <tableColumn id="26" xr3:uid="{48DCC58E-2C01-4E31-95E9-DC7CFD1A422C}" name="7" dataDxfId="466">
      <calculatedColumnFormula array="1">IFERROR(INDEX(_xlfn.UNIQUE(TRIM(_xlfn.TEXTSPLIT(Table261425[[#This Row],[Selection Options]:[Selection Options]],","))),,T$11),"")</calculatedColumnFormula>
    </tableColumn>
    <tableColumn id="27" xr3:uid="{44A53FE4-8ADC-468C-A30F-0E3C6CDCDE3C}" name="8" dataDxfId="465">
      <calculatedColumnFormula array="1">IFERROR(INDEX(_xlfn.UNIQUE(TRIM(_xlfn.TEXTSPLIT(Table261425[[#This Row],[Selection Options]:[Selection Options]],","))),,U$11),"")</calculatedColumnFormula>
    </tableColumn>
    <tableColumn id="28" xr3:uid="{03740991-9AAB-4A2A-8704-30ABA2413281}" name="9" dataDxfId="464">
      <calculatedColumnFormula array="1">IFERROR(INDEX(_xlfn.UNIQUE(TRIM(_xlfn.TEXTSPLIT(Table261425[[#This Row],[Selection Options]:[Selection Options]],","))),,V$11),"")</calculatedColumnFormula>
    </tableColumn>
    <tableColumn id="29" xr3:uid="{9F905D14-C73F-40A3-B275-12FA09068487}" name="10" dataDxfId="463">
      <calculatedColumnFormula array="1">IFERROR(INDEX(_xlfn.UNIQUE(TRIM(_xlfn.TEXTSPLIT(Table261425[[#This Row],[Selection Options]:[Selection Options]],","))),,W$11),"")</calculatedColumnFormula>
    </tableColumn>
    <tableColumn id="30" xr3:uid="{B55B3228-0A4F-43D3-BAA3-2984AADD6AB7}" name="11" dataDxfId="462">
      <calculatedColumnFormula array="1">IFERROR(INDEX(_xlfn.UNIQUE(TRIM(_xlfn.TEXTSPLIT(Table261425[[#This Row],[Selection Options]:[Selection Options]],","))),,X$11),"")</calculatedColumnFormula>
    </tableColumn>
    <tableColumn id="31" xr3:uid="{963D5742-9844-4918-A6A2-FDCD8C9D3B20}" name="12" dataDxfId="461">
      <calculatedColumnFormula array="1">IF(Table261425[[#This Row],[1]]="","",Table261425[[#This Row],[Weight]:[Weight]]-(Table261425[[#This Row],[Weight]:[Weight]]*((_xlfn.XMATCH(Table261425[[#This Row],[1]],Table261425[[#This Row],[1]:[11]],0))-1)/(COUNTA(Table261425[[#This Row],[1]:[11]])-COUNTBLANK(Table261425[[#This Row],[1]:[11]])-1)))</calculatedColumnFormula>
    </tableColumn>
    <tableColumn id="32" xr3:uid="{F57EB446-B0C0-4210-A0D6-F737D26FA9F0}" name="13" dataDxfId="460">
      <calculatedColumnFormula array="1">IF(Table261425[[#This Row],[2]]="","",Table261425[[#This Row],[Weight]:[Weight]]-(Table261425[[#This Row],[Weight]:[Weight]]*((_xlfn.XMATCH(Table261425[[#This Row],[2]],Table261425[[#This Row],[1]:[11]],0))-1)/(COUNTA(Table261425[[#This Row],[1]:[11]])-COUNTBLANK(Table261425[[#This Row],[1]:[11]])-1)))</calculatedColumnFormula>
    </tableColumn>
    <tableColumn id="33" xr3:uid="{48554A61-B92A-4397-B8C6-CA231FFD6125}" name="14" dataDxfId="459">
      <calculatedColumnFormula array="1">IF(Table261425[[#This Row],[3]]="","",Table261425[[#This Row],[Weight]:[Weight]]-(Table261425[[#This Row],[Weight]:[Weight]]*((_xlfn.XMATCH(Table261425[[#This Row],[3]],Table261425[[#This Row],[1]:[11]],0))-1)/(COUNTA(Table261425[[#This Row],[1]:[11]])-COUNTBLANK(Table261425[[#This Row],[1]:[11]])-1)))</calculatedColumnFormula>
    </tableColumn>
    <tableColumn id="34" xr3:uid="{FF29398F-6B82-4ED6-A0E2-DF9A1EFD7100}" name="15" dataDxfId="458">
      <calculatedColumnFormula array="1">IF(Table261425[[#This Row],[4]]="","",Table261425[[#This Row],[Weight]:[Weight]]-(Table261425[[#This Row],[Weight]:[Weight]]*((_xlfn.XMATCH(Table261425[[#This Row],[4]],Table261425[[#This Row],[1]:[11]],0))-1)/(COUNTA(Table261425[[#This Row],[1]:[11]])-COUNTBLANK(Table261425[[#This Row],[1]:[11]])-1)))</calculatedColumnFormula>
    </tableColumn>
    <tableColumn id="35" xr3:uid="{7E029BF7-BC69-4DA4-A4A5-292ECF71EDBA}" name="16" dataDxfId="457">
      <calculatedColumnFormula array="1">IF(Table261425[[#This Row],[5]]="","",Table261425[[#This Row],[Weight]:[Weight]]-(Table261425[[#This Row],[Weight]:[Weight]]*((_xlfn.XMATCH(Table261425[[#This Row],[5]],Table261425[[#This Row],[1]:[11]],0))-1)/(COUNTA(Table261425[[#This Row],[1]:[11]])-COUNTBLANK(Table261425[[#This Row],[1]:[11]])-1)))</calculatedColumnFormula>
    </tableColumn>
    <tableColumn id="36" xr3:uid="{AF8B4FAD-2F9B-40A8-8224-D146F662C4B2}" name="17" dataDxfId="456">
      <calculatedColumnFormula array="1">IF(Table261425[[#This Row],[6]]="","",Table261425[[#This Row],[Weight]:[Weight]]-(Table261425[[#This Row],[Weight]:[Weight]]*((_xlfn.XMATCH(Table261425[[#This Row],[6]],Table261425[[#This Row],[1]:[11]],0))-1)/(COUNTA(Table261425[[#This Row],[1]:[11]])-COUNTBLANK(Table261425[[#This Row],[1]:[11]])-1)))</calculatedColumnFormula>
    </tableColumn>
    <tableColumn id="37" xr3:uid="{3096ADAC-3283-4844-8120-0F1586F0F4BB}" name="18" dataDxfId="455">
      <calculatedColumnFormula array="1">IF(Table261425[[#This Row],[7]]="","",Table261425[[#This Row],[Weight]:[Weight]]-(Table261425[[#This Row],[Weight]:[Weight]]*((_xlfn.XMATCH(Table261425[[#This Row],[7]],Table261425[[#This Row],[1]:[11]],0))-1)/(COUNTA(Table261425[[#This Row],[1]:[11]])-COUNTBLANK(Table261425[[#This Row],[1]:[11]])-1)))</calculatedColumnFormula>
    </tableColumn>
    <tableColumn id="38" xr3:uid="{A920977B-A17D-40B9-9D09-8D66EBB808CA}" name="19" dataDxfId="454">
      <calculatedColumnFormula array="1">IF(Table261425[[#This Row],[8]]="","",Table261425[[#This Row],[Weight]:[Weight]]-(Table261425[[#This Row],[Weight]:[Weight]]*((_xlfn.XMATCH(Table261425[[#This Row],[8]],Table261425[[#This Row],[1]:[11]],0))-1)/(COUNTA(Table261425[[#This Row],[1]:[11]])-COUNTBLANK(Table261425[[#This Row],[1]:[11]])-1)))</calculatedColumnFormula>
    </tableColumn>
    <tableColumn id="39" xr3:uid="{8FD8D8A9-73AE-4862-AD03-CA746172B02E}" name="20" dataDxfId="453">
      <calculatedColumnFormula array="1">IF(Table261425[[#This Row],[9]]="","",Table261425[[#This Row],[Weight]:[Weight]]-(Table261425[[#This Row],[Weight]:[Weight]]*((_xlfn.XMATCH(Table261425[[#This Row],[9]],Table261425[[#This Row],[1]:[11]],0))-1)/(COUNTA(Table261425[[#This Row],[1]:[11]])-COUNTBLANK(Table261425[[#This Row],[1]:[11]])-1)))</calculatedColumnFormula>
    </tableColumn>
    <tableColumn id="40" xr3:uid="{21D19A3B-4D0D-4A31-A961-5ECD8D39C4D5}" name="21" dataDxfId="452">
      <calculatedColumnFormula array="1">IF(Table261425[[#This Row],[10]]="","",Table261425[[#This Row],[Weight]:[Weight]]-(Table261425[[#This Row],[Weight]:[Weight]]*((_xlfn.XMATCH(Table261425[[#This Row],[10]],Table261425[[#This Row],[1]:[11]],0))-1)/(COUNTA(Table261425[[#This Row],[1]:[11]])-COUNTBLANK(Table261425[[#This Row],[1]:[11]])-1)))</calculatedColumnFormula>
    </tableColumn>
    <tableColumn id="41" xr3:uid="{8424C69A-E433-49E5-A86B-43A361A49EE2}" name="22" dataDxfId="451">
      <calculatedColumnFormula array="1">IF(Table261425[[#This Row],[11]]="","",Table261425[[#This Row],[Weight]:[Weight]]-(Table261425[[#This Row],[Weight]:[Weight]]*((_xlfn.XMATCH(Table261425[[#This Row],[11]],Table261425[[#This Row],[1]:[11]],0))-1)/(COUNTA(Table261425[[#This Row],[1]:[11]])-COUNTBLANK(Table261425[[#This Row],[1]:[11]])-1)))</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91DD772-76DE-4B5F-A3A2-6DB2BB4F4ED9}" name="Table2614256" displayName="Table2614256" ref="A12:AI64" totalsRowShown="0" headerRowDxfId="449" dataDxfId="447" headerRowBorderDxfId="448" tableBorderDxfId="446" totalsRowBorderDxfId="445">
  <autoFilter ref="A12:AI64" xr:uid="{DBBFD16F-C697-4B03-8565-497D940E477E}"/>
  <tableColumns count="35">
    <tableColumn id="1" xr3:uid="{32E22673-B3FB-43F3-ABEE-BE87670A893E}" name="Item#" dataDxfId="444"/>
    <tableColumn id="2" xr3:uid="{A81BC2B0-1ABC-412D-819B-F0CF5597F3B4}" name="Business requirements " dataDxfId="443"/>
    <tableColumn id="3" xr3:uid="{7A2D4703-A111-4B05-9DA6-3E4FF601EE24}" name="Mandatory Returnables - This column lists the mandatory evidence to be provided by the vendor in the technical file and numbered to align with each criteria question. " dataDxfId="442"/>
    <tableColumn id="4" xr3:uid="{37798148-6C5B-493C-B445-989AB1123120}" name="Vendor Response: Vendor to indicate if, and to what extent they meet the requirement, detail must be provided in the tender submission" dataDxfId="441"/>
    <tableColumn id="5" xr3:uid="{5422476A-C42A-4109-AFA3-437A96FB3785}" name="Vendor Evidence: Location of Supporting Document/detailed response in your tender submission (state the file number, section &amp; page number)" dataDxfId="440"/>
    <tableColumn id="6" xr3:uid="{CD915B2A-471A-428D-9735-BAD09BD1BCBC}" name="Priority Description" dataDxfId="439"/>
    <tableColumn id="7" xr3:uid="{321A9C77-58C0-4127-AACA-81F272CCC2A6}" name="Priority" dataDxfId="438">
      <calculatedColumnFormula array="1">_xlfn.IFS(F13="","",F13="No interest",0,F13="Nice to have",1,F13="Useful",2,F13="Important",3,F13="Very important",4,F13="Critical",5,F13="Show stopper",6)</calculatedColumnFormula>
    </tableColumn>
    <tableColumn id="8" xr3:uid="{F9EAB130-8C23-405B-B656-1B0C401AC01B}" name="Weight" dataDxfId="437" dataCellStyle="Percent">
      <calculatedColumnFormula>(G13/$G$11)*$F$11</calculatedColumnFormula>
    </tableColumn>
    <tableColumn id="9" xr3:uid="{1D3AF42E-691C-4DF1-97F1-9A4A231FEFAE}" name="Selection Options" dataDxfId="436"/>
    <tableColumn id="42" xr3:uid="{CE3237B9-13C6-40DD-B575-D5C27E55A50F}" name="Option Score" dataDxfId="435">
      <calculatedColumnFormula array="1">_xlfn.TEXTJOIN(","&amp;CHAR(10),,TEXT(Table2614256[[#This Row],[12]:[22]],"0,00%"))</calculatedColumnFormula>
    </tableColumn>
    <tableColumn id="11" xr3:uid="{3D7827A4-ACC2-4271-9C0F-649D7A7AAFF2}" name="Evaluators Response (SELECT)" dataDxfId="434"/>
    <tableColumn id="12" xr3:uid="{AF8F7B3B-8E94-4D5E-AC2C-C51921FF4C1D}" name="Score" dataDxfId="433">
      <calculatedColumnFormula>H13-(H13*((MATCH(Table2614256[[#This Row],[Evaluators Response (SELECT)]],Table2614256[[#This Row],[1]:[11]],0)-1)/(COUNTA(Table2614256[[#This Row],[1]:[11]])-COUNTBLANK(Table2614256[[#This Row],[1]:[11]])-1)))</calculatedColumnFormula>
    </tableColumn>
    <tableColumn id="13" xr3:uid="{7E919DAF-1BC7-4F6A-BC25-5846297F4483}" name="Evaluator comments" dataDxfId="432"/>
    <tableColumn id="14" xr3:uid="{347F919B-5DE9-4245-8CB8-73E7F9773624}" name="1" dataDxfId="431">
      <calculatedColumnFormula array="1">IFERROR(INDEX(_xlfn.UNIQUE(TRIM(_xlfn.TEXTSPLIT(Table2614256[[#This Row],[Selection Options]:[Selection Options]],","))),,N$11),"")</calculatedColumnFormula>
    </tableColumn>
    <tableColumn id="15" xr3:uid="{AC5CDC21-56B9-498E-B4F8-8ACFE645144D}" name="2" dataDxfId="430">
      <calculatedColumnFormula array="1">IFERROR(INDEX(_xlfn.UNIQUE(TRIM(_xlfn.TEXTSPLIT(Table2614256[[#This Row],[Selection Options]:[Selection Options]],","))),,O$11),"")</calculatedColumnFormula>
    </tableColumn>
    <tableColumn id="16" xr3:uid="{1711441D-C3E0-44A2-895C-F82C9069A106}" name="3" dataDxfId="429">
      <calculatedColumnFormula array="1">IFERROR(INDEX(_xlfn.UNIQUE(TRIM(_xlfn.TEXTSPLIT(Table2614256[[#This Row],[Selection Options]:[Selection Options]],","))),,P$11),"")</calculatedColumnFormula>
    </tableColumn>
    <tableColumn id="17" xr3:uid="{CCF2550F-4750-4F05-BC68-44DD21AE502C}" name="4" dataDxfId="428">
      <calculatedColumnFormula array="1">IFERROR(INDEX(_xlfn.UNIQUE(TRIM(_xlfn.TEXTSPLIT(Table2614256[[#This Row],[Selection Options]:[Selection Options]],","))),,Q$11),"")</calculatedColumnFormula>
    </tableColumn>
    <tableColumn id="18" xr3:uid="{6F2C73D8-1F63-4BB1-A2BF-3B4D009E052C}" name="5" dataDxfId="427">
      <calculatedColumnFormula array="1">IFERROR(INDEX(_xlfn.UNIQUE(TRIM(_xlfn.TEXTSPLIT(Table2614256[[#This Row],[Selection Options]:[Selection Options]],","))),,R$11),"")</calculatedColumnFormula>
    </tableColumn>
    <tableColumn id="25" xr3:uid="{5A9A5F4B-D676-4421-BAD9-954209721F28}" name="6" dataDxfId="426">
      <calculatedColumnFormula array="1">IFERROR(INDEX(_xlfn.UNIQUE(TRIM(_xlfn.TEXTSPLIT(Table2614256[[#This Row],[Selection Options]:[Selection Options]],","))),,S$11),"")</calculatedColumnFormula>
    </tableColumn>
    <tableColumn id="26" xr3:uid="{EF6335D6-2D1E-44E9-A83F-380FB5229D54}" name="7" dataDxfId="425">
      <calculatedColumnFormula array="1">IFERROR(INDEX(_xlfn.UNIQUE(TRIM(_xlfn.TEXTSPLIT(Table2614256[[#This Row],[Selection Options]:[Selection Options]],","))),,T$11),"")</calculatedColumnFormula>
    </tableColumn>
    <tableColumn id="27" xr3:uid="{79AA616C-C3CD-453A-9A28-B07D332A2391}" name="8" dataDxfId="424">
      <calculatedColumnFormula array="1">IFERROR(INDEX(_xlfn.UNIQUE(TRIM(_xlfn.TEXTSPLIT(Table2614256[[#This Row],[Selection Options]:[Selection Options]],","))),,U$11),"")</calculatedColumnFormula>
    </tableColumn>
    <tableColumn id="28" xr3:uid="{1867C36C-4CDD-4C4E-85D7-B1C53910F1F7}" name="9" dataDxfId="423">
      <calculatedColumnFormula array="1">IFERROR(INDEX(_xlfn.UNIQUE(TRIM(_xlfn.TEXTSPLIT(Table2614256[[#This Row],[Selection Options]:[Selection Options]],","))),,V$11),"")</calculatedColumnFormula>
    </tableColumn>
    <tableColumn id="29" xr3:uid="{496FBDC9-4D45-4682-99B4-EF6ACE8BE3C5}" name="10" dataDxfId="422">
      <calculatedColumnFormula array="1">IFERROR(INDEX(_xlfn.UNIQUE(TRIM(_xlfn.TEXTSPLIT(Table2614256[[#This Row],[Selection Options]:[Selection Options]],","))),,W$11),"")</calculatedColumnFormula>
    </tableColumn>
    <tableColumn id="30" xr3:uid="{0CAEE194-A7CA-494E-9476-E53748B325B9}" name="11" dataDxfId="421">
      <calculatedColumnFormula array="1">IFERROR(INDEX(_xlfn.UNIQUE(TRIM(_xlfn.TEXTSPLIT(Table2614256[[#This Row],[Selection Options]:[Selection Options]],","))),,X$11),"")</calculatedColumnFormula>
    </tableColumn>
    <tableColumn id="31" xr3:uid="{32498447-A1D0-4194-9CAE-973ED74E0A2F}" name="12" dataDxfId="420">
      <calculatedColumnFormula array="1">IF(Table2614256[[#This Row],[1]]="","",Table2614256[[#This Row],[Weight]:[Weight]]-(Table2614256[[#This Row],[Weight]:[Weight]]*((_xlfn.XMATCH(Table2614256[[#This Row],[1]],Table2614256[[#This Row],[1]:[11]],0))-1)/(COUNTA(Table2614256[[#This Row],[1]:[11]])-COUNTBLANK(Table2614256[[#This Row],[1]:[11]])-1)))</calculatedColumnFormula>
    </tableColumn>
    <tableColumn id="32" xr3:uid="{75696A3E-098E-4E73-B130-F13A49FCC2C8}" name="13" dataDxfId="419">
      <calculatedColumnFormula array="1">IF(Table2614256[[#This Row],[2]]="","",Table2614256[[#This Row],[Weight]:[Weight]]-(Table2614256[[#This Row],[Weight]:[Weight]]*((_xlfn.XMATCH(Table2614256[[#This Row],[2]],Table2614256[[#This Row],[1]:[11]],0))-1)/(COUNTA(Table2614256[[#This Row],[1]:[11]])-COUNTBLANK(Table2614256[[#This Row],[1]:[11]])-1)))</calculatedColumnFormula>
    </tableColumn>
    <tableColumn id="33" xr3:uid="{8090776C-F3B5-4E5C-9122-24E1A20F0261}" name="14" dataDxfId="418">
      <calculatedColumnFormula array="1">IF(Table2614256[[#This Row],[3]]="","",Table2614256[[#This Row],[Weight]:[Weight]]-(Table2614256[[#This Row],[Weight]:[Weight]]*((_xlfn.XMATCH(Table2614256[[#This Row],[3]],Table2614256[[#This Row],[1]:[11]],0))-1)/(COUNTA(Table2614256[[#This Row],[1]:[11]])-COUNTBLANK(Table2614256[[#This Row],[1]:[11]])-1)))</calculatedColumnFormula>
    </tableColumn>
    <tableColumn id="34" xr3:uid="{EEF8B104-9C51-4BF1-92DF-AD0ADF2AFDCC}" name="15" dataDxfId="417">
      <calculatedColumnFormula array="1">IF(Table2614256[[#This Row],[4]]="","",Table2614256[[#This Row],[Weight]:[Weight]]-(Table2614256[[#This Row],[Weight]:[Weight]]*((_xlfn.XMATCH(Table2614256[[#This Row],[4]],Table2614256[[#This Row],[1]:[11]],0))-1)/(COUNTA(Table2614256[[#This Row],[1]:[11]])-COUNTBLANK(Table2614256[[#This Row],[1]:[11]])-1)))</calculatedColumnFormula>
    </tableColumn>
    <tableColumn id="35" xr3:uid="{F1733CA0-9FFC-4FA1-8D1E-36F2563DCA62}" name="16" dataDxfId="416">
      <calculatedColumnFormula array="1">IF(Table2614256[[#This Row],[5]]="","",Table2614256[[#This Row],[Weight]:[Weight]]-(Table2614256[[#This Row],[Weight]:[Weight]]*((_xlfn.XMATCH(Table2614256[[#This Row],[5]],Table2614256[[#This Row],[1]:[11]],0))-1)/(COUNTA(Table2614256[[#This Row],[1]:[11]])-COUNTBLANK(Table2614256[[#This Row],[1]:[11]])-1)))</calculatedColumnFormula>
    </tableColumn>
    <tableColumn id="36" xr3:uid="{8FA8D786-F267-4631-9EC1-E3A6B8EC8C19}" name="17" dataDxfId="415">
      <calculatedColumnFormula array="1">IF(Table2614256[[#This Row],[6]]="","",Table2614256[[#This Row],[Weight]:[Weight]]-(Table2614256[[#This Row],[Weight]:[Weight]]*((_xlfn.XMATCH(Table2614256[[#This Row],[6]],Table2614256[[#This Row],[1]:[11]],0))-1)/(COUNTA(Table2614256[[#This Row],[1]:[11]])-COUNTBLANK(Table2614256[[#This Row],[1]:[11]])-1)))</calculatedColumnFormula>
    </tableColumn>
    <tableColumn id="37" xr3:uid="{A9479900-AC5D-40E9-87BB-DE0EF929D0D0}" name="18" dataDxfId="414">
      <calculatedColumnFormula array="1">IF(Table2614256[[#This Row],[7]]="","",Table2614256[[#This Row],[Weight]:[Weight]]-(Table2614256[[#This Row],[Weight]:[Weight]]*((_xlfn.XMATCH(Table2614256[[#This Row],[7]],Table2614256[[#This Row],[1]:[11]],0))-1)/(COUNTA(Table2614256[[#This Row],[1]:[11]])-COUNTBLANK(Table2614256[[#This Row],[1]:[11]])-1)))</calculatedColumnFormula>
    </tableColumn>
    <tableColumn id="38" xr3:uid="{0D0033EB-5166-4C1F-B206-ACA52FD98840}" name="19" dataDxfId="413">
      <calculatedColumnFormula array="1">IF(Table2614256[[#This Row],[8]]="","",Table2614256[[#This Row],[Weight]:[Weight]]-(Table2614256[[#This Row],[Weight]:[Weight]]*((_xlfn.XMATCH(Table2614256[[#This Row],[8]],Table2614256[[#This Row],[1]:[11]],0))-1)/(COUNTA(Table2614256[[#This Row],[1]:[11]])-COUNTBLANK(Table2614256[[#This Row],[1]:[11]])-1)))</calculatedColumnFormula>
    </tableColumn>
    <tableColumn id="39" xr3:uid="{536F1CE7-5447-4560-BF6D-700D8A6FDB8B}" name="20" dataDxfId="412">
      <calculatedColumnFormula array="1">IF(Table2614256[[#This Row],[9]]="","",Table2614256[[#This Row],[Weight]:[Weight]]-(Table2614256[[#This Row],[Weight]:[Weight]]*((_xlfn.XMATCH(Table2614256[[#This Row],[9]],Table2614256[[#This Row],[1]:[11]],0))-1)/(COUNTA(Table2614256[[#This Row],[1]:[11]])-COUNTBLANK(Table2614256[[#This Row],[1]:[11]])-1)))</calculatedColumnFormula>
    </tableColumn>
    <tableColumn id="40" xr3:uid="{AC9B4070-0013-46D2-A4F7-31E663C3A6A5}" name="21" dataDxfId="411">
      <calculatedColumnFormula array="1">IF(Table2614256[[#This Row],[10]]="","",Table2614256[[#This Row],[Weight]:[Weight]]-(Table2614256[[#This Row],[Weight]:[Weight]]*((_xlfn.XMATCH(Table2614256[[#This Row],[10]],Table2614256[[#This Row],[1]:[11]],0))-1)/(COUNTA(Table2614256[[#This Row],[1]:[11]])-COUNTBLANK(Table2614256[[#This Row],[1]:[11]])-1)))</calculatedColumnFormula>
    </tableColumn>
    <tableColumn id="41" xr3:uid="{6D002A55-223B-41A7-9EAD-0AA8ACE7BD5B}" name="22" dataDxfId="410">
      <calculatedColumnFormula array="1">IF(Table2614256[[#This Row],[11]]="","",Table2614256[[#This Row],[Weight]:[Weight]]-(Table2614256[[#This Row],[Weight]:[Weight]]*((_xlfn.XMATCH(Table2614256[[#This Row],[11]],Table2614256[[#This Row],[1]:[11]],0))-1)/(COUNTA(Table2614256[[#This Row],[1]:[11]])-COUNTBLANK(Table2614256[[#This Row],[1]:[11]])-1)))</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8402DAF-15E4-4D5B-A285-F165F8B0EAA8}" name="Table26142567" displayName="Table26142567" ref="A12:AI70" totalsRowShown="0" headerRowDxfId="408" dataDxfId="406" headerRowBorderDxfId="407" tableBorderDxfId="405" totalsRowBorderDxfId="404">
  <autoFilter ref="A12:AI70" xr:uid="{DBBFD16F-C697-4B03-8565-497D940E477E}"/>
  <tableColumns count="35">
    <tableColumn id="1" xr3:uid="{5FA59116-F674-4DAA-B235-7503346523DD}" name="Intem#" dataDxfId="403"/>
    <tableColumn id="2" xr3:uid="{FE67A00D-2AD5-4B40-B150-C7F1186B3D0F}" name="Business requirements " dataDxfId="402"/>
    <tableColumn id="3" xr3:uid="{F5753F3E-5DF7-4873-8931-681D5E10116F}" name="Mandatory Returnables - This colunm lists the mandotory evidence to be provided by the vendor in the technical file and numbered to align with each criteria question. " dataDxfId="401"/>
    <tableColumn id="4" xr3:uid="{706B353A-6576-4B5F-96DE-A2D865D51F1F}" name="Vendor Response: Vendor to indicate if, and to what extent they meet the requirement, detail must be provided in the tender submission" dataDxfId="400"/>
    <tableColumn id="5" xr3:uid="{FB89BDAE-C243-494E-8415-35DDAA6965E7}" name="Vendor Evidence: Location of Supporting Document/detailed response in your tender submission (state the file number, section &amp; page number)" dataDxfId="399"/>
    <tableColumn id="6" xr3:uid="{DF35529B-759B-47FF-8281-C6D3C59A0DAA}" name="Priority Description" dataDxfId="398"/>
    <tableColumn id="7" xr3:uid="{DFFF74B9-68B8-4F2A-B00B-B12BC5156823}" name="Priority" dataDxfId="397">
      <calculatedColumnFormula array="1">_xlfn.IFS(F13="","",F13="No interest",0,F13="Nice to have",1,F13="Useful",2,F13="Important",3,F13="Very important",4,F13="Critical",5,F13="Show stopper",6)</calculatedColumnFormula>
    </tableColumn>
    <tableColumn id="8" xr3:uid="{7C6215C1-92E1-4D2F-90B5-D2D0FE3EB3E0}" name="Weight" dataDxfId="396" dataCellStyle="Percent">
      <calculatedColumnFormula>(G13/$G$11)*$F$11</calculatedColumnFormula>
    </tableColumn>
    <tableColumn id="9" xr3:uid="{6B61BF2B-AF81-4E5F-87CC-1E3832D8BB27}" name="Selection Options" dataDxfId="395"/>
    <tableColumn id="42" xr3:uid="{58A67A46-A9B0-4265-B6F5-BF7B412E1A09}" name="Option Score" dataDxfId="394">
      <calculatedColumnFormula array="1">_xlfn.TEXTJOIN(","&amp;CHAR(10),,TEXT(Table26142567[[#This Row],[12]:[22]],"0,00%"))</calculatedColumnFormula>
    </tableColumn>
    <tableColumn id="11" xr3:uid="{3C2523A9-96A3-49A2-85D0-2DF05F8C7B60}" name="Evaluators Response (SELECT)" dataDxfId="393"/>
    <tableColumn id="12" xr3:uid="{0CE33D9D-32F2-474B-ABB0-71D6246A4DEF}" name="Score" dataDxfId="392">
      <calculatedColumnFormula>H13-(H13*((MATCH(Table26142567[[#This Row],[Evaluators Response (SELECT)]],Table26142567[[#This Row],[1]:[11]],0)-1)/(COUNTA(Table26142567[[#This Row],[1]:[11]])-COUNTBLANK(Table26142567[[#This Row],[1]:[11]])-1)))</calculatedColumnFormula>
    </tableColumn>
    <tableColumn id="13" xr3:uid="{C64938EC-EE18-4EF2-A9A8-57DEBCCC1362}" name="Evaluator comments" dataDxfId="391"/>
    <tableColumn id="14" xr3:uid="{167C14B7-EE54-4AE6-96F8-41ACC4B9FD52}" name="1" dataDxfId="390">
      <calculatedColumnFormula array="1">IFERROR(INDEX(_xlfn.UNIQUE(TRIM(_xlfn.TEXTSPLIT(Table26142567[[#This Row],[Selection Options]:[Selection Options]],","))),,N$11),"")</calculatedColumnFormula>
    </tableColumn>
    <tableColumn id="15" xr3:uid="{34A23020-E612-4534-80FF-A247E4FB2F22}" name="2" dataDxfId="389">
      <calculatedColumnFormula array="1">IFERROR(INDEX(_xlfn.UNIQUE(TRIM(_xlfn.TEXTSPLIT(Table26142567[[#This Row],[Selection Options]:[Selection Options]],","))),,O$11),"")</calculatedColumnFormula>
    </tableColumn>
    <tableColumn id="16" xr3:uid="{6901E1B4-3411-4742-A279-56AF436E224E}" name="3" dataDxfId="388">
      <calculatedColumnFormula array="1">IFERROR(INDEX(_xlfn.UNIQUE(TRIM(_xlfn.TEXTSPLIT(Table26142567[[#This Row],[Selection Options]:[Selection Options]],","))),,P$11),"")</calculatedColumnFormula>
    </tableColumn>
    <tableColumn id="17" xr3:uid="{43BA42E0-3F46-4521-8534-3CC4680A05FD}" name="4" dataDxfId="387">
      <calculatedColumnFormula array="1">IFERROR(INDEX(_xlfn.UNIQUE(TRIM(_xlfn.TEXTSPLIT(Table26142567[[#This Row],[Selection Options]:[Selection Options]],","))),,Q$11),"")</calculatedColumnFormula>
    </tableColumn>
    <tableColumn id="18" xr3:uid="{0747AA03-CDD2-474E-A17D-6CDB091B87B0}" name="5" dataDxfId="386">
      <calculatedColumnFormula array="1">IFERROR(INDEX(_xlfn.UNIQUE(TRIM(_xlfn.TEXTSPLIT(Table26142567[[#This Row],[Selection Options]:[Selection Options]],","))),,R$11),"")</calculatedColumnFormula>
    </tableColumn>
    <tableColumn id="25" xr3:uid="{42522168-7A98-4064-A15B-D4A010B6C780}" name="6" dataDxfId="385">
      <calculatedColumnFormula array="1">IFERROR(INDEX(_xlfn.UNIQUE(TRIM(_xlfn.TEXTSPLIT(Table26142567[[#This Row],[Selection Options]:[Selection Options]],","))),,S$11),"")</calculatedColumnFormula>
    </tableColumn>
    <tableColumn id="26" xr3:uid="{ECB6C220-9C81-4FEA-A05A-0D81953BAE58}" name="7" dataDxfId="384">
      <calculatedColumnFormula array="1">IFERROR(INDEX(_xlfn.UNIQUE(TRIM(_xlfn.TEXTSPLIT(Table26142567[[#This Row],[Selection Options]:[Selection Options]],","))),,T$11),"")</calculatedColumnFormula>
    </tableColumn>
    <tableColumn id="27" xr3:uid="{FAD11E7D-AEF4-4F7A-BD9C-52B2EA241B19}" name="8" dataDxfId="383">
      <calculatedColumnFormula array="1">IFERROR(INDEX(_xlfn.UNIQUE(TRIM(_xlfn.TEXTSPLIT(Table26142567[[#This Row],[Selection Options]:[Selection Options]],","))),,U$11),"")</calculatedColumnFormula>
    </tableColumn>
    <tableColumn id="28" xr3:uid="{C9D67DDD-6235-4D83-BEA6-9B5E559B91BE}" name="9" dataDxfId="382">
      <calculatedColumnFormula array="1">IFERROR(INDEX(_xlfn.UNIQUE(TRIM(_xlfn.TEXTSPLIT(Table26142567[[#This Row],[Selection Options]:[Selection Options]],","))),,V$11),"")</calculatedColumnFormula>
    </tableColumn>
    <tableColumn id="29" xr3:uid="{E97B61C6-0F53-4D87-81EA-F8E34BD9247E}" name="10" dataDxfId="381">
      <calculatedColumnFormula array="1">IFERROR(INDEX(_xlfn.UNIQUE(TRIM(_xlfn.TEXTSPLIT(Table26142567[[#This Row],[Selection Options]:[Selection Options]],","))),,W$11),"")</calculatedColumnFormula>
    </tableColumn>
    <tableColumn id="30" xr3:uid="{F1F4A3E7-5369-42D7-A89D-0EE055EEE1B9}" name="11" dataDxfId="380">
      <calculatedColumnFormula array="1">IFERROR(INDEX(_xlfn.UNIQUE(TRIM(_xlfn.TEXTSPLIT(Table26142567[[#This Row],[Selection Options]:[Selection Options]],","))),,X$11),"")</calculatedColumnFormula>
    </tableColumn>
    <tableColumn id="31" xr3:uid="{114BFBBF-CA3D-4D97-ACE3-9198E677D70F}" name="12" dataDxfId="379">
      <calculatedColumnFormula array="1">IF(Table26142567[[#This Row],[1]]="","",Table26142567[[#This Row],[Weight]:[Weight]]-(Table26142567[[#This Row],[Weight]:[Weight]]*((_xlfn.XMATCH(Table26142567[[#This Row],[1]],Table26142567[[#This Row],[1]:[11]],0))-1)/(COUNTA(Table26142567[[#This Row],[1]:[11]])-COUNTBLANK(Table26142567[[#This Row],[1]:[11]])-1)))</calculatedColumnFormula>
    </tableColumn>
    <tableColumn id="32" xr3:uid="{1B24F99E-E156-40EB-9752-637BCEB46B0C}" name="13" dataDxfId="378">
      <calculatedColumnFormula array="1">IF(Table26142567[[#This Row],[2]]="","",Table26142567[[#This Row],[Weight]:[Weight]]-(Table26142567[[#This Row],[Weight]:[Weight]]*((_xlfn.XMATCH(Table26142567[[#This Row],[2]],Table26142567[[#This Row],[1]:[11]],0))-1)/(COUNTA(Table26142567[[#This Row],[1]:[11]])-COUNTBLANK(Table26142567[[#This Row],[1]:[11]])-1)))</calculatedColumnFormula>
    </tableColumn>
    <tableColumn id="33" xr3:uid="{25B60F37-88B3-4608-BAFB-F20DDE67AB60}" name="14" dataDxfId="377">
      <calculatedColumnFormula array="1">IF(Table26142567[[#This Row],[3]]="","",Table26142567[[#This Row],[Weight]:[Weight]]-(Table26142567[[#This Row],[Weight]:[Weight]]*((_xlfn.XMATCH(Table26142567[[#This Row],[3]],Table26142567[[#This Row],[1]:[11]],0))-1)/(COUNTA(Table26142567[[#This Row],[1]:[11]])-COUNTBLANK(Table26142567[[#This Row],[1]:[11]])-1)))</calculatedColumnFormula>
    </tableColumn>
    <tableColumn id="34" xr3:uid="{D2BD4F2C-1949-4306-9E73-2E5F288409E2}" name="15" dataDxfId="376">
      <calculatedColumnFormula array="1">IF(Table26142567[[#This Row],[4]]="","",Table26142567[[#This Row],[Weight]:[Weight]]-(Table26142567[[#This Row],[Weight]:[Weight]]*((_xlfn.XMATCH(Table26142567[[#This Row],[4]],Table26142567[[#This Row],[1]:[11]],0))-1)/(COUNTA(Table26142567[[#This Row],[1]:[11]])-COUNTBLANK(Table26142567[[#This Row],[1]:[11]])-1)))</calculatedColumnFormula>
    </tableColumn>
    <tableColumn id="35" xr3:uid="{EF2F21AC-86B4-4952-BDB0-A7D7B290531D}" name="16" dataDxfId="375">
      <calculatedColumnFormula array="1">IF(Table26142567[[#This Row],[5]]="","",Table26142567[[#This Row],[Weight]:[Weight]]-(Table26142567[[#This Row],[Weight]:[Weight]]*((_xlfn.XMATCH(Table26142567[[#This Row],[5]],Table26142567[[#This Row],[1]:[11]],0))-1)/(COUNTA(Table26142567[[#This Row],[1]:[11]])-COUNTBLANK(Table26142567[[#This Row],[1]:[11]])-1)))</calculatedColumnFormula>
    </tableColumn>
    <tableColumn id="36" xr3:uid="{0A87781D-A12E-48D2-B428-2B0D5DA52BB3}" name="17" dataDxfId="374">
      <calculatedColumnFormula array="1">IF(Table26142567[[#This Row],[6]]="","",Table26142567[[#This Row],[Weight]:[Weight]]-(Table26142567[[#This Row],[Weight]:[Weight]]*((_xlfn.XMATCH(Table26142567[[#This Row],[6]],Table26142567[[#This Row],[1]:[11]],0))-1)/(COUNTA(Table26142567[[#This Row],[1]:[11]])-COUNTBLANK(Table26142567[[#This Row],[1]:[11]])-1)))</calculatedColumnFormula>
    </tableColumn>
    <tableColumn id="37" xr3:uid="{AAD7E31A-20DF-4336-8AA2-1681D3F9675B}" name="18" dataDxfId="373">
      <calculatedColumnFormula array="1">IF(Table26142567[[#This Row],[7]]="","",Table26142567[[#This Row],[Weight]:[Weight]]-(Table26142567[[#This Row],[Weight]:[Weight]]*((_xlfn.XMATCH(Table26142567[[#This Row],[7]],Table26142567[[#This Row],[1]:[11]],0))-1)/(COUNTA(Table26142567[[#This Row],[1]:[11]])-COUNTBLANK(Table26142567[[#This Row],[1]:[11]])-1)))</calculatedColumnFormula>
    </tableColumn>
    <tableColumn id="38" xr3:uid="{E03EC8FB-E2F1-4732-BB86-8BDC6AAE52AA}" name="19" dataDxfId="372">
      <calculatedColumnFormula array="1">IF(Table26142567[[#This Row],[8]]="","",Table26142567[[#This Row],[Weight]:[Weight]]-(Table26142567[[#This Row],[Weight]:[Weight]]*((_xlfn.XMATCH(Table26142567[[#This Row],[8]],Table26142567[[#This Row],[1]:[11]],0))-1)/(COUNTA(Table26142567[[#This Row],[1]:[11]])-COUNTBLANK(Table26142567[[#This Row],[1]:[11]])-1)))</calculatedColumnFormula>
    </tableColumn>
    <tableColumn id="39" xr3:uid="{A2F41696-D9DD-4706-AE98-BDB06C2CB88C}" name="20" dataDxfId="371">
      <calculatedColumnFormula array="1">IF(Table26142567[[#This Row],[9]]="","",Table26142567[[#This Row],[Weight]:[Weight]]-(Table26142567[[#This Row],[Weight]:[Weight]]*((_xlfn.XMATCH(Table26142567[[#This Row],[9]],Table26142567[[#This Row],[1]:[11]],0))-1)/(COUNTA(Table26142567[[#This Row],[1]:[11]])-COUNTBLANK(Table26142567[[#This Row],[1]:[11]])-1)))</calculatedColumnFormula>
    </tableColumn>
    <tableColumn id="40" xr3:uid="{0F8FFD88-A24B-4571-AA91-A301980168D1}" name="21" dataDxfId="370">
      <calculatedColumnFormula array="1">IF(Table26142567[[#This Row],[10]]="","",Table26142567[[#This Row],[Weight]:[Weight]]-(Table26142567[[#This Row],[Weight]:[Weight]]*((_xlfn.XMATCH(Table26142567[[#This Row],[10]],Table26142567[[#This Row],[1]:[11]],0))-1)/(COUNTA(Table26142567[[#This Row],[1]:[11]])-COUNTBLANK(Table26142567[[#This Row],[1]:[11]])-1)))</calculatedColumnFormula>
    </tableColumn>
    <tableColumn id="41" xr3:uid="{E95DF0A6-DA56-40A5-B0ED-7963A92E8F40}" name="22" dataDxfId="369">
      <calculatedColumnFormula array="1">IF(Table26142567[[#This Row],[11]]="","",Table26142567[[#This Row],[Weight]:[Weight]]-(Table26142567[[#This Row],[Weight]:[Weight]]*((_xlfn.XMATCH(Table26142567[[#This Row],[11]],Table26142567[[#This Row],[1]:[11]],0))-1)/(COUNTA(Table26142567[[#This Row],[1]:[11]])-COUNTBLANK(Table26142567[[#This Row],[1]:[11]])-1)))</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36B0D8B-9688-46F5-8D7C-0819EF919356}" name="Table261425678" displayName="Table261425678" ref="A12:AI54" totalsRowShown="0" headerRowDxfId="367" dataDxfId="365" headerRowBorderDxfId="366" tableBorderDxfId="364" totalsRowBorderDxfId="363">
  <autoFilter ref="A12:AI54" xr:uid="{DBBFD16F-C697-4B03-8565-497D940E477E}"/>
  <tableColumns count="35">
    <tableColumn id="1" xr3:uid="{2AE8A3A2-B2C7-4961-B72C-4966CE40E797}" name="Item#" dataDxfId="362"/>
    <tableColumn id="2" xr3:uid="{AE9E7EB9-F597-4AE5-A5FF-CBB3D6C40DC8}" name="Business requirements " dataDxfId="361"/>
    <tableColumn id="3" xr3:uid="{1B147A2D-6DE5-43CB-A451-7FCA83E35979}" name="Mandatory Returnables - This column lists the mandatory evidence to be provided by the vendor in the technical file and numbered to align with each criteria question. " dataDxfId="360"/>
    <tableColumn id="4" xr3:uid="{68C8F35E-E494-427D-9390-F3D2AA19B34D}" name="Vendor Response: Vendor to indicate if, and to what extent they meet the requirement, detail must be provided in the tender submission" dataDxfId="359"/>
    <tableColumn id="5" xr3:uid="{16EF8B73-EB9D-42DD-8CF3-34112EE18672}" name="Vendor Evidence: Location of Supporting Document/detailed response in your tender submission (state the file number, section &amp; page number)" dataDxfId="358"/>
    <tableColumn id="6" xr3:uid="{9F9C8C50-51AE-4CE3-A5B4-8199170CA3FE}" name="Priority Description" dataDxfId="357"/>
    <tableColumn id="7" xr3:uid="{D2A9A615-9FFA-437E-B863-B8AD5DFE0677}" name="Priority" dataDxfId="356">
      <calculatedColumnFormula array="1">_xlfn.IFS(F13="","",F13="No interest",0,F13="Nice to have",1,F13="Useful",2,F13="Important",3,F13="Very important",4,F13="Critical",5,F13="Show stopper",6)</calculatedColumnFormula>
    </tableColumn>
    <tableColumn id="8" xr3:uid="{AC4BE886-2F7F-490D-ADC4-B31019A4FEC8}" name="Weight" dataDxfId="355" dataCellStyle="Percent">
      <calculatedColumnFormula>(G13/$G$11)*$F$11</calculatedColumnFormula>
    </tableColumn>
    <tableColumn id="9" xr3:uid="{E632EC90-E630-4A88-9F42-AA26F07DA09C}" name="Selection Options" dataDxfId="354"/>
    <tableColumn id="42" xr3:uid="{77E2C88A-1435-485B-BB40-769D8B9736DE}" name="Option Score" dataDxfId="353">
      <calculatedColumnFormula array="1">_xlfn.TEXTJOIN(","&amp;CHAR(10),,TEXT(Table261425678[[#This Row],[12]:[22]],"0,00%"))</calculatedColumnFormula>
    </tableColumn>
    <tableColumn id="11" xr3:uid="{0AC8FD94-56BF-40C2-8044-43D2E0558C2D}" name="Evaluators Response (SELECT)" dataDxfId="352"/>
    <tableColumn id="12" xr3:uid="{F379EADA-289D-40F7-908B-4F290D8B6EF4}" name="Score" dataDxfId="351">
      <calculatedColumnFormula>H13-(H13*((MATCH(Table261425678[[#This Row],[Evaluators Response (SELECT)]],Table261425678[[#This Row],[1]:[11]],0)-1)/(COUNTA(Table261425678[[#This Row],[1]:[11]])-COUNTBLANK(Table261425678[[#This Row],[1]:[11]])-1)))</calculatedColumnFormula>
    </tableColumn>
    <tableColumn id="13" xr3:uid="{B94E0330-6937-49AF-ADF5-22DD6C91E612}" name="Evaluator comments" dataDxfId="350"/>
    <tableColumn id="14" xr3:uid="{E2C6FCC3-C127-44CE-AD8B-4BAF213DB942}" name="1" dataDxfId="349">
      <calculatedColumnFormula array="1">IFERROR(INDEX(_xlfn.UNIQUE(TRIM(_xlfn.TEXTSPLIT(Table261425678[[#This Row],[Selection Options]:[Selection Options]],","))),,N$11),"")</calculatedColumnFormula>
    </tableColumn>
    <tableColumn id="15" xr3:uid="{BAA9389C-2F31-44A2-B06F-5EAD0FE54F5A}" name="2" dataDxfId="348">
      <calculatedColumnFormula array="1">IFERROR(INDEX(_xlfn.UNIQUE(TRIM(_xlfn.TEXTSPLIT(Table261425678[[#This Row],[Selection Options]:[Selection Options]],","))),,O$11),"")</calculatedColumnFormula>
    </tableColumn>
    <tableColumn id="16" xr3:uid="{CAE9BEDD-D662-4AD0-AA92-881E93FDC2C8}" name="3" dataDxfId="347">
      <calculatedColumnFormula array="1">IFERROR(INDEX(_xlfn.UNIQUE(TRIM(_xlfn.TEXTSPLIT(Table261425678[[#This Row],[Selection Options]:[Selection Options]],","))),,P$11),"")</calculatedColumnFormula>
    </tableColumn>
    <tableColumn id="17" xr3:uid="{25BF348C-7E80-47DE-A291-135D518C7B0E}" name="4" dataDxfId="346">
      <calculatedColumnFormula array="1">IFERROR(INDEX(_xlfn.UNIQUE(TRIM(_xlfn.TEXTSPLIT(Table261425678[[#This Row],[Selection Options]:[Selection Options]],","))),,Q$11),"")</calculatedColumnFormula>
    </tableColumn>
    <tableColumn id="18" xr3:uid="{9475F1E5-9610-4AFA-ABCF-5A7FCB8AA2D3}" name="5" dataDxfId="345">
      <calculatedColumnFormula array="1">IFERROR(INDEX(_xlfn.UNIQUE(TRIM(_xlfn.TEXTSPLIT(Table261425678[[#This Row],[Selection Options]:[Selection Options]],","))),,R$11),"")</calculatedColumnFormula>
    </tableColumn>
    <tableColumn id="25" xr3:uid="{27E2DE7C-39B6-4A27-A130-5C71C11B6DCA}" name="6" dataDxfId="344">
      <calculatedColumnFormula array="1">IFERROR(INDEX(_xlfn.UNIQUE(TRIM(_xlfn.TEXTSPLIT(Table261425678[[#This Row],[Selection Options]:[Selection Options]],","))),,S$11),"")</calculatedColumnFormula>
    </tableColumn>
    <tableColumn id="26" xr3:uid="{60C9C6E1-634D-461C-A7DC-6A306BFA483F}" name="7" dataDxfId="343">
      <calculatedColumnFormula array="1">IFERROR(INDEX(_xlfn.UNIQUE(TRIM(_xlfn.TEXTSPLIT(Table261425678[[#This Row],[Selection Options]:[Selection Options]],","))),,T$11),"")</calculatedColumnFormula>
    </tableColumn>
    <tableColumn id="27" xr3:uid="{3AA30DDF-FF18-413A-8B23-813A696D4620}" name="8" dataDxfId="342">
      <calculatedColumnFormula array="1">IFERROR(INDEX(_xlfn.UNIQUE(TRIM(_xlfn.TEXTSPLIT(Table261425678[[#This Row],[Selection Options]:[Selection Options]],","))),,U$11),"")</calculatedColumnFormula>
    </tableColumn>
    <tableColumn id="28" xr3:uid="{5167817E-7F35-4A60-B4E3-FF27848FB93E}" name="9" dataDxfId="341">
      <calculatedColumnFormula array="1">IFERROR(INDEX(_xlfn.UNIQUE(TRIM(_xlfn.TEXTSPLIT(Table261425678[[#This Row],[Selection Options]:[Selection Options]],","))),,V$11),"")</calculatedColumnFormula>
    </tableColumn>
    <tableColumn id="29" xr3:uid="{57E22AA7-AD1D-4C5C-A153-13E20313E324}" name="10" dataDxfId="340">
      <calculatedColumnFormula array="1">IFERROR(INDEX(_xlfn.UNIQUE(TRIM(_xlfn.TEXTSPLIT(Table261425678[[#This Row],[Selection Options]:[Selection Options]],","))),,W$11),"")</calculatedColumnFormula>
    </tableColumn>
    <tableColumn id="30" xr3:uid="{08405CBA-4E54-4584-8C10-CB94D7AB1396}" name="11" dataDxfId="339">
      <calculatedColumnFormula array="1">IFERROR(INDEX(_xlfn.UNIQUE(TRIM(_xlfn.TEXTSPLIT(Table261425678[[#This Row],[Selection Options]:[Selection Options]],","))),,X$11),"")</calculatedColumnFormula>
    </tableColumn>
    <tableColumn id="31" xr3:uid="{DFE7CC9F-4B2A-43A1-9110-8D2CCAD09C79}" name="12" dataDxfId="338">
      <calculatedColumnFormula array="1">IF(Table261425678[[#This Row],[1]]="","",Table261425678[[#This Row],[Weight]:[Weight]]-(Table261425678[[#This Row],[Weight]:[Weight]]*((_xlfn.XMATCH(Table261425678[[#This Row],[1]],Table261425678[[#This Row],[1]:[11]],0))-1)/(COUNTA(Table261425678[[#This Row],[1]:[11]])-COUNTBLANK(Table261425678[[#This Row],[1]:[11]])-1)))</calculatedColumnFormula>
    </tableColumn>
    <tableColumn id="32" xr3:uid="{F90F28BC-0C23-464C-B593-34E57B84935B}" name="13" dataDxfId="337">
      <calculatedColumnFormula array="1">IF(Table261425678[[#This Row],[2]]="","",Table261425678[[#This Row],[Weight]:[Weight]]-(Table261425678[[#This Row],[Weight]:[Weight]]*((_xlfn.XMATCH(Table261425678[[#This Row],[2]],Table261425678[[#This Row],[1]:[11]],0))-1)/(COUNTA(Table261425678[[#This Row],[1]:[11]])-COUNTBLANK(Table261425678[[#This Row],[1]:[11]])-1)))</calculatedColumnFormula>
    </tableColumn>
    <tableColumn id="33" xr3:uid="{E797B215-006D-4E4A-8ABE-C7F3D3DF2513}" name="14" dataDxfId="336">
      <calculatedColumnFormula array="1">IF(Table261425678[[#This Row],[3]]="","",Table261425678[[#This Row],[Weight]:[Weight]]-(Table261425678[[#This Row],[Weight]:[Weight]]*((_xlfn.XMATCH(Table261425678[[#This Row],[3]],Table261425678[[#This Row],[1]:[11]],0))-1)/(COUNTA(Table261425678[[#This Row],[1]:[11]])-COUNTBLANK(Table261425678[[#This Row],[1]:[11]])-1)))</calculatedColumnFormula>
    </tableColumn>
    <tableColumn id="34" xr3:uid="{1F458099-5B58-4851-A866-AC84B13EE839}" name="15" dataDxfId="335">
      <calculatedColumnFormula array="1">IF(Table261425678[[#This Row],[4]]="","",Table261425678[[#This Row],[Weight]:[Weight]]-(Table261425678[[#This Row],[Weight]:[Weight]]*((_xlfn.XMATCH(Table261425678[[#This Row],[4]],Table261425678[[#This Row],[1]:[11]],0))-1)/(COUNTA(Table261425678[[#This Row],[1]:[11]])-COUNTBLANK(Table261425678[[#This Row],[1]:[11]])-1)))</calculatedColumnFormula>
    </tableColumn>
    <tableColumn id="35" xr3:uid="{00E1A37A-5AE0-471D-B990-714EDE100730}" name="16" dataDxfId="334">
      <calculatedColumnFormula array="1">IF(Table261425678[[#This Row],[5]]="","",Table261425678[[#This Row],[Weight]:[Weight]]-(Table261425678[[#This Row],[Weight]:[Weight]]*((_xlfn.XMATCH(Table261425678[[#This Row],[5]],Table261425678[[#This Row],[1]:[11]],0))-1)/(COUNTA(Table261425678[[#This Row],[1]:[11]])-COUNTBLANK(Table261425678[[#This Row],[1]:[11]])-1)))</calculatedColumnFormula>
    </tableColumn>
    <tableColumn id="36" xr3:uid="{1D6E2927-0A12-4BFD-9E69-B826FE7D1026}" name="17" dataDxfId="333">
      <calculatedColumnFormula array="1">IF(Table261425678[[#This Row],[6]]="","",Table261425678[[#This Row],[Weight]:[Weight]]-(Table261425678[[#This Row],[Weight]:[Weight]]*((_xlfn.XMATCH(Table261425678[[#This Row],[6]],Table261425678[[#This Row],[1]:[11]],0))-1)/(COUNTA(Table261425678[[#This Row],[1]:[11]])-COUNTBLANK(Table261425678[[#This Row],[1]:[11]])-1)))</calculatedColumnFormula>
    </tableColumn>
    <tableColumn id="37" xr3:uid="{7D0FA004-A267-49F8-B2E5-D8A7C8C9028A}" name="18" dataDxfId="332">
      <calculatedColumnFormula array="1">IF(Table261425678[[#This Row],[7]]="","",Table261425678[[#This Row],[Weight]:[Weight]]-(Table261425678[[#This Row],[Weight]:[Weight]]*((_xlfn.XMATCH(Table261425678[[#This Row],[7]],Table261425678[[#This Row],[1]:[11]],0))-1)/(COUNTA(Table261425678[[#This Row],[1]:[11]])-COUNTBLANK(Table261425678[[#This Row],[1]:[11]])-1)))</calculatedColumnFormula>
    </tableColumn>
    <tableColumn id="38" xr3:uid="{D5C36A31-85A7-4E9B-B158-130E9D40E5E8}" name="19" dataDxfId="331">
      <calculatedColumnFormula array="1">IF(Table261425678[[#This Row],[8]]="","",Table261425678[[#This Row],[Weight]:[Weight]]-(Table261425678[[#This Row],[Weight]:[Weight]]*((_xlfn.XMATCH(Table261425678[[#This Row],[8]],Table261425678[[#This Row],[1]:[11]],0))-1)/(COUNTA(Table261425678[[#This Row],[1]:[11]])-COUNTBLANK(Table261425678[[#This Row],[1]:[11]])-1)))</calculatedColumnFormula>
    </tableColumn>
    <tableColumn id="39" xr3:uid="{C95A8C78-EC1E-414A-92E8-1A2DE76453C8}" name="20" dataDxfId="330">
      <calculatedColumnFormula array="1">IF(Table261425678[[#This Row],[9]]="","",Table261425678[[#This Row],[Weight]:[Weight]]-(Table261425678[[#This Row],[Weight]:[Weight]]*((_xlfn.XMATCH(Table261425678[[#This Row],[9]],Table261425678[[#This Row],[1]:[11]],0))-1)/(COUNTA(Table261425678[[#This Row],[1]:[11]])-COUNTBLANK(Table261425678[[#This Row],[1]:[11]])-1)))</calculatedColumnFormula>
    </tableColumn>
    <tableColumn id="40" xr3:uid="{CE72882E-A899-4B41-AD5F-7227DD8A5253}" name="21" dataDxfId="329">
      <calculatedColumnFormula array="1">IF(Table261425678[[#This Row],[10]]="","",Table261425678[[#This Row],[Weight]:[Weight]]-(Table261425678[[#This Row],[Weight]:[Weight]]*((_xlfn.XMATCH(Table261425678[[#This Row],[10]],Table261425678[[#This Row],[1]:[11]],0))-1)/(COUNTA(Table261425678[[#This Row],[1]:[11]])-COUNTBLANK(Table261425678[[#This Row],[1]:[11]])-1)))</calculatedColumnFormula>
    </tableColumn>
    <tableColumn id="41" xr3:uid="{5CB7BC3F-76DE-4DD3-B13D-856C79C74DCF}" name="22" dataDxfId="328">
      <calculatedColumnFormula array="1">IF(Table261425678[[#This Row],[11]]="","",Table261425678[[#This Row],[Weight]:[Weight]]-(Table261425678[[#This Row],[Weight]:[Weight]]*((_xlfn.XMATCH(Table261425678[[#This Row],[11]],Table261425678[[#This Row],[1]:[11]],0))-1)/(COUNTA(Table261425678[[#This Row],[1]:[11]])-COUNTBLANK(Table261425678[[#This Row],[1]:[11]])-1)))</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435946B-4E2E-4664-A37A-48F3F623982D}" name="Table2614256789" displayName="Table2614256789" ref="A12:AI46" totalsRowShown="0" headerRowDxfId="326" dataDxfId="324" headerRowBorderDxfId="325" tableBorderDxfId="323" totalsRowBorderDxfId="322">
  <autoFilter ref="A12:AI46" xr:uid="{DBBFD16F-C697-4B03-8565-497D940E477E}"/>
  <tableColumns count="35">
    <tableColumn id="1" xr3:uid="{5BD9C857-A768-41B1-8F05-99EB8EDBE3EA}" name="Item#" dataDxfId="321"/>
    <tableColumn id="2" xr3:uid="{F9F74328-CACA-4B9C-92DE-A17195B1EDD6}" name="Business requirements " dataDxfId="320"/>
    <tableColumn id="3" xr3:uid="{54DED558-D8A2-43A5-A446-6FAA2086B615}" name="Mandatory Returnables - This column lists the mandatory evidence to be provided by the vendor in the technical file and numbered to align with each criteria question. " dataDxfId="319"/>
    <tableColumn id="4" xr3:uid="{672D439A-E8CB-4838-8648-92B3F157117C}" name="Vendor Response: Vendor to indicate if, and to what extent they meet the requirement, detail must be provided in the tender submission" dataDxfId="318"/>
    <tableColumn id="5" xr3:uid="{E754C166-EC5E-4525-8F05-43BA1379EC31}" name="Vendor Evidence: Location of Supporting Document/detailed response in your tender submission (state the file number, section &amp; page number)" dataDxfId="317"/>
    <tableColumn id="6" xr3:uid="{F2E5063B-72C6-4FB3-A3F7-F275FEAF0F1D}" name="Priority Description" dataDxfId="316"/>
    <tableColumn id="7" xr3:uid="{9EA1FA74-6E4E-4954-B43A-02E2DC7D7AF7}" name="Priority" dataDxfId="315">
      <calculatedColumnFormula array="1">_xlfn.IFS(F13="","",F13="No interest",0,F13="Nice to have",1,F13="Useful",2,F13="Important",3,F13="Very important",4,F13="Critical",5,F13="Show stopper",6)</calculatedColumnFormula>
    </tableColumn>
    <tableColumn id="8" xr3:uid="{D0B5F092-5B7D-4D8A-936D-5844DF440D2C}" name="Weight" dataDxfId="314" dataCellStyle="Percent">
      <calculatedColumnFormula>(G13/$G$11)*$F$11</calculatedColumnFormula>
    </tableColumn>
    <tableColumn id="9" xr3:uid="{4B29781E-70C5-4BE9-AB23-D7AA5B561725}" name="Selection Options" dataDxfId="313"/>
    <tableColumn id="42" xr3:uid="{754D291C-3B82-47ED-A31B-E637DDE9FF7E}" name="Option Score" dataDxfId="312">
      <calculatedColumnFormula array="1">_xlfn.TEXTJOIN(","&amp;CHAR(10),,TEXT(Table2614256789[[#This Row],[12]:[22]],"0,00%"))</calculatedColumnFormula>
    </tableColumn>
    <tableColumn id="11" xr3:uid="{25C2116F-51A2-4A47-A8F8-B6A80F5EE4D3}" name="Evaluators Response (SELECT)" dataDxfId="311"/>
    <tableColumn id="12" xr3:uid="{81123820-8FF3-4E23-B1FF-B31D4D9C2B27}" name="Score" dataDxfId="310">
      <calculatedColumnFormula>H13-(H13*((MATCH(Table2614256789[[#This Row],[Evaluators Response (SELECT)]],Table2614256789[[#This Row],[1]:[11]],0)-1)/(COUNTA(Table2614256789[[#This Row],[1]:[11]])-COUNTBLANK(Table2614256789[[#This Row],[1]:[11]])-1)))</calculatedColumnFormula>
    </tableColumn>
    <tableColumn id="13" xr3:uid="{B8CE55FB-EA72-4411-8112-D02CCC1D5018}" name="Evaluator comments" dataDxfId="309"/>
    <tableColumn id="14" xr3:uid="{0F0A4FE8-DAF4-4B7D-B3A4-6257CEEABEA9}" name="1" dataDxfId="308">
      <calculatedColumnFormula array="1">IFERROR(INDEX(_xlfn.UNIQUE(TRIM(_xlfn.TEXTSPLIT(Table2614256789[[#This Row],[Selection Options]:[Selection Options]],","))),,N$11),"")</calculatedColumnFormula>
    </tableColumn>
    <tableColumn id="15" xr3:uid="{683F65D4-22F0-430A-A9CD-D4D0B7D2D395}" name="2" dataDxfId="307">
      <calculatedColumnFormula array="1">IFERROR(INDEX(_xlfn.UNIQUE(TRIM(_xlfn.TEXTSPLIT(Table2614256789[[#This Row],[Selection Options]:[Selection Options]],","))),,O$11),"")</calculatedColumnFormula>
    </tableColumn>
    <tableColumn id="16" xr3:uid="{80FB56F2-10AA-4554-9C75-7837E9D30011}" name="3" dataDxfId="306">
      <calculatedColumnFormula array="1">IFERROR(INDEX(_xlfn.UNIQUE(TRIM(_xlfn.TEXTSPLIT(Table2614256789[[#This Row],[Selection Options]:[Selection Options]],","))),,P$11),"")</calculatedColumnFormula>
    </tableColumn>
    <tableColumn id="17" xr3:uid="{A5B33A6F-FD0C-491F-AE9D-BA422C3A5E14}" name="4" dataDxfId="305">
      <calculatedColumnFormula array="1">IFERROR(INDEX(_xlfn.UNIQUE(TRIM(_xlfn.TEXTSPLIT(Table2614256789[[#This Row],[Selection Options]:[Selection Options]],","))),,Q$11),"")</calculatedColumnFormula>
    </tableColumn>
    <tableColumn id="18" xr3:uid="{B2587F19-584A-4103-A949-70E099CA41FD}" name="5" dataDxfId="304">
      <calculatedColumnFormula array="1">IFERROR(INDEX(_xlfn.UNIQUE(TRIM(_xlfn.TEXTSPLIT(Table2614256789[[#This Row],[Selection Options]:[Selection Options]],","))),,R$11),"")</calculatedColumnFormula>
    </tableColumn>
    <tableColumn id="25" xr3:uid="{DF055664-CFF1-40B5-869A-819FA29AC4CF}" name="6" dataDxfId="303">
      <calculatedColumnFormula array="1">IFERROR(INDEX(_xlfn.UNIQUE(TRIM(_xlfn.TEXTSPLIT(Table2614256789[[#This Row],[Selection Options]:[Selection Options]],","))),,S$11),"")</calculatedColumnFormula>
    </tableColumn>
    <tableColumn id="26" xr3:uid="{006633ED-F820-4F3D-A9E6-3EFFD855F497}" name="7" dataDxfId="302">
      <calculatedColumnFormula array="1">IFERROR(INDEX(_xlfn.UNIQUE(TRIM(_xlfn.TEXTSPLIT(Table2614256789[[#This Row],[Selection Options]:[Selection Options]],","))),,T$11),"")</calculatedColumnFormula>
    </tableColumn>
    <tableColumn id="27" xr3:uid="{C5FC621D-8819-435B-881E-A698B283CA99}" name="8" dataDxfId="301">
      <calculatedColumnFormula array="1">IFERROR(INDEX(_xlfn.UNIQUE(TRIM(_xlfn.TEXTSPLIT(Table2614256789[[#This Row],[Selection Options]:[Selection Options]],","))),,U$11),"")</calculatedColumnFormula>
    </tableColumn>
    <tableColumn id="28" xr3:uid="{7A93A053-6A46-4D68-ABAF-0C6F26EF11B7}" name="9" dataDxfId="300">
      <calculatedColumnFormula array="1">IFERROR(INDEX(_xlfn.UNIQUE(TRIM(_xlfn.TEXTSPLIT(Table2614256789[[#This Row],[Selection Options]:[Selection Options]],","))),,V$11),"")</calculatedColumnFormula>
    </tableColumn>
    <tableColumn id="29" xr3:uid="{B2D27E3B-D691-456F-8787-2D9F16A224DA}" name="10" dataDxfId="299">
      <calculatedColumnFormula array="1">IFERROR(INDEX(_xlfn.UNIQUE(TRIM(_xlfn.TEXTSPLIT(Table2614256789[[#This Row],[Selection Options]:[Selection Options]],","))),,W$11),"")</calculatedColumnFormula>
    </tableColumn>
    <tableColumn id="30" xr3:uid="{E91D9856-414E-489A-A1DF-BAB273B4EE8F}" name="11" dataDxfId="298">
      <calculatedColumnFormula array="1">IFERROR(INDEX(_xlfn.UNIQUE(TRIM(_xlfn.TEXTSPLIT(Table2614256789[[#This Row],[Selection Options]:[Selection Options]],","))),,X$11),"")</calculatedColumnFormula>
    </tableColumn>
    <tableColumn id="31" xr3:uid="{D59EAB66-80CB-4FE3-9294-A8A426CC5133}" name="12" dataDxfId="297">
      <calculatedColumnFormula array="1">IF(Table2614256789[[#This Row],[1]]="","",Table2614256789[[#This Row],[Weight]:[Weight]]-(Table2614256789[[#This Row],[Weight]:[Weight]]*((_xlfn.XMATCH(Table2614256789[[#This Row],[1]],Table2614256789[[#This Row],[1]:[11]],0))-1)/(COUNTA(Table2614256789[[#This Row],[1]:[11]])-COUNTBLANK(Table2614256789[[#This Row],[1]:[11]])-1)))</calculatedColumnFormula>
    </tableColumn>
    <tableColumn id="32" xr3:uid="{681577FA-1494-43F1-8F3B-74F739C917AD}" name="13" dataDxfId="296">
      <calculatedColumnFormula array="1">IF(Table2614256789[[#This Row],[2]]="","",Table2614256789[[#This Row],[Weight]:[Weight]]-(Table2614256789[[#This Row],[Weight]:[Weight]]*((_xlfn.XMATCH(Table2614256789[[#This Row],[2]],Table2614256789[[#This Row],[1]:[11]],0))-1)/(COUNTA(Table2614256789[[#This Row],[1]:[11]])-COUNTBLANK(Table2614256789[[#This Row],[1]:[11]])-1)))</calculatedColumnFormula>
    </tableColumn>
    <tableColumn id="33" xr3:uid="{D0F83B76-49A9-45D6-B62E-A3869F7B4370}" name="14" dataDxfId="295">
      <calculatedColumnFormula array="1">IF(Table2614256789[[#This Row],[3]]="","",Table2614256789[[#This Row],[Weight]:[Weight]]-(Table2614256789[[#This Row],[Weight]:[Weight]]*((_xlfn.XMATCH(Table2614256789[[#This Row],[3]],Table2614256789[[#This Row],[1]:[11]],0))-1)/(COUNTA(Table2614256789[[#This Row],[1]:[11]])-COUNTBLANK(Table2614256789[[#This Row],[1]:[11]])-1)))</calculatedColumnFormula>
    </tableColumn>
    <tableColumn id="34" xr3:uid="{3430E117-AEBC-4F59-8F12-D4EAE8412F20}" name="15" dataDxfId="294">
      <calculatedColumnFormula array="1">IF(Table2614256789[[#This Row],[4]]="","",Table2614256789[[#This Row],[Weight]:[Weight]]-(Table2614256789[[#This Row],[Weight]:[Weight]]*((_xlfn.XMATCH(Table2614256789[[#This Row],[4]],Table2614256789[[#This Row],[1]:[11]],0))-1)/(COUNTA(Table2614256789[[#This Row],[1]:[11]])-COUNTBLANK(Table2614256789[[#This Row],[1]:[11]])-1)))</calculatedColumnFormula>
    </tableColumn>
    <tableColumn id="35" xr3:uid="{EB0D5090-2292-465D-9CE5-3AE208940ACA}" name="16" dataDxfId="293">
      <calculatedColumnFormula array="1">IF(Table2614256789[[#This Row],[5]]="","",Table2614256789[[#This Row],[Weight]:[Weight]]-(Table2614256789[[#This Row],[Weight]:[Weight]]*((_xlfn.XMATCH(Table2614256789[[#This Row],[5]],Table2614256789[[#This Row],[1]:[11]],0))-1)/(COUNTA(Table2614256789[[#This Row],[1]:[11]])-COUNTBLANK(Table2614256789[[#This Row],[1]:[11]])-1)))</calculatedColumnFormula>
    </tableColumn>
    <tableColumn id="36" xr3:uid="{522DFCA2-7C91-42BC-B610-A21964A53F69}" name="17" dataDxfId="292">
      <calculatedColumnFormula array="1">IF(Table2614256789[[#This Row],[6]]="","",Table2614256789[[#This Row],[Weight]:[Weight]]-(Table2614256789[[#This Row],[Weight]:[Weight]]*((_xlfn.XMATCH(Table2614256789[[#This Row],[6]],Table2614256789[[#This Row],[1]:[11]],0))-1)/(COUNTA(Table2614256789[[#This Row],[1]:[11]])-COUNTBLANK(Table2614256789[[#This Row],[1]:[11]])-1)))</calculatedColumnFormula>
    </tableColumn>
    <tableColumn id="37" xr3:uid="{85381BD3-3E1A-40B3-A6DB-D7BC7DE670BD}" name="18" dataDxfId="291">
      <calculatedColumnFormula array="1">IF(Table2614256789[[#This Row],[7]]="","",Table2614256789[[#This Row],[Weight]:[Weight]]-(Table2614256789[[#This Row],[Weight]:[Weight]]*((_xlfn.XMATCH(Table2614256789[[#This Row],[7]],Table2614256789[[#This Row],[1]:[11]],0))-1)/(COUNTA(Table2614256789[[#This Row],[1]:[11]])-COUNTBLANK(Table2614256789[[#This Row],[1]:[11]])-1)))</calculatedColumnFormula>
    </tableColumn>
    <tableColumn id="38" xr3:uid="{9EB62077-254C-48D0-8394-729CEEE5D5AB}" name="19" dataDxfId="290">
      <calculatedColumnFormula array="1">IF(Table2614256789[[#This Row],[8]]="","",Table2614256789[[#This Row],[Weight]:[Weight]]-(Table2614256789[[#This Row],[Weight]:[Weight]]*((_xlfn.XMATCH(Table2614256789[[#This Row],[8]],Table2614256789[[#This Row],[1]:[11]],0))-1)/(COUNTA(Table2614256789[[#This Row],[1]:[11]])-COUNTBLANK(Table2614256789[[#This Row],[1]:[11]])-1)))</calculatedColumnFormula>
    </tableColumn>
    <tableColumn id="39" xr3:uid="{3FF22447-C8D6-4031-B5B0-506736799926}" name="20" dataDxfId="289">
      <calculatedColumnFormula array="1">IF(Table2614256789[[#This Row],[9]]="","",Table2614256789[[#This Row],[Weight]:[Weight]]-(Table2614256789[[#This Row],[Weight]:[Weight]]*((_xlfn.XMATCH(Table2614256789[[#This Row],[9]],Table2614256789[[#This Row],[1]:[11]],0))-1)/(COUNTA(Table2614256789[[#This Row],[1]:[11]])-COUNTBLANK(Table2614256789[[#This Row],[1]:[11]])-1)))</calculatedColumnFormula>
    </tableColumn>
    <tableColumn id="40" xr3:uid="{8ADACCA3-691A-4005-A14E-B99E358B4E8A}" name="21" dataDxfId="288">
      <calculatedColumnFormula array="1">IF(Table2614256789[[#This Row],[10]]="","",Table2614256789[[#This Row],[Weight]:[Weight]]-(Table2614256789[[#This Row],[Weight]:[Weight]]*((_xlfn.XMATCH(Table2614256789[[#This Row],[10]],Table2614256789[[#This Row],[1]:[11]],0))-1)/(COUNTA(Table2614256789[[#This Row],[1]:[11]])-COUNTBLANK(Table2614256789[[#This Row],[1]:[11]])-1)))</calculatedColumnFormula>
    </tableColumn>
    <tableColumn id="41" xr3:uid="{E36A1BF2-7081-451D-AC9E-43573F3FDB17}" name="22" dataDxfId="287">
      <calculatedColumnFormula array="1">IF(Table2614256789[[#This Row],[11]]="","",Table2614256789[[#This Row],[Weight]:[Weight]]-(Table2614256789[[#This Row],[Weight]:[Weight]]*((_xlfn.XMATCH(Table2614256789[[#This Row],[11]],Table2614256789[[#This Row],[1]:[11]],0))-1)/(COUNTA(Table2614256789[[#This Row],[1]:[11]])-COUNTBLANK(Table2614256789[[#This Row],[1]:[11]])-1)))</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5CFF6FE-D207-44F0-8AA2-C9ADA83EC4EC}" name="Table261425678911" displayName="Table261425678911" ref="A12:AI33" totalsRowShown="0" headerRowDxfId="285" dataDxfId="283" headerRowBorderDxfId="284" tableBorderDxfId="282" totalsRowBorderDxfId="281">
  <autoFilter ref="A12:AI33" xr:uid="{DBBFD16F-C697-4B03-8565-497D940E477E}"/>
  <tableColumns count="35">
    <tableColumn id="1" xr3:uid="{70CA5FF3-4AD1-4136-B559-77BDF578899A}" name="Item#" dataDxfId="280"/>
    <tableColumn id="2" xr3:uid="{83BE5A21-2EA1-4382-A22F-2DC1A0D85DDA}" name="Business requirements " dataDxfId="279"/>
    <tableColumn id="3" xr3:uid="{9C6E2630-53A7-4AFF-B4E0-26A4D8EE576E}" name="Mandatory Returnables - This column lists the mandatory evidence to be provided by the vendor in the technical file and numbered to align with each criteria question. " dataDxfId="278"/>
    <tableColumn id="4" xr3:uid="{F7DD238F-CE1E-4EC9-A017-0561D67BCEBE}" name="Vendor Response: Vendor to indicate if, and to what extent they meet the requirement, detail must be provided in the tender submission" dataDxfId="277"/>
    <tableColumn id="5" xr3:uid="{C97B6F0E-DFF4-49B9-908A-F367A4C9943C}" name="Vendor Evidence: Location of Supporting Document/detailed response in your tender submission (state the file number, section &amp; page number)" dataDxfId="276"/>
    <tableColumn id="6" xr3:uid="{65496A34-1E9C-4ABA-A465-DCF80004A4CE}" name="Priority Description" dataDxfId="275"/>
    <tableColumn id="7" xr3:uid="{19BBBE77-87E6-479E-A910-B7B7103F5A8F}" name="Priority" dataDxfId="274">
      <calculatedColumnFormula array="1">_xlfn.IFS(F13="","",F13="No interest",0,F13="Nice to have",1,F13="Useful",2,F13="Important",3,F13="Very important",4,F13="Critical",5,F13="Show stopper",6)</calculatedColumnFormula>
    </tableColumn>
    <tableColumn id="8" xr3:uid="{A8DE1761-5938-4D2A-9207-5E2109618E91}" name="Weight" dataDxfId="273" dataCellStyle="Percent">
      <calculatedColumnFormula>(G13/$G$11)*$F$11</calculatedColumnFormula>
    </tableColumn>
    <tableColumn id="9" xr3:uid="{EDF67BA7-6C1A-4479-B1DD-21247A683A21}" name="Selection Options" dataDxfId="272"/>
    <tableColumn id="42" xr3:uid="{B01DDC90-4888-497C-9104-30D4C4D19DB1}" name="Option Score" dataDxfId="271">
      <calculatedColumnFormula array="1">_xlfn.TEXTJOIN(","&amp;CHAR(10),,TEXT(Table261425678911[[#This Row],[12]:[22]],"0,00%"))</calculatedColumnFormula>
    </tableColumn>
    <tableColumn id="11" xr3:uid="{A49AC13B-99A3-425F-9BE8-0FE3F59ED03E}" name="Evaluators Response (SELECT)" dataDxfId="270"/>
    <tableColumn id="12" xr3:uid="{1C167911-C0DF-4352-954C-BEB6CD533E25}" name="Score" dataDxfId="269">
      <calculatedColumnFormula>H13-(H13*((MATCH(Table261425678911[[#This Row],[Evaluators Response (SELECT)]],Table261425678911[[#This Row],[1]:[11]],0)-1)/(COUNTA(Table261425678911[[#This Row],[1]:[11]])-COUNTBLANK(Table261425678911[[#This Row],[1]:[11]])-1)))</calculatedColumnFormula>
    </tableColumn>
    <tableColumn id="13" xr3:uid="{74503E51-7134-4EAA-9BF9-33B4D7C47301}" name="Evaluator comments" dataDxfId="268"/>
    <tableColumn id="14" xr3:uid="{225DA2CE-E73E-46DE-B3F1-171917ED3C31}" name="1" dataDxfId="267">
      <calculatedColumnFormula array="1">IFERROR(INDEX(_xlfn.UNIQUE(TRIM(_xlfn.TEXTSPLIT(Table261425678911[[#This Row],[Selection Options]:[Selection Options]],","))),,N$11),"")</calculatedColumnFormula>
    </tableColumn>
    <tableColumn id="15" xr3:uid="{2D54D38C-FBF9-4968-96E7-B989CEC857DB}" name="2" dataDxfId="266">
      <calculatedColumnFormula array="1">IFERROR(INDEX(_xlfn.UNIQUE(TRIM(_xlfn.TEXTSPLIT(Table261425678911[[#This Row],[Selection Options]:[Selection Options]],","))),,O$11),"")</calculatedColumnFormula>
    </tableColumn>
    <tableColumn id="16" xr3:uid="{BE3101AF-3CCA-4B9B-8E73-23A90CE2544E}" name="3" dataDxfId="265">
      <calculatedColumnFormula array="1">IFERROR(INDEX(_xlfn.UNIQUE(TRIM(_xlfn.TEXTSPLIT(Table261425678911[[#This Row],[Selection Options]:[Selection Options]],","))),,P$11),"")</calculatedColumnFormula>
    </tableColumn>
    <tableColumn id="17" xr3:uid="{90ED8501-FC2C-4A76-8146-EF732F23C66D}" name="4" dataDxfId="264">
      <calculatedColumnFormula array="1">IFERROR(INDEX(_xlfn.UNIQUE(TRIM(_xlfn.TEXTSPLIT(Table261425678911[[#This Row],[Selection Options]:[Selection Options]],","))),,Q$11),"")</calculatedColumnFormula>
    </tableColumn>
    <tableColumn id="18" xr3:uid="{FF08E1E2-80EB-4D27-B8D1-9EC6919E5C80}" name="5" dataDxfId="263">
      <calculatedColumnFormula array="1">IFERROR(INDEX(_xlfn.UNIQUE(TRIM(_xlfn.TEXTSPLIT(Table261425678911[[#This Row],[Selection Options]:[Selection Options]],","))),,R$11),"")</calculatedColumnFormula>
    </tableColumn>
    <tableColumn id="25" xr3:uid="{3B7ED235-4EDD-4C18-905E-91CC8ADF47DC}" name="6" dataDxfId="262">
      <calculatedColumnFormula array="1">IFERROR(INDEX(_xlfn.UNIQUE(TRIM(_xlfn.TEXTSPLIT(Table261425678911[[#This Row],[Selection Options]:[Selection Options]],","))),,S$11),"")</calculatedColumnFormula>
    </tableColumn>
    <tableColumn id="26" xr3:uid="{CA2181F9-116C-47ED-BBBE-89187A30E610}" name="7" dataDxfId="261">
      <calculatedColumnFormula array="1">IFERROR(INDEX(_xlfn.UNIQUE(TRIM(_xlfn.TEXTSPLIT(Table261425678911[[#This Row],[Selection Options]:[Selection Options]],","))),,T$11),"")</calculatedColumnFormula>
    </tableColumn>
    <tableColumn id="27" xr3:uid="{6846DAB9-3E00-45A6-BD4D-98C80D21BBBC}" name="8" dataDxfId="260">
      <calculatedColumnFormula array="1">IFERROR(INDEX(_xlfn.UNIQUE(TRIM(_xlfn.TEXTSPLIT(Table261425678911[[#This Row],[Selection Options]:[Selection Options]],","))),,U$11),"")</calculatedColumnFormula>
    </tableColumn>
    <tableColumn id="28" xr3:uid="{1DA77E1D-BC20-495C-A2DB-05D5EC093C35}" name="9" dataDxfId="259">
      <calculatedColumnFormula array="1">IFERROR(INDEX(_xlfn.UNIQUE(TRIM(_xlfn.TEXTSPLIT(Table261425678911[[#This Row],[Selection Options]:[Selection Options]],","))),,V$11),"")</calculatedColumnFormula>
    </tableColumn>
    <tableColumn id="29" xr3:uid="{B422C814-CAF5-4730-9CF9-4C617EE8A67B}" name="10" dataDxfId="258">
      <calculatedColumnFormula array="1">IFERROR(INDEX(_xlfn.UNIQUE(TRIM(_xlfn.TEXTSPLIT(Table261425678911[[#This Row],[Selection Options]:[Selection Options]],","))),,W$11),"")</calculatedColumnFormula>
    </tableColumn>
    <tableColumn id="30" xr3:uid="{A5B686C2-13BF-40F6-B00B-DFED78CD2DA9}" name="11" dataDxfId="257">
      <calculatedColumnFormula array="1">IFERROR(INDEX(_xlfn.UNIQUE(TRIM(_xlfn.TEXTSPLIT(Table261425678911[[#This Row],[Selection Options]:[Selection Options]],","))),,X$11),"")</calculatedColumnFormula>
    </tableColumn>
    <tableColumn id="31" xr3:uid="{3E11FE01-1DF3-4351-9660-26A078C254BF}" name="12" dataDxfId="256">
      <calculatedColumnFormula array="1">IF(Table261425678911[[#This Row],[1]]="","",Table261425678911[[#This Row],[Weight]:[Weight]]-(Table261425678911[[#This Row],[Weight]:[Weight]]*((_xlfn.XMATCH(Table261425678911[[#This Row],[1]],Table261425678911[[#This Row],[1]:[11]],0))-1)/(COUNTA(Table261425678911[[#This Row],[1]:[11]])-COUNTBLANK(Table261425678911[[#This Row],[1]:[11]])-1)))</calculatedColumnFormula>
    </tableColumn>
    <tableColumn id="32" xr3:uid="{D983529D-1F82-4C60-9D95-F7F0BF820296}" name="13" dataDxfId="255">
      <calculatedColumnFormula array="1">IF(Table261425678911[[#This Row],[2]]="","",Table261425678911[[#This Row],[Weight]:[Weight]]-(Table261425678911[[#This Row],[Weight]:[Weight]]*((_xlfn.XMATCH(Table261425678911[[#This Row],[2]],Table261425678911[[#This Row],[1]:[11]],0))-1)/(COUNTA(Table261425678911[[#This Row],[1]:[11]])-COUNTBLANK(Table261425678911[[#This Row],[1]:[11]])-1)))</calculatedColumnFormula>
    </tableColumn>
    <tableColumn id="33" xr3:uid="{0315A51D-1255-43D1-BDB2-F94833489F9C}" name="14" dataDxfId="254">
      <calculatedColumnFormula array="1">IF(Table261425678911[[#This Row],[3]]="","",Table261425678911[[#This Row],[Weight]:[Weight]]-(Table261425678911[[#This Row],[Weight]:[Weight]]*((_xlfn.XMATCH(Table261425678911[[#This Row],[3]],Table261425678911[[#This Row],[1]:[11]],0))-1)/(COUNTA(Table261425678911[[#This Row],[1]:[11]])-COUNTBLANK(Table261425678911[[#This Row],[1]:[11]])-1)))</calculatedColumnFormula>
    </tableColumn>
    <tableColumn id="34" xr3:uid="{F8A60B92-76A0-42A5-80F6-5CFB4E2D51D5}" name="15" dataDxfId="253">
      <calculatedColumnFormula array="1">IF(Table261425678911[[#This Row],[4]]="","",Table261425678911[[#This Row],[Weight]:[Weight]]-(Table261425678911[[#This Row],[Weight]:[Weight]]*((_xlfn.XMATCH(Table261425678911[[#This Row],[4]],Table261425678911[[#This Row],[1]:[11]],0))-1)/(COUNTA(Table261425678911[[#This Row],[1]:[11]])-COUNTBLANK(Table261425678911[[#This Row],[1]:[11]])-1)))</calculatedColumnFormula>
    </tableColumn>
    <tableColumn id="35" xr3:uid="{698E4A4A-F742-4F09-A7FA-E04E074B947D}" name="16" dataDxfId="252">
      <calculatedColumnFormula array="1">IF(Table261425678911[[#This Row],[5]]="","",Table261425678911[[#This Row],[Weight]:[Weight]]-(Table261425678911[[#This Row],[Weight]:[Weight]]*((_xlfn.XMATCH(Table261425678911[[#This Row],[5]],Table261425678911[[#This Row],[1]:[11]],0))-1)/(COUNTA(Table261425678911[[#This Row],[1]:[11]])-COUNTBLANK(Table261425678911[[#This Row],[1]:[11]])-1)))</calculatedColumnFormula>
    </tableColumn>
    <tableColumn id="36" xr3:uid="{59CBF517-92B9-432D-94D2-B894A5E1C6E1}" name="17" dataDxfId="251">
      <calculatedColumnFormula array="1">IF(Table261425678911[[#This Row],[6]]="","",Table261425678911[[#This Row],[Weight]:[Weight]]-(Table261425678911[[#This Row],[Weight]:[Weight]]*((_xlfn.XMATCH(Table261425678911[[#This Row],[6]],Table261425678911[[#This Row],[1]:[11]],0))-1)/(COUNTA(Table261425678911[[#This Row],[1]:[11]])-COUNTBLANK(Table261425678911[[#This Row],[1]:[11]])-1)))</calculatedColumnFormula>
    </tableColumn>
    <tableColumn id="37" xr3:uid="{B0209A8F-0693-4E0F-B6A4-39A3C3FAC5C7}" name="18" dataDxfId="250">
      <calculatedColumnFormula array="1">IF(Table261425678911[[#This Row],[7]]="","",Table261425678911[[#This Row],[Weight]:[Weight]]-(Table261425678911[[#This Row],[Weight]:[Weight]]*((_xlfn.XMATCH(Table261425678911[[#This Row],[7]],Table261425678911[[#This Row],[1]:[11]],0))-1)/(COUNTA(Table261425678911[[#This Row],[1]:[11]])-COUNTBLANK(Table261425678911[[#This Row],[1]:[11]])-1)))</calculatedColumnFormula>
    </tableColumn>
    <tableColumn id="38" xr3:uid="{6FF016B3-5241-477A-AFED-43AE657C1E53}" name="19" dataDxfId="249">
      <calculatedColumnFormula array="1">IF(Table261425678911[[#This Row],[8]]="","",Table261425678911[[#This Row],[Weight]:[Weight]]-(Table261425678911[[#This Row],[Weight]:[Weight]]*((_xlfn.XMATCH(Table261425678911[[#This Row],[8]],Table261425678911[[#This Row],[1]:[11]],0))-1)/(COUNTA(Table261425678911[[#This Row],[1]:[11]])-COUNTBLANK(Table261425678911[[#This Row],[1]:[11]])-1)))</calculatedColumnFormula>
    </tableColumn>
    <tableColumn id="39" xr3:uid="{102BED8F-CF72-4DAB-AF9C-355429D2FE71}" name="20" dataDxfId="248">
      <calculatedColumnFormula array="1">IF(Table261425678911[[#This Row],[9]]="","",Table261425678911[[#This Row],[Weight]:[Weight]]-(Table261425678911[[#This Row],[Weight]:[Weight]]*((_xlfn.XMATCH(Table261425678911[[#This Row],[9]],Table261425678911[[#This Row],[1]:[11]],0))-1)/(COUNTA(Table261425678911[[#This Row],[1]:[11]])-COUNTBLANK(Table261425678911[[#This Row],[1]:[11]])-1)))</calculatedColumnFormula>
    </tableColumn>
    <tableColumn id="40" xr3:uid="{AC88A177-2CCA-4CEC-B234-538D5FD2EDFC}" name="21" dataDxfId="247">
      <calculatedColumnFormula array="1">IF(Table261425678911[[#This Row],[10]]="","",Table261425678911[[#This Row],[Weight]:[Weight]]-(Table261425678911[[#This Row],[Weight]:[Weight]]*((_xlfn.XMATCH(Table261425678911[[#This Row],[10]],Table261425678911[[#This Row],[1]:[11]],0))-1)/(COUNTA(Table261425678911[[#This Row],[1]:[11]])-COUNTBLANK(Table261425678911[[#This Row],[1]:[11]])-1)))</calculatedColumnFormula>
    </tableColumn>
    <tableColumn id="41" xr3:uid="{7177BCD0-D55D-45C1-89EC-40FDA3A8BC93}" name="22" dataDxfId="246">
      <calculatedColumnFormula array="1">IF(Table261425678911[[#This Row],[11]]="","",Table261425678911[[#This Row],[Weight]:[Weight]]-(Table261425678911[[#This Row],[Weight]:[Weight]]*((_xlfn.XMATCH(Table261425678911[[#This Row],[11]],Table261425678911[[#This Row],[1]:[11]],0))-1)/(COUNTA(Table261425678911[[#This Row],[1]:[11]])-COUNTBLANK(Table261425678911[[#This Row],[1]:[11]])-1)))</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5F33872-30EB-40CD-BEE5-3C71D086A671}" name="Table26142567891112" displayName="Table26142567891112" ref="A12:AI60" totalsRowShown="0" headerRowDxfId="244" dataDxfId="242" headerRowBorderDxfId="243" tableBorderDxfId="241" totalsRowBorderDxfId="240">
  <autoFilter ref="A12:AI60" xr:uid="{DBBFD16F-C697-4B03-8565-497D940E477E}"/>
  <tableColumns count="35">
    <tableColumn id="1" xr3:uid="{E57A61F0-6AC5-4D6E-9DAA-5AD182C49ED9}" name="Item#" dataDxfId="239"/>
    <tableColumn id="2" xr3:uid="{8964D03A-B12F-42BE-B390-4A59EFBB71E1}" name="Business requirements" dataDxfId="238"/>
    <tableColumn id="3" xr3:uid="{ADC01476-E45C-4C51-82BC-4BB64C237CC6}" name="Mandatory Returnables - This column lists the mandatory evidence to be provided by the vendor in the technical file and numbered to align with each criteria question." dataDxfId="237"/>
    <tableColumn id="4" xr3:uid="{F55EBBC6-D187-428A-B298-8C53537B00EF}" name="Vendor Response: Vendor to indicate if, and to what extent they meet the requirement, detail must be provided in the tender submission" dataDxfId="236"/>
    <tableColumn id="5" xr3:uid="{97B09715-EC18-44C4-837B-63CE41119964}" name="Vendor Evidence: Location of Supporting Document/detailed response in your tender submission (state the file number, section &amp; page number)" dataDxfId="235"/>
    <tableColumn id="6" xr3:uid="{3BD35AC5-6C12-4FB5-81CE-C5519443E18A}" name="Priority Description" dataDxfId="234"/>
    <tableColumn id="7" xr3:uid="{317B0208-323E-412C-9439-9B63659968FE}" name="Priority" dataDxfId="233">
      <calculatedColumnFormula array="1">_xlfn.IFS(F13="","",F13="No interest",0,F13="Nice to have",1,F13="Useful",2,F13="Important",3,F13="Very important",4,F13="Critical",5,F13="Show stopper",6)</calculatedColumnFormula>
    </tableColumn>
    <tableColumn id="8" xr3:uid="{66223F9D-7B02-4539-B234-1C38EAE46D1D}" name="Weight" dataDxfId="232" dataCellStyle="Percent">
      <calculatedColumnFormula>(G13/$G$11)*$F$11</calculatedColumnFormula>
    </tableColumn>
    <tableColumn id="9" xr3:uid="{0B0D9B04-8B13-4E92-8FF6-24E01665FDD3}" name="Selection Options" dataDxfId="231"/>
    <tableColumn id="42" xr3:uid="{543A061A-EA96-471F-BF68-BD42A5BC3E49}" name="Option Score" dataDxfId="230">
      <calculatedColumnFormula array="1">_xlfn.TEXTJOIN(","&amp;CHAR(10),,TEXT(Table26142567891112[[#This Row],[12]:[22]],"0,00%"))</calculatedColumnFormula>
    </tableColumn>
    <tableColumn id="11" xr3:uid="{1AFCB603-7D63-410D-9BCA-5164662D2886}" name="Evaluators Response (SELECT)" dataDxfId="229"/>
    <tableColumn id="12" xr3:uid="{49C4C233-C4F1-41B6-AECA-1FA2A90F4F32}" name="Score" dataDxfId="228">
      <calculatedColumnFormula>H13-(H13*((MATCH(Table26142567891112[[#This Row],[Evaluators Response (SELECT)]],Table26142567891112[[#This Row],[1]:[11]],0)-1)/(COUNTA(Table26142567891112[[#This Row],[1]:[11]])-COUNTBLANK(Table26142567891112[[#This Row],[1]:[11]])-1)))</calculatedColumnFormula>
    </tableColumn>
    <tableColumn id="13" xr3:uid="{47DE459B-5613-47E3-902F-4DBF207E1F01}" name="Evaluator comments" dataDxfId="227"/>
    <tableColumn id="14" xr3:uid="{AE563A90-FD63-470A-8B6D-3716197FC0FE}" name="1" dataDxfId="226">
      <calculatedColumnFormula array="1">IFERROR(INDEX(_xlfn.UNIQUE(TRIM(_xlfn.TEXTSPLIT(Table26142567891112[[#This Row],[Selection Options]:[Selection Options]],","))),,N$11),"")</calculatedColumnFormula>
    </tableColumn>
    <tableColumn id="15" xr3:uid="{42A83521-1B8B-422A-B490-D5DAA80D466D}" name="2" dataDxfId="225">
      <calculatedColumnFormula array="1">IFERROR(INDEX(_xlfn.UNIQUE(TRIM(_xlfn.TEXTSPLIT(Table26142567891112[[#This Row],[Selection Options]:[Selection Options]],","))),,O$11),"")</calculatedColumnFormula>
    </tableColumn>
    <tableColumn id="16" xr3:uid="{618085A3-1B1E-4BB6-89A2-1F892869553E}" name="3" dataDxfId="224">
      <calculatedColumnFormula array="1">IFERROR(INDEX(_xlfn.UNIQUE(TRIM(_xlfn.TEXTSPLIT(Table26142567891112[[#This Row],[Selection Options]:[Selection Options]],","))),,P$11),"")</calculatedColumnFormula>
    </tableColumn>
    <tableColumn id="17" xr3:uid="{455C0BF4-5361-43BD-8E6E-A3A160F2EA4C}" name="4" dataDxfId="223">
      <calculatedColumnFormula array="1">IFERROR(INDEX(_xlfn.UNIQUE(TRIM(_xlfn.TEXTSPLIT(Table26142567891112[[#This Row],[Selection Options]:[Selection Options]],","))),,Q$11),"")</calculatedColumnFormula>
    </tableColumn>
    <tableColumn id="18" xr3:uid="{7AE59C5F-0624-42CA-A7E0-6CD22AF094CE}" name="5" dataDxfId="222">
      <calculatedColumnFormula array="1">IFERROR(INDEX(_xlfn.UNIQUE(TRIM(_xlfn.TEXTSPLIT(Table26142567891112[[#This Row],[Selection Options]:[Selection Options]],","))),,R$11),"")</calculatedColumnFormula>
    </tableColumn>
    <tableColumn id="25" xr3:uid="{66AFCA65-C1C2-4A12-94CF-FD0E3F3D1664}" name="6" dataDxfId="221">
      <calculatedColumnFormula array="1">IFERROR(INDEX(_xlfn.UNIQUE(TRIM(_xlfn.TEXTSPLIT(Table26142567891112[[#This Row],[Selection Options]:[Selection Options]],","))),,S$11),"")</calculatedColumnFormula>
    </tableColumn>
    <tableColumn id="26" xr3:uid="{6D26ADBA-6E18-4B75-9A43-35B880CBBC19}" name="7" dataDxfId="220">
      <calculatedColumnFormula array="1">IFERROR(INDEX(_xlfn.UNIQUE(TRIM(_xlfn.TEXTSPLIT(Table26142567891112[[#This Row],[Selection Options]:[Selection Options]],","))),,T$11),"")</calculatedColumnFormula>
    </tableColumn>
    <tableColumn id="27" xr3:uid="{CAA6BA13-5D92-46A3-949C-DD36AFC43702}" name="8" dataDxfId="219">
      <calculatedColumnFormula array="1">IFERROR(INDEX(_xlfn.UNIQUE(TRIM(_xlfn.TEXTSPLIT(Table26142567891112[[#This Row],[Selection Options]:[Selection Options]],","))),,U$11),"")</calculatedColumnFormula>
    </tableColumn>
    <tableColumn id="28" xr3:uid="{44403724-3C3B-4EB5-8347-AD3247C95146}" name="9" dataDxfId="218">
      <calculatedColumnFormula array="1">IFERROR(INDEX(_xlfn.UNIQUE(TRIM(_xlfn.TEXTSPLIT(Table26142567891112[[#This Row],[Selection Options]:[Selection Options]],","))),,V$11),"")</calculatedColumnFormula>
    </tableColumn>
    <tableColumn id="29" xr3:uid="{47FFC08B-767C-4939-A6C6-D1EE9DEAFE81}" name="10" dataDxfId="217">
      <calculatedColumnFormula array="1">IFERROR(INDEX(_xlfn.UNIQUE(TRIM(_xlfn.TEXTSPLIT(Table26142567891112[[#This Row],[Selection Options]:[Selection Options]],","))),,W$11),"")</calculatedColumnFormula>
    </tableColumn>
    <tableColumn id="30" xr3:uid="{1E21C3DB-3DE5-4E8E-B15B-E846A9B1F116}" name="11" dataDxfId="216">
      <calculatedColumnFormula array="1">IFERROR(INDEX(_xlfn.UNIQUE(TRIM(_xlfn.TEXTSPLIT(Table26142567891112[[#This Row],[Selection Options]:[Selection Options]],","))),,X$11),"")</calculatedColumnFormula>
    </tableColumn>
    <tableColumn id="31" xr3:uid="{6DCFAE08-91A3-4937-B4E0-E65FC929BDA2}" name="12" dataDxfId="215">
      <calculatedColumnFormula array="1">IF(Table26142567891112[[#This Row],[1]]="","",Table26142567891112[[#This Row],[Weight]:[Weight]]-(Table26142567891112[[#This Row],[Weight]:[Weight]]*((_xlfn.XMATCH(Table26142567891112[[#This Row],[1]],Table26142567891112[[#This Row],[1]:[11]],0))-1)/(COUNTA(Table26142567891112[[#This Row],[1]:[11]])-COUNTBLANK(Table26142567891112[[#This Row],[1]:[11]])-1)))</calculatedColumnFormula>
    </tableColumn>
    <tableColumn id="32" xr3:uid="{69F9A4D4-08B4-4CDC-8AB3-6BF18F45F9F6}" name="13" dataDxfId="214">
      <calculatedColumnFormula array="1">IF(Table26142567891112[[#This Row],[2]]="","",Table26142567891112[[#This Row],[Weight]:[Weight]]-(Table26142567891112[[#This Row],[Weight]:[Weight]]*((_xlfn.XMATCH(Table26142567891112[[#This Row],[2]],Table26142567891112[[#This Row],[1]:[11]],0))-1)/(COUNTA(Table26142567891112[[#This Row],[1]:[11]])-COUNTBLANK(Table26142567891112[[#This Row],[1]:[11]])-1)))</calculatedColumnFormula>
    </tableColumn>
    <tableColumn id="33" xr3:uid="{85EF75FB-EA9E-4A45-B60F-C1FDB6985793}" name="14" dataDxfId="213">
      <calculatedColumnFormula array="1">IF(Table26142567891112[[#This Row],[3]]="","",Table26142567891112[[#This Row],[Weight]:[Weight]]-(Table26142567891112[[#This Row],[Weight]:[Weight]]*((_xlfn.XMATCH(Table26142567891112[[#This Row],[3]],Table26142567891112[[#This Row],[1]:[11]],0))-1)/(COUNTA(Table26142567891112[[#This Row],[1]:[11]])-COUNTBLANK(Table26142567891112[[#This Row],[1]:[11]])-1)))</calculatedColumnFormula>
    </tableColumn>
    <tableColumn id="34" xr3:uid="{81A5F3D4-20F6-4BFF-82A6-0C519BD92EE3}" name="15" dataDxfId="212">
      <calculatedColumnFormula array="1">IF(Table26142567891112[[#This Row],[4]]="","",Table26142567891112[[#This Row],[Weight]:[Weight]]-(Table26142567891112[[#This Row],[Weight]:[Weight]]*((_xlfn.XMATCH(Table26142567891112[[#This Row],[4]],Table26142567891112[[#This Row],[1]:[11]],0))-1)/(COUNTA(Table26142567891112[[#This Row],[1]:[11]])-COUNTBLANK(Table26142567891112[[#This Row],[1]:[11]])-1)))</calculatedColumnFormula>
    </tableColumn>
    <tableColumn id="35" xr3:uid="{BFB5FE11-93C4-4700-A03E-FD1DDC1BD68A}" name="16" dataDxfId="211">
      <calculatedColumnFormula array="1">IF(Table26142567891112[[#This Row],[5]]="","",Table26142567891112[[#This Row],[Weight]:[Weight]]-(Table26142567891112[[#This Row],[Weight]:[Weight]]*((_xlfn.XMATCH(Table26142567891112[[#This Row],[5]],Table26142567891112[[#This Row],[1]:[11]],0))-1)/(COUNTA(Table26142567891112[[#This Row],[1]:[11]])-COUNTBLANK(Table26142567891112[[#This Row],[1]:[11]])-1)))</calculatedColumnFormula>
    </tableColumn>
    <tableColumn id="36" xr3:uid="{D1ED99FF-FAF4-4698-A4F4-9BA1ACE68352}" name="17" dataDxfId="210">
      <calculatedColumnFormula array="1">IF(Table26142567891112[[#This Row],[6]]="","",Table26142567891112[[#This Row],[Weight]:[Weight]]-(Table26142567891112[[#This Row],[Weight]:[Weight]]*((_xlfn.XMATCH(Table26142567891112[[#This Row],[6]],Table26142567891112[[#This Row],[1]:[11]],0))-1)/(COUNTA(Table26142567891112[[#This Row],[1]:[11]])-COUNTBLANK(Table26142567891112[[#This Row],[1]:[11]])-1)))</calculatedColumnFormula>
    </tableColumn>
    <tableColumn id="37" xr3:uid="{3E42C864-8839-4269-A61F-4425F4466502}" name="18" dataDxfId="209">
      <calculatedColumnFormula array="1">IF(Table26142567891112[[#This Row],[7]]="","",Table26142567891112[[#This Row],[Weight]:[Weight]]-(Table26142567891112[[#This Row],[Weight]:[Weight]]*((_xlfn.XMATCH(Table26142567891112[[#This Row],[7]],Table26142567891112[[#This Row],[1]:[11]],0))-1)/(COUNTA(Table26142567891112[[#This Row],[1]:[11]])-COUNTBLANK(Table26142567891112[[#This Row],[1]:[11]])-1)))</calculatedColumnFormula>
    </tableColumn>
    <tableColumn id="38" xr3:uid="{DD339CB3-60F7-4EE3-BD6E-A2331D2700A7}" name="19" dataDxfId="208">
      <calculatedColumnFormula array="1">IF(Table26142567891112[[#This Row],[8]]="","",Table26142567891112[[#This Row],[Weight]:[Weight]]-(Table26142567891112[[#This Row],[Weight]:[Weight]]*((_xlfn.XMATCH(Table26142567891112[[#This Row],[8]],Table26142567891112[[#This Row],[1]:[11]],0))-1)/(COUNTA(Table26142567891112[[#This Row],[1]:[11]])-COUNTBLANK(Table26142567891112[[#This Row],[1]:[11]])-1)))</calculatedColumnFormula>
    </tableColumn>
    <tableColumn id="39" xr3:uid="{B40B0A4D-50FD-47C2-B275-AEAD06B5DE52}" name="20" dataDxfId="207">
      <calculatedColumnFormula array="1">IF(Table26142567891112[[#This Row],[9]]="","",Table26142567891112[[#This Row],[Weight]:[Weight]]-(Table26142567891112[[#This Row],[Weight]:[Weight]]*((_xlfn.XMATCH(Table26142567891112[[#This Row],[9]],Table26142567891112[[#This Row],[1]:[11]],0))-1)/(COUNTA(Table26142567891112[[#This Row],[1]:[11]])-COUNTBLANK(Table26142567891112[[#This Row],[1]:[11]])-1)))</calculatedColumnFormula>
    </tableColumn>
    <tableColumn id="40" xr3:uid="{C80F11FA-A5DD-473A-A001-A4F08F870759}" name="21" dataDxfId="206">
      <calculatedColumnFormula array="1">IF(Table26142567891112[[#This Row],[10]]="","",Table26142567891112[[#This Row],[Weight]:[Weight]]-(Table26142567891112[[#This Row],[Weight]:[Weight]]*((_xlfn.XMATCH(Table26142567891112[[#This Row],[10]],Table26142567891112[[#This Row],[1]:[11]],0))-1)/(COUNTA(Table26142567891112[[#This Row],[1]:[11]])-COUNTBLANK(Table26142567891112[[#This Row],[1]:[11]])-1)))</calculatedColumnFormula>
    </tableColumn>
    <tableColumn id="41" xr3:uid="{2DEC2437-4649-4E7A-84CB-DA6986005804}" name="22" dataDxfId="205">
      <calculatedColumnFormula array="1">IF(Table26142567891112[[#This Row],[11]]="","",Table26142567891112[[#This Row],[Weight]:[Weight]]-(Table26142567891112[[#This Row],[Weight]:[Weight]]*((_xlfn.XMATCH(Table26142567891112[[#This Row],[11]],Table26142567891112[[#This Row],[1]:[11]],0))-1)/(COUNTA(Table26142567891112[[#This Row],[1]:[11]])-COUNTBLANK(Table26142567891112[[#This Row],[1]:[11]])-1)))</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E54D2AB-87ED-40AB-9ECA-6F636088E358}" name="Table2614256789111213" displayName="Table2614256789111213" ref="A12:AI48" totalsRowShown="0" headerRowDxfId="203" dataDxfId="201" headerRowBorderDxfId="202" tableBorderDxfId="200" totalsRowBorderDxfId="199">
  <autoFilter ref="A12:AI48" xr:uid="{DBBFD16F-C697-4B03-8565-497D940E477E}"/>
  <tableColumns count="35">
    <tableColumn id="1" xr3:uid="{ABF57D03-C04E-4B54-A236-D8D9CA9F7F1A}" name="Item#" dataDxfId="198"/>
    <tableColumn id="2" xr3:uid="{0EE2F0FA-5561-45B0-ADCF-D2DDE6C7D57F}" name="Business requirements " dataDxfId="197"/>
    <tableColumn id="3" xr3:uid="{81FABF33-06C7-45DB-AD33-391D7A32D6D5}" name="Mandatory Returnables - This column lists the mandatory evidence to be provided by the vendor in the technical file and numbered to align with each criteria question. " dataDxfId="196"/>
    <tableColumn id="4" xr3:uid="{1373DCF7-D140-4954-AA58-2D762D881B21}" name="Vendor Response: Vendor to indicate if, and to what extent they meet the requirement, detail must be provided in the tender submission" dataDxfId="195"/>
    <tableColumn id="5" xr3:uid="{C8B0C3B5-AE36-401B-846B-0015C9C70074}" name="Vendor Evidence: Location of Supporting Document/detailed response in your tender submission (state the file number, section &amp; page number)" dataDxfId="194"/>
    <tableColumn id="6" xr3:uid="{55767DE7-1ADC-410A-90E5-6697D1E96BD2}" name="Priority Description" dataDxfId="193"/>
    <tableColumn id="7" xr3:uid="{318BF901-8016-4F8B-9C08-8C8EBC3D1244}" name="Priority" dataDxfId="192">
      <calculatedColumnFormula array="1">_xlfn.IFS(F13="","",F13="No interest",0,F13="Nice to have",1,F13="Useful",2,F13="Important",3,F13="Very important",4,F13="Critical",5,F13="Show stopper",6)</calculatedColumnFormula>
    </tableColumn>
    <tableColumn id="8" xr3:uid="{2D1E0BF3-198E-46EE-B388-1601BC9D3B16}" name="Weight" dataDxfId="191" dataCellStyle="Percent">
      <calculatedColumnFormula>(G13/$G$11)*$F$11</calculatedColumnFormula>
    </tableColumn>
    <tableColumn id="9" xr3:uid="{9AFE4458-336D-4754-A704-DD4A2905FDD6}" name="Selection Options" dataDxfId="190"/>
    <tableColumn id="42" xr3:uid="{61A3A4FB-0684-4D0F-96C6-397A48EAE06F}" name="Option Score" dataDxfId="189">
      <calculatedColumnFormula array="1">_xlfn.TEXTJOIN(","&amp;CHAR(10),,TEXT(Table2614256789111213[[#This Row],[12]:[22]],"0,00%"))</calculatedColumnFormula>
    </tableColumn>
    <tableColumn id="11" xr3:uid="{C4D50AFB-FDE0-4DF6-BF88-1E88C19E8F5E}" name="Evaluators Response (SELECT)" dataDxfId="188"/>
    <tableColumn id="12" xr3:uid="{9BAA2BA7-098C-420D-9915-D7B02388E2DA}" name="Score" dataDxfId="187">
      <calculatedColumnFormula>H13-(H13*((MATCH(Table2614256789111213[[#This Row],[Evaluators Response (SELECT)]],Table2614256789111213[[#This Row],[1]:[11]],0)-1)/(COUNTA(Table2614256789111213[[#This Row],[1]:[11]])-COUNTBLANK(Table2614256789111213[[#This Row],[1]:[11]])-1)))</calculatedColumnFormula>
    </tableColumn>
    <tableColumn id="13" xr3:uid="{C3F50496-8C93-450C-8D70-EEF726D0A3A2}" name="Evaluator comments" dataDxfId="186"/>
    <tableColumn id="14" xr3:uid="{2932962F-A004-435B-B293-AD4464263AAC}" name="1" dataDxfId="185">
      <calculatedColumnFormula array="1">IFERROR(INDEX(_xlfn.UNIQUE(TRIM(_xlfn.TEXTSPLIT(Table2614256789111213[[#This Row],[Selection Options]:[Selection Options]],","))),,N$11),"")</calculatedColumnFormula>
    </tableColumn>
    <tableColumn id="15" xr3:uid="{D303E46B-27E5-4155-9A6B-B3F5F0D6CCCA}" name="2" dataDxfId="184">
      <calculatedColumnFormula array="1">IFERROR(INDEX(_xlfn.UNIQUE(TRIM(_xlfn.TEXTSPLIT(Table2614256789111213[[#This Row],[Selection Options]:[Selection Options]],","))),,O$11),"")</calculatedColumnFormula>
    </tableColumn>
    <tableColumn id="16" xr3:uid="{7E558DD9-9984-494F-977D-EBD40E7FF9FB}" name="3" dataDxfId="183">
      <calculatedColumnFormula array="1">IFERROR(INDEX(_xlfn.UNIQUE(TRIM(_xlfn.TEXTSPLIT(Table2614256789111213[[#This Row],[Selection Options]:[Selection Options]],","))),,P$11),"")</calculatedColumnFormula>
    </tableColumn>
    <tableColumn id="17" xr3:uid="{B80E6AA7-EB32-48BB-8AB7-A3518AD882C0}" name="4" dataDxfId="182">
      <calculatedColumnFormula array="1">IFERROR(INDEX(_xlfn.UNIQUE(TRIM(_xlfn.TEXTSPLIT(Table2614256789111213[[#This Row],[Selection Options]:[Selection Options]],","))),,Q$11),"")</calculatedColumnFormula>
    </tableColumn>
    <tableColumn id="18" xr3:uid="{36B2309F-B9A4-45CD-B90C-476209F2F678}" name="5" dataDxfId="181">
      <calculatedColumnFormula array="1">IFERROR(INDEX(_xlfn.UNIQUE(TRIM(_xlfn.TEXTSPLIT(Table2614256789111213[[#This Row],[Selection Options]:[Selection Options]],","))),,R$11),"")</calculatedColumnFormula>
    </tableColumn>
    <tableColumn id="25" xr3:uid="{CA284E1B-3580-455F-8775-25E2EB182A7A}" name="6" dataDxfId="180">
      <calculatedColumnFormula array="1">IFERROR(INDEX(_xlfn.UNIQUE(TRIM(_xlfn.TEXTSPLIT(Table2614256789111213[[#This Row],[Selection Options]:[Selection Options]],","))),,S$11),"")</calculatedColumnFormula>
    </tableColumn>
    <tableColumn id="26" xr3:uid="{8DBD2AD0-2579-4A7E-BC4E-0658431EF123}" name="7" dataDxfId="179">
      <calculatedColumnFormula array="1">IFERROR(INDEX(_xlfn.UNIQUE(TRIM(_xlfn.TEXTSPLIT(Table2614256789111213[[#This Row],[Selection Options]:[Selection Options]],","))),,T$11),"")</calculatedColumnFormula>
    </tableColumn>
    <tableColumn id="27" xr3:uid="{82FED1F9-7B2B-473F-B51C-FBB421065AF6}" name="8" dataDxfId="178">
      <calculatedColumnFormula array="1">IFERROR(INDEX(_xlfn.UNIQUE(TRIM(_xlfn.TEXTSPLIT(Table2614256789111213[[#This Row],[Selection Options]:[Selection Options]],","))),,U$11),"")</calculatedColumnFormula>
    </tableColumn>
    <tableColumn id="28" xr3:uid="{54A200C8-728F-4E61-8B63-CF8E1EE993BD}" name="9" dataDxfId="177">
      <calculatedColumnFormula array="1">IFERROR(INDEX(_xlfn.UNIQUE(TRIM(_xlfn.TEXTSPLIT(Table2614256789111213[[#This Row],[Selection Options]:[Selection Options]],","))),,V$11),"")</calculatedColumnFormula>
    </tableColumn>
    <tableColumn id="29" xr3:uid="{E0994805-7E42-4B31-8888-9245769E7C3B}" name="10" dataDxfId="176">
      <calculatedColumnFormula array="1">IFERROR(INDEX(_xlfn.UNIQUE(TRIM(_xlfn.TEXTSPLIT(Table2614256789111213[[#This Row],[Selection Options]:[Selection Options]],","))),,W$11),"")</calculatedColumnFormula>
    </tableColumn>
    <tableColumn id="30" xr3:uid="{DA0B2A49-5FE5-401D-8165-50504CFC2558}" name="11" dataDxfId="175">
      <calculatedColumnFormula array="1">IFERROR(INDEX(_xlfn.UNIQUE(TRIM(_xlfn.TEXTSPLIT(Table2614256789111213[[#This Row],[Selection Options]:[Selection Options]],","))),,X$11),"")</calculatedColumnFormula>
    </tableColumn>
    <tableColumn id="31" xr3:uid="{E1D846A1-683D-4B22-849B-669AFD82F8E6}" name="12" dataDxfId="174">
      <calculatedColumnFormula array="1">IF(Table2614256789111213[[#This Row],[1]]="","",Table2614256789111213[[#This Row],[Weight]:[Weight]]-(Table2614256789111213[[#This Row],[Weight]:[Weight]]*((_xlfn.XMATCH(Table2614256789111213[[#This Row],[1]],Table2614256789111213[[#This Row],[1]:[11]],0))-1)/(COUNTA(Table2614256789111213[[#This Row],[1]:[11]])-COUNTBLANK(Table2614256789111213[[#This Row],[1]:[11]])-1)))</calculatedColumnFormula>
    </tableColumn>
    <tableColumn id="32" xr3:uid="{B5A91B4F-697F-4C33-802E-FB922A86D4DF}" name="13" dataDxfId="173">
      <calculatedColumnFormula array="1">IF(Table2614256789111213[[#This Row],[2]]="","",Table2614256789111213[[#This Row],[Weight]:[Weight]]-(Table2614256789111213[[#This Row],[Weight]:[Weight]]*((_xlfn.XMATCH(Table2614256789111213[[#This Row],[2]],Table2614256789111213[[#This Row],[1]:[11]],0))-1)/(COUNTA(Table2614256789111213[[#This Row],[1]:[11]])-COUNTBLANK(Table2614256789111213[[#This Row],[1]:[11]])-1)))</calculatedColumnFormula>
    </tableColumn>
    <tableColumn id="33" xr3:uid="{85081775-1F2C-4E6F-9683-00896F6EA5E5}" name="14" dataDxfId="172">
      <calculatedColumnFormula array="1">IF(Table2614256789111213[[#This Row],[3]]="","",Table2614256789111213[[#This Row],[Weight]:[Weight]]-(Table2614256789111213[[#This Row],[Weight]:[Weight]]*((_xlfn.XMATCH(Table2614256789111213[[#This Row],[3]],Table2614256789111213[[#This Row],[1]:[11]],0))-1)/(COUNTA(Table2614256789111213[[#This Row],[1]:[11]])-COUNTBLANK(Table2614256789111213[[#This Row],[1]:[11]])-1)))</calculatedColumnFormula>
    </tableColumn>
    <tableColumn id="34" xr3:uid="{F00C7824-F8EC-4810-AABA-D2921F691B26}" name="15" dataDxfId="171">
      <calculatedColumnFormula array="1">IF(Table2614256789111213[[#This Row],[4]]="","",Table2614256789111213[[#This Row],[Weight]:[Weight]]-(Table2614256789111213[[#This Row],[Weight]:[Weight]]*((_xlfn.XMATCH(Table2614256789111213[[#This Row],[4]],Table2614256789111213[[#This Row],[1]:[11]],0))-1)/(COUNTA(Table2614256789111213[[#This Row],[1]:[11]])-COUNTBLANK(Table2614256789111213[[#This Row],[1]:[11]])-1)))</calculatedColumnFormula>
    </tableColumn>
    <tableColumn id="35" xr3:uid="{746CBAF2-00D7-4A3F-8013-3E76B5F3733E}" name="16" dataDxfId="170">
      <calculatedColumnFormula array="1">IF(Table2614256789111213[[#This Row],[5]]="","",Table2614256789111213[[#This Row],[Weight]:[Weight]]-(Table2614256789111213[[#This Row],[Weight]:[Weight]]*((_xlfn.XMATCH(Table2614256789111213[[#This Row],[5]],Table2614256789111213[[#This Row],[1]:[11]],0))-1)/(COUNTA(Table2614256789111213[[#This Row],[1]:[11]])-COUNTBLANK(Table2614256789111213[[#This Row],[1]:[11]])-1)))</calculatedColumnFormula>
    </tableColumn>
    <tableColumn id="36" xr3:uid="{7998D157-1287-4757-A9B9-60A9F713475F}" name="17" dataDxfId="169">
      <calculatedColumnFormula array="1">IF(Table2614256789111213[[#This Row],[6]]="","",Table2614256789111213[[#This Row],[Weight]:[Weight]]-(Table2614256789111213[[#This Row],[Weight]:[Weight]]*((_xlfn.XMATCH(Table2614256789111213[[#This Row],[6]],Table2614256789111213[[#This Row],[1]:[11]],0))-1)/(COUNTA(Table2614256789111213[[#This Row],[1]:[11]])-COUNTBLANK(Table2614256789111213[[#This Row],[1]:[11]])-1)))</calculatedColumnFormula>
    </tableColumn>
    <tableColumn id="37" xr3:uid="{3DABA7A0-66C9-4AB6-95CC-7079BB1CD0AA}" name="18" dataDxfId="168">
      <calculatedColumnFormula array="1">IF(Table2614256789111213[[#This Row],[7]]="","",Table2614256789111213[[#This Row],[Weight]:[Weight]]-(Table2614256789111213[[#This Row],[Weight]:[Weight]]*((_xlfn.XMATCH(Table2614256789111213[[#This Row],[7]],Table2614256789111213[[#This Row],[1]:[11]],0))-1)/(COUNTA(Table2614256789111213[[#This Row],[1]:[11]])-COUNTBLANK(Table2614256789111213[[#This Row],[1]:[11]])-1)))</calculatedColumnFormula>
    </tableColumn>
    <tableColumn id="38" xr3:uid="{FD50F549-76EA-46AD-8E36-6FEDB8F0CDAF}" name="19" dataDxfId="167">
      <calculatedColumnFormula array="1">IF(Table2614256789111213[[#This Row],[8]]="","",Table2614256789111213[[#This Row],[Weight]:[Weight]]-(Table2614256789111213[[#This Row],[Weight]:[Weight]]*((_xlfn.XMATCH(Table2614256789111213[[#This Row],[8]],Table2614256789111213[[#This Row],[1]:[11]],0))-1)/(COUNTA(Table2614256789111213[[#This Row],[1]:[11]])-COUNTBLANK(Table2614256789111213[[#This Row],[1]:[11]])-1)))</calculatedColumnFormula>
    </tableColumn>
    <tableColumn id="39" xr3:uid="{F9CC8B99-B813-4087-9B73-E634F6431129}" name="20" dataDxfId="166">
      <calculatedColumnFormula array="1">IF(Table2614256789111213[[#This Row],[9]]="","",Table2614256789111213[[#This Row],[Weight]:[Weight]]-(Table2614256789111213[[#This Row],[Weight]:[Weight]]*((_xlfn.XMATCH(Table2614256789111213[[#This Row],[9]],Table2614256789111213[[#This Row],[1]:[11]],0))-1)/(COUNTA(Table2614256789111213[[#This Row],[1]:[11]])-COUNTBLANK(Table2614256789111213[[#This Row],[1]:[11]])-1)))</calculatedColumnFormula>
    </tableColumn>
    <tableColumn id="40" xr3:uid="{BC98D754-A1BC-4707-A2FA-36D8B6B031F2}" name="21" dataDxfId="165">
      <calculatedColumnFormula array="1">IF(Table2614256789111213[[#This Row],[10]]="","",Table2614256789111213[[#This Row],[Weight]:[Weight]]-(Table2614256789111213[[#This Row],[Weight]:[Weight]]*((_xlfn.XMATCH(Table2614256789111213[[#This Row],[10]],Table2614256789111213[[#This Row],[1]:[11]],0))-1)/(COUNTA(Table2614256789111213[[#This Row],[1]:[11]])-COUNTBLANK(Table2614256789111213[[#This Row],[1]:[11]])-1)))</calculatedColumnFormula>
    </tableColumn>
    <tableColumn id="41" xr3:uid="{1BE93E3D-884E-40B5-8CE0-E863474E7AA1}" name="22" dataDxfId="164">
      <calculatedColumnFormula array="1">IF(Table2614256789111213[[#This Row],[11]]="","",Table2614256789111213[[#This Row],[Weight]:[Weight]]-(Table2614256789111213[[#This Row],[Weight]:[Weight]]*((_xlfn.XMATCH(Table2614256789111213[[#This Row],[11]],Table2614256789111213[[#This Row],[1]:[11]],0))-1)/(COUNTA(Table2614256789111213[[#This Row],[1]:[11]])-COUNTBLANK(Table2614256789111213[[#This Row],[1]:[11]])-1)))</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90750EC-F5DD-4B5C-98A3-887DD1843E32}" name="Table261425678911121316" displayName="Table261425678911121316" ref="A12:AI25" totalsRowShown="0" headerRowDxfId="162" dataDxfId="160" headerRowBorderDxfId="161" tableBorderDxfId="159" totalsRowBorderDxfId="158">
  <autoFilter ref="A12:AI25" xr:uid="{DBBFD16F-C697-4B03-8565-497D940E477E}"/>
  <tableColumns count="35">
    <tableColumn id="1" xr3:uid="{8325BA4E-5AEF-4A29-B348-BC57E393A040}" name="Item#" dataDxfId="157"/>
    <tableColumn id="2" xr3:uid="{E11CBBFD-C472-4AAB-BA36-3C0CD33625FD}" name="Business requirements" dataDxfId="156"/>
    <tableColumn id="3" xr3:uid="{14FCB39B-9A84-4859-977F-D7C4A65B7CB4}" name="Mandatory Returnables - This column lists the mandatory evidence to be provided by the vendor in the technical file and numbered to align with each criteria question." dataDxfId="155"/>
    <tableColumn id="4" xr3:uid="{EC2C5EC3-3E64-4810-A003-58CD34708C08}" name="Vendor Response: Vendor to indicate if, and to what extent they meet the requirement, detail must be provided in the tender submission" dataDxfId="154"/>
    <tableColumn id="5" xr3:uid="{A8561175-414B-4E2E-A8AA-FBBB031D4AD2}" name="Vendor Evidence: Location of Supporting Document/detailed response in your tender submission (state the file number, section &amp; page number)" dataDxfId="153"/>
    <tableColumn id="6" xr3:uid="{0B7688CC-764C-45AB-A518-386930898822}" name="Priority Description" dataDxfId="152"/>
    <tableColumn id="7" xr3:uid="{5579A5E7-EF9B-4BC9-B7BD-FD1A540E7E0A}" name="Priority" dataDxfId="151">
      <calculatedColumnFormula array="1">_xlfn.IFS(F13="","",F13="No interest",0,F13="Nice to have",1,F13="Useful",2,F13="Important",3,F13="Very important",4,F13="Critical",5,F13="Show stopper",6)</calculatedColumnFormula>
    </tableColumn>
    <tableColumn id="8" xr3:uid="{B0D7C163-541D-4F2A-BADB-57077484A73D}" name="Weight" dataDxfId="150" dataCellStyle="Percent">
      <calculatedColumnFormula>(G13/$G$11)*$F$11</calculatedColumnFormula>
    </tableColumn>
    <tableColumn id="9" xr3:uid="{F2326D02-6DBC-4F1B-8A75-3248DF0A046C}" name="Selection Options" dataDxfId="149"/>
    <tableColumn id="42" xr3:uid="{689E42CE-24B5-405F-BCDA-9BE25ECD37D2}" name="Option Score" dataDxfId="148">
      <calculatedColumnFormula array="1">_xlfn.TEXTJOIN(","&amp;CHAR(10),,TEXT(Table261425678911121316[[#This Row],[12]:[22]],"0,00%"))</calculatedColumnFormula>
    </tableColumn>
    <tableColumn id="11" xr3:uid="{0644D5D0-C364-4177-A696-3ABF8AAC6261}" name="Evaluators Response (SELECT)" dataDxfId="147"/>
    <tableColumn id="12" xr3:uid="{1A33A3C4-EA6E-4BB7-9F0E-AC0B52522FF1}" name="Score" dataDxfId="146">
      <calculatedColumnFormula>H13-(H13*((MATCH(Table261425678911121316[[#This Row],[Evaluators Response (SELECT)]],Table261425678911121316[[#This Row],[1]:[11]],0)-1)/(COUNTA(Table261425678911121316[[#This Row],[1]:[11]])-COUNTBLANK(Table261425678911121316[[#This Row],[1]:[11]])-1)))</calculatedColumnFormula>
    </tableColumn>
    <tableColumn id="13" xr3:uid="{ED65F58B-ADC7-44D3-9EB6-19A2597CDCED}" name="Evaluator comments" dataDxfId="145"/>
    <tableColumn id="14" xr3:uid="{201CF31F-3862-455E-A51B-77A8F6AE327A}" name="1" dataDxfId="144">
      <calculatedColumnFormula array="1">IFERROR(INDEX(_xlfn.UNIQUE(TRIM(_xlfn.TEXTSPLIT(Table261425678911121316[[#This Row],[Selection Options]:[Selection Options]],","))),,N$11),"")</calculatedColumnFormula>
    </tableColumn>
    <tableColumn id="15" xr3:uid="{CB28ADA5-1F14-4CFF-A438-498A18E804AF}" name="2" dataDxfId="143">
      <calculatedColumnFormula array="1">IFERROR(INDEX(_xlfn.UNIQUE(TRIM(_xlfn.TEXTSPLIT(Table261425678911121316[[#This Row],[Selection Options]:[Selection Options]],","))),,O$11),"")</calculatedColumnFormula>
    </tableColumn>
    <tableColumn id="16" xr3:uid="{554AACF6-9C5B-4EE4-97B8-E12D741425CB}" name="3" dataDxfId="142">
      <calculatedColumnFormula array="1">IFERROR(INDEX(_xlfn.UNIQUE(TRIM(_xlfn.TEXTSPLIT(Table261425678911121316[[#This Row],[Selection Options]:[Selection Options]],","))),,P$11),"")</calculatedColumnFormula>
    </tableColumn>
    <tableColumn id="17" xr3:uid="{817F2321-3C27-4AED-A523-B8E0FD18E09D}" name="4" dataDxfId="141">
      <calculatedColumnFormula array="1">IFERROR(INDEX(_xlfn.UNIQUE(TRIM(_xlfn.TEXTSPLIT(Table261425678911121316[[#This Row],[Selection Options]:[Selection Options]],","))),,Q$11),"")</calculatedColumnFormula>
    </tableColumn>
    <tableColumn id="18" xr3:uid="{FF2D5EBA-3A73-47B7-A4EA-77023117EE34}" name="5" dataDxfId="140">
      <calculatedColumnFormula array="1">IFERROR(INDEX(_xlfn.UNIQUE(TRIM(_xlfn.TEXTSPLIT(Table261425678911121316[[#This Row],[Selection Options]:[Selection Options]],","))),,R$11),"")</calculatedColumnFormula>
    </tableColumn>
    <tableColumn id="25" xr3:uid="{B0DEB8EE-7780-44A7-A8E9-659513654184}" name="6" dataDxfId="139">
      <calculatedColumnFormula array="1">IFERROR(INDEX(_xlfn.UNIQUE(TRIM(_xlfn.TEXTSPLIT(Table261425678911121316[[#This Row],[Selection Options]:[Selection Options]],","))),,S$11),"")</calculatedColumnFormula>
    </tableColumn>
    <tableColumn id="26" xr3:uid="{658A4764-4439-42E6-8E34-6B9E258215DA}" name="7" dataDxfId="138">
      <calculatedColumnFormula array="1">IFERROR(INDEX(_xlfn.UNIQUE(TRIM(_xlfn.TEXTSPLIT(Table261425678911121316[[#This Row],[Selection Options]:[Selection Options]],","))),,T$11),"")</calculatedColumnFormula>
    </tableColumn>
    <tableColumn id="27" xr3:uid="{6FF78F71-701A-4181-95DA-96396344C010}" name="8" dataDxfId="137">
      <calculatedColumnFormula array="1">IFERROR(INDEX(_xlfn.UNIQUE(TRIM(_xlfn.TEXTSPLIT(Table261425678911121316[[#This Row],[Selection Options]:[Selection Options]],","))),,U$11),"")</calculatedColumnFormula>
    </tableColumn>
    <tableColumn id="28" xr3:uid="{9A059BC3-A94E-480C-8BAE-B64844677020}" name="9" dataDxfId="136">
      <calculatedColumnFormula array="1">IFERROR(INDEX(_xlfn.UNIQUE(TRIM(_xlfn.TEXTSPLIT(Table261425678911121316[[#This Row],[Selection Options]:[Selection Options]],","))),,V$11),"")</calculatedColumnFormula>
    </tableColumn>
    <tableColumn id="29" xr3:uid="{AF4C787C-E091-44BA-BAC1-A3EFA2F37409}" name="10" dataDxfId="135">
      <calculatedColumnFormula array="1">IFERROR(INDEX(_xlfn.UNIQUE(TRIM(_xlfn.TEXTSPLIT(Table261425678911121316[[#This Row],[Selection Options]:[Selection Options]],","))),,W$11),"")</calculatedColumnFormula>
    </tableColumn>
    <tableColumn id="30" xr3:uid="{0367F934-E7D5-4A3E-802D-5C024DC6328B}" name="11" dataDxfId="134">
      <calculatedColumnFormula array="1">IFERROR(INDEX(_xlfn.UNIQUE(TRIM(_xlfn.TEXTSPLIT(Table261425678911121316[[#This Row],[Selection Options]:[Selection Options]],","))),,X$11),"")</calculatedColumnFormula>
    </tableColumn>
    <tableColumn id="31" xr3:uid="{1154024D-F19A-4618-8DA4-A213D9258E92}" name="12" dataDxfId="133">
      <calculatedColumnFormula array="1">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calculatedColumnFormula>
    </tableColumn>
    <tableColumn id="32" xr3:uid="{64E070C8-8EA5-4925-9D83-0F77C844FC13}" name="13" dataDxfId="132">
      <calculatedColumnFormula array="1">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calculatedColumnFormula>
    </tableColumn>
    <tableColumn id="33" xr3:uid="{FAAFAAE6-A7A2-474E-8D5C-E1F30F101F59}" name="14" dataDxfId="131">
      <calculatedColumnFormula array="1">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calculatedColumnFormula>
    </tableColumn>
    <tableColumn id="34" xr3:uid="{B15CE737-F6BE-41AE-B78D-88B04274A4C0}" name="15" dataDxfId="130">
      <calculatedColumnFormula array="1">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calculatedColumnFormula>
    </tableColumn>
    <tableColumn id="35" xr3:uid="{579D236E-533D-4EFF-AE3D-3EB75C95AD16}" name="16" dataDxfId="129">
      <calculatedColumnFormula array="1">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calculatedColumnFormula>
    </tableColumn>
    <tableColumn id="36" xr3:uid="{253B5B83-E057-4CF6-9BA3-DC5F5DE559DC}" name="17" dataDxfId="128">
      <calculatedColumnFormula array="1">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calculatedColumnFormula>
    </tableColumn>
    <tableColumn id="37" xr3:uid="{094B3FC6-04C0-452A-9F60-702D61877792}" name="18" dataDxfId="127">
      <calculatedColumnFormula array="1">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calculatedColumnFormula>
    </tableColumn>
    <tableColumn id="38" xr3:uid="{046F5736-1D39-40EC-82F7-B8D3D9D4CE13}" name="19" dataDxfId="126">
      <calculatedColumnFormula array="1">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calculatedColumnFormula>
    </tableColumn>
    <tableColumn id="39" xr3:uid="{3DC98BB2-BBDB-4EDC-8CA2-0544096351B6}" name="20" dataDxfId="125">
      <calculatedColumnFormula array="1">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calculatedColumnFormula>
    </tableColumn>
    <tableColumn id="40" xr3:uid="{47D49B5D-F9DA-4E8D-A990-5F89749D7536}" name="21" dataDxfId="124">
      <calculatedColumnFormula array="1">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calculatedColumnFormula>
    </tableColumn>
    <tableColumn id="41" xr3:uid="{7FCC732B-AAA2-4AA8-97F1-8539B4DAF5EE}" name="22" dataDxfId="123">
      <calculatedColumnFormula array="1">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838EC55-5938-424D-8971-966E6D105A1E}" name="Table26142567891112131617" displayName="Table26142567891112131617" ref="A12:AI35" totalsRowShown="0" headerRowDxfId="121" dataDxfId="119" headerRowBorderDxfId="120" tableBorderDxfId="118" totalsRowBorderDxfId="117">
  <autoFilter ref="A12:AI35" xr:uid="{DBBFD16F-C697-4B03-8565-497D940E477E}"/>
  <tableColumns count="35">
    <tableColumn id="1" xr3:uid="{4B7574DD-A423-4652-B45E-8CDB5C0B2506}" name="Intem#" dataDxfId="116"/>
    <tableColumn id="2" xr3:uid="{2AEEDB2D-3471-4F0E-8AC1-CB5CEFF90A33}" name="Business requirements " dataDxfId="115"/>
    <tableColumn id="3" xr3:uid="{CDF426EF-D00F-47DA-841C-653817725093}" name="Mandatory Returnables - This colunm lists the mandotory evidence to be provided by the vendor in the technical file and numbered to align with each criteria question. " dataDxfId="114"/>
    <tableColumn id="4" xr3:uid="{5DA6B69C-E300-4936-BD9F-3E8B304B7763}" name="Vendor Response: Vendor to indicate if, and to what extent they meet the requirement, detail must be provided in the tender submission" dataDxfId="113"/>
    <tableColumn id="5" xr3:uid="{85B1AF12-255F-4F87-8538-16AD7EA8F64F}" name="Vendor Evidence: Location of Supporting Document/detailed response in your tender submission (state the file number, section &amp; page number)" dataDxfId="112"/>
    <tableColumn id="6" xr3:uid="{24BC6306-70B9-4800-AC29-B129024AD737}" name="Priority Description" dataDxfId="111"/>
    <tableColumn id="7" xr3:uid="{78DD685E-303A-402A-9784-711D89F679FA}" name="Priority" dataDxfId="110">
      <calculatedColumnFormula array="1">_xlfn.IFS(F13="","",F13="No interest",0,F13="Nice to have",1,F13="Useful",2,F13="Important",3,F13="Very important",4,F13="Critical",5,F13="Show stopper",6)</calculatedColumnFormula>
    </tableColumn>
    <tableColumn id="8" xr3:uid="{434FA841-967F-4D37-9014-7D1EAE0BD3BB}" name="Weight" dataDxfId="109" dataCellStyle="Percent">
      <calculatedColumnFormula>(G13/$G$11)*$F$11</calculatedColumnFormula>
    </tableColumn>
    <tableColumn id="9" xr3:uid="{07E4EFEC-B193-4019-A85B-17419B42BB9C}" name="Selection Options" dataDxfId="108"/>
    <tableColumn id="42" xr3:uid="{AA5120B9-FD9F-4702-94DF-895B4E1FA069}" name="Option Score" dataDxfId="107">
      <calculatedColumnFormula array="1">_xlfn.TEXTJOIN(","&amp;CHAR(10),,TEXT(Table26142567891112131617[[#This Row],[12]:[22]],"0,00%"))</calculatedColumnFormula>
    </tableColumn>
    <tableColumn id="11" xr3:uid="{0578DD72-6AD3-4259-8744-074C2C57AD17}" name="Evaluators Response (SELECT)" dataDxfId="106"/>
    <tableColumn id="12" xr3:uid="{7E348C39-16AA-4916-A2C4-409F4C4ABB18}" name="Score" dataDxfId="105">
      <calculatedColumnFormula>H13-(H13*((MATCH(Table26142567891112131617[[#This Row],[Evaluators Response (SELECT)]],Table26142567891112131617[[#This Row],[1]:[11]],0)-1)/(COUNTA(Table26142567891112131617[[#This Row],[1]:[11]])-COUNTBLANK(Table26142567891112131617[[#This Row],[1]:[11]])-1)))</calculatedColumnFormula>
    </tableColumn>
    <tableColumn id="13" xr3:uid="{5C87E66B-F22B-4520-8341-9DE834084B7A}" name="Evaluator comments" dataDxfId="104"/>
    <tableColumn id="14" xr3:uid="{2ADF8E33-9B54-4AA0-BFB1-93E2A8AE295D}" name="1" dataDxfId="103">
      <calculatedColumnFormula array="1">IFERROR(INDEX(_xlfn.UNIQUE(TRIM(_xlfn.TEXTSPLIT(Table26142567891112131617[[#This Row],[Selection Options]:[Selection Options]],","))),,N$11),"")</calculatedColumnFormula>
    </tableColumn>
    <tableColumn id="15" xr3:uid="{47A66578-8ED6-47F4-85D4-2B45136DD822}" name="2" dataDxfId="102">
      <calculatedColumnFormula array="1">IFERROR(INDEX(_xlfn.UNIQUE(TRIM(_xlfn.TEXTSPLIT(Table26142567891112131617[[#This Row],[Selection Options]:[Selection Options]],","))),,O$11),"")</calculatedColumnFormula>
    </tableColumn>
    <tableColumn id="16" xr3:uid="{39A9A381-5A55-4132-97C8-A20DE3900DAD}" name="3" dataDxfId="101">
      <calculatedColumnFormula array="1">IFERROR(INDEX(_xlfn.UNIQUE(TRIM(_xlfn.TEXTSPLIT(Table26142567891112131617[[#This Row],[Selection Options]:[Selection Options]],","))),,P$11),"")</calculatedColumnFormula>
    </tableColumn>
    <tableColumn id="17" xr3:uid="{3BF08029-AF10-43B3-99FD-638AD3EC5219}" name="4" dataDxfId="100">
      <calculatedColumnFormula array="1">IFERROR(INDEX(_xlfn.UNIQUE(TRIM(_xlfn.TEXTSPLIT(Table26142567891112131617[[#This Row],[Selection Options]:[Selection Options]],","))),,Q$11),"")</calculatedColumnFormula>
    </tableColumn>
    <tableColumn id="18" xr3:uid="{21DE6A9A-F662-4B8B-BD37-35AAB79CA52E}" name="5" dataDxfId="99">
      <calculatedColumnFormula array="1">IFERROR(INDEX(_xlfn.UNIQUE(TRIM(_xlfn.TEXTSPLIT(Table26142567891112131617[[#This Row],[Selection Options]:[Selection Options]],","))),,R$11),"")</calculatedColumnFormula>
    </tableColumn>
    <tableColumn id="25" xr3:uid="{560EBEFA-EBED-4E51-AE54-8DB39D442D40}" name="6" dataDxfId="98">
      <calculatedColumnFormula array="1">IFERROR(INDEX(_xlfn.UNIQUE(TRIM(_xlfn.TEXTSPLIT(Table26142567891112131617[[#This Row],[Selection Options]:[Selection Options]],","))),,S$11),"")</calculatedColumnFormula>
    </tableColumn>
    <tableColumn id="26" xr3:uid="{DC9E4134-B20E-440A-B4FA-E0C1066820A6}" name="7" dataDxfId="97">
      <calculatedColumnFormula array="1">IFERROR(INDEX(_xlfn.UNIQUE(TRIM(_xlfn.TEXTSPLIT(Table26142567891112131617[[#This Row],[Selection Options]:[Selection Options]],","))),,T$11),"")</calculatedColumnFormula>
    </tableColumn>
    <tableColumn id="27" xr3:uid="{374BEB8B-6443-475F-996E-2055D926213B}" name="8" dataDxfId="96">
      <calculatedColumnFormula array="1">IFERROR(INDEX(_xlfn.UNIQUE(TRIM(_xlfn.TEXTSPLIT(Table26142567891112131617[[#This Row],[Selection Options]:[Selection Options]],","))),,U$11),"")</calculatedColumnFormula>
    </tableColumn>
    <tableColumn id="28" xr3:uid="{A11758E3-39A4-4E7B-890B-E27D245EE5B2}" name="9" dataDxfId="95">
      <calculatedColumnFormula array="1">IFERROR(INDEX(_xlfn.UNIQUE(TRIM(_xlfn.TEXTSPLIT(Table26142567891112131617[[#This Row],[Selection Options]:[Selection Options]],","))),,V$11),"")</calculatedColumnFormula>
    </tableColumn>
    <tableColumn id="29" xr3:uid="{52D85F4A-BB64-4B54-8103-324132C0ABF6}" name="10" dataDxfId="94">
      <calculatedColumnFormula array="1">IFERROR(INDEX(_xlfn.UNIQUE(TRIM(_xlfn.TEXTSPLIT(Table26142567891112131617[[#This Row],[Selection Options]:[Selection Options]],","))),,W$11),"")</calculatedColumnFormula>
    </tableColumn>
    <tableColumn id="30" xr3:uid="{FA519FA5-5171-41BA-A30F-62C21DFCF5EA}" name="11" dataDxfId="93">
      <calculatedColumnFormula array="1">IFERROR(INDEX(_xlfn.UNIQUE(TRIM(_xlfn.TEXTSPLIT(Table26142567891112131617[[#This Row],[Selection Options]:[Selection Options]],","))),,X$11),"")</calculatedColumnFormula>
    </tableColumn>
    <tableColumn id="31" xr3:uid="{B8179348-0A7B-4C11-B7DB-13123A7F78F6}" name="12" dataDxfId="92">
      <calculatedColumnFormula array="1">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calculatedColumnFormula>
    </tableColumn>
    <tableColumn id="32" xr3:uid="{80CC6135-29E6-498A-A0B3-EA4A55DA3715}" name="13" dataDxfId="91">
      <calculatedColumnFormula array="1">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calculatedColumnFormula>
    </tableColumn>
    <tableColumn id="33" xr3:uid="{9670A326-2F42-495B-9097-3054118363BE}" name="14" dataDxfId="90">
      <calculatedColumnFormula array="1">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calculatedColumnFormula>
    </tableColumn>
    <tableColumn id="34" xr3:uid="{C3BDF1F3-36A5-4D0E-91B2-7F3E0DB5837E}" name="15" dataDxfId="89">
      <calculatedColumnFormula array="1">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calculatedColumnFormula>
    </tableColumn>
    <tableColumn id="35" xr3:uid="{012CA92D-6C74-4465-9553-21472D92C0BF}" name="16" dataDxfId="88">
      <calculatedColumnFormula array="1">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calculatedColumnFormula>
    </tableColumn>
    <tableColumn id="36" xr3:uid="{47705D9F-A26D-42F8-B023-BCBAB1ACB8CA}" name="17" dataDxfId="87">
      <calculatedColumnFormula array="1">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calculatedColumnFormula>
    </tableColumn>
    <tableColumn id="37" xr3:uid="{C7AC49F5-794C-41A4-8D16-8C65908C94F9}" name="18" dataDxfId="86">
      <calculatedColumnFormula array="1">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calculatedColumnFormula>
    </tableColumn>
    <tableColumn id="38" xr3:uid="{3EE967A0-55F0-419A-B091-F6A07CA9A388}" name="19" dataDxfId="85">
      <calculatedColumnFormula array="1">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calculatedColumnFormula>
    </tableColumn>
    <tableColumn id="39" xr3:uid="{46F1BB53-2014-48E8-BC6A-A1586F69CA1A}" name="20" dataDxfId="84">
      <calculatedColumnFormula array="1">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calculatedColumnFormula>
    </tableColumn>
    <tableColumn id="40" xr3:uid="{A1928E61-26A2-456F-9F87-C6ED7A2EBA05}" name="21" dataDxfId="83">
      <calculatedColumnFormula array="1">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calculatedColumnFormula>
    </tableColumn>
    <tableColumn id="41" xr3:uid="{8388FB7A-1EC6-4CBE-870E-D63735CDDCBF}" name="22" dataDxfId="82">
      <calculatedColumnFormula array="1">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ACDDC32-D2C2-4A28-BCD1-38E3F7B1068E}" name="Table2614256789111213161718" displayName="Table2614256789111213161718" ref="A12:AI36" totalsRowShown="0" headerRowDxfId="80" dataDxfId="78" headerRowBorderDxfId="79" tableBorderDxfId="77" totalsRowBorderDxfId="76">
  <autoFilter ref="A12:AI36" xr:uid="{DBBFD16F-C697-4B03-8565-497D940E477E}"/>
  <tableColumns count="35">
    <tableColumn id="1" xr3:uid="{78F19221-9983-4145-B863-AEA2257E245E}" name="Item#" dataDxfId="75"/>
    <tableColumn id="2" xr3:uid="{74DEFC4A-F851-44A9-91E6-57C4789D659E}" name="Business requirements " dataDxfId="74"/>
    <tableColumn id="3" xr3:uid="{2792419A-F249-4CCF-9757-EFF615BCEFEF}" name="Mandatory Returnables - This column lists the mandatory evidence to be provided by the vendor in the technical file and numbered to align with each criteria question. " dataDxfId="73"/>
    <tableColumn id="4" xr3:uid="{0B46343C-F069-4CD0-BA00-288105EE8D62}" name="Vendor Response: Vendor to indicate if, and to what extent they meet the requirement, detail must be provided in the tender submission" dataDxfId="72"/>
    <tableColumn id="5" xr3:uid="{FA5D144C-30AD-4697-B40B-86932F6E7DC6}" name="Vendor Evidence: Location of Supporting Document/detailed response in your tender submission (state the file number, section &amp; page number)" dataDxfId="71"/>
    <tableColumn id="6" xr3:uid="{6F055870-856E-494D-A2FE-F24C3186AFFC}" name="Priority Description" dataDxfId="70"/>
    <tableColumn id="7" xr3:uid="{2D91E184-4C34-4B21-9F4C-78CFF109F61D}" name="Priority" dataDxfId="69">
      <calculatedColumnFormula array="1">_xlfn.IFS(F13="","",F13="No interest",0,F13="Nice to have",1,F13="Useful",2,F13="Important",3,F13="Very important",4,F13="Critical",5,F13="Show stopper",6)</calculatedColumnFormula>
    </tableColumn>
    <tableColumn id="8" xr3:uid="{16AECD79-B5EB-4C38-BC5B-97E070A3EC4F}" name="Weight" dataDxfId="68" dataCellStyle="Percent">
      <calculatedColumnFormula>(G13/$G$11)*$F$11</calculatedColumnFormula>
    </tableColumn>
    <tableColumn id="9" xr3:uid="{F1BF9A3C-2140-4223-835F-FC9E7B8BC890}" name="Selection Options" dataDxfId="67"/>
    <tableColumn id="42" xr3:uid="{2B6EE658-3F85-4D8F-8BD3-0CDCEC670490}" name="Option Score" dataDxfId="66">
      <calculatedColumnFormula array="1">_xlfn.TEXTJOIN(","&amp;CHAR(10),,TEXT(Table2614256789111213161718[[#This Row],[12]:[22]],"0,00%"))</calculatedColumnFormula>
    </tableColumn>
    <tableColumn id="11" xr3:uid="{90F56580-988D-41D0-837A-591884DC2050}" name="Evaluators Response (SELECT)" dataDxfId="65"/>
    <tableColumn id="12" xr3:uid="{BC045948-4BB7-4998-8C2D-BEF149252683}" name="Score" dataDxfId="64">
      <calculatedColumnFormula>H13-(H13*((MATCH(Table2614256789111213161718[[#This Row],[Evaluators Response (SELECT)]],Table2614256789111213161718[[#This Row],[1]:[11]],0)-1)/(COUNTA(Table2614256789111213161718[[#This Row],[1]:[11]])-COUNTBLANK(Table2614256789111213161718[[#This Row],[1]:[11]])-1)))</calculatedColumnFormula>
    </tableColumn>
    <tableColumn id="13" xr3:uid="{88F3FEB2-63F5-4E08-B60E-1A3F98E3D0FF}" name="Evaluator comments" dataDxfId="63"/>
    <tableColumn id="14" xr3:uid="{9FFF1AC5-B130-48F5-86DC-3087A86AB216}" name="1" dataDxfId="62">
      <calculatedColumnFormula array="1">IFERROR(INDEX(_xlfn.UNIQUE(TRIM(_xlfn.TEXTSPLIT(Table2614256789111213161718[[#This Row],[Selection Options]:[Selection Options]],","))),,N$11),"")</calculatedColumnFormula>
    </tableColumn>
    <tableColumn id="15" xr3:uid="{9FBB356E-BA8C-4D88-B2F7-29CA69FDA06D}" name="2" dataDxfId="61"/>
    <tableColumn id="16" xr3:uid="{2637CB9F-3853-41CB-A046-F662080AE617}" name="3" dataDxfId="60"/>
    <tableColumn id="17" xr3:uid="{52FFBA37-0012-4404-9F89-0E522BC3039E}" name="4" dataDxfId="59"/>
    <tableColumn id="18" xr3:uid="{E3A60A4D-8BAD-4B68-9D74-20191EE7B90E}" name="5" dataDxfId="58"/>
    <tableColumn id="25" xr3:uid="{B21BEBE6-E328-4DF5-A005-464F1C52886F}" name="6" dataDxfId="57"/>
    <tableColumn id="26" xr3:uid="{8334E293-4F2C-41DF-8731-09B2EDF98F49}" name="7" dataDxfId="56"/>
    <tableColumn id="27" xr3:uid="{D57258A7-DEE6-4198-A699-C5E84C06F0B5}" name="8" dataDxfId="55"/>
    <tableColumn id="28" xr3:uid="{FE6C2A75-7502-4E7B-8A06-484769EF74CA}" name="9" dataDxfId="54"/>
    <tableColumn id="29" xr3:uid="{A3D12320-ABEF-408F-8716-696376522F42}" name="10" dataDxfId="53"/>
    <tableColumn id="30" xr3:uid="{1BAD8D23-38A4-4D1B-AE62-5EC1A0D002B4}" name="11" dataDxfId="52"/>
    <tableColumn id="31" xr3:uid="{BBB05D35-16A6-469D-8507-9E09424B6903}" name="12" dataDxfId="51">
      <calculatedColumnFormula array="1">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calculatedColumnFormula>
    </tableColumn>
    <tableColumn id="32" xr3:uid="{517BE273-8755-44E8-AA03-65E8AB7BF332}" name="13" dataDxfId="50">
      <calculatedColumnFormula array="1">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calculatedColumnFormula>
    </tableColumn>
    <tableColumn id="33" xr3:uid="{DF6301AF-2654-424F-9F13-5FD3FDC49E4C}" name="14" dataDxfId="49">
      <calculatedColumnFormula array="1">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calculatedColumnFormula>
    </tableColumn>
    <tableColumn id="34" xr3:uid="{89959898-E558-4A6D-B784-9BFD00DE4AAB}" name="15" dataDxfId="48">
      <calculatedColumnFormula array="1">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calculatedColumnFormula>
    </tableColumn>
    <tableColumn id="35" xr3:uid="{214768AF-8CB4-4D0C-88F8-27E35736A8CA}" name="16" dataDxfId="47">
      <calculatedColumnFormula array="1">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calculatedColumnFormula>
    </tableColumn>
    <tableColumn id="36" xr3:uid="{CF9479EA-254F-43D1-A45B-A9282AB270BD}" name="17" dataDxfId="46">
      <calculatedColumnFormula array="1">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calculatedColumnFormula>
    </tableColumn>
    <tableColumn id="37" xr3:uid="{D94F775A-088D-435C-8811-095D25B4773A}" name="18" dataDxfId="45">
      <calculatedColumnFormula array="1">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calculatedColumnFormula>
    </tableColumn>
    <tableColumn id="38" xr3:uid="{67F31B54-3AF5-4E2A-BE98-8D627F1751CA}" name="19" dataDxfId="44">
      <calculatedColumnFormula array="1">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calculatedColumnFormula>
    </tableColumn>
    <tableColumn id="39" xr3:uid="{9713A255-30BF-4A35-B93D-9F9D192BA91F}" name="20" dataDxfId="43">
      <calculatedColumnFormula array="1">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calculatedColumnFormula>
    </tableColumn>
    <tableColumn id="40" xr3:uid="{06EFE1B7-B0B4-4416-9553-C0997CE62A96}" name="21" dataDxfId="42">
      <calculatedColumnFormula array="1">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calculatedColumnFormula>
    </tableColumn>
    <tableColumn id="41" xr3:uid="{4A52427D-1447-45E0-AAA5-81CD74031309}" name="22" dataDxfId="41">
      <calculatedColumnFormula array="1">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75ED2D92-5466-4F28-91C0-05CE53C80DF6}" name="Table21215" displayName="Table21215" ref="A12:AI239" totalsRowShown="0" headerRowDxfId="39" dataDxfId="37" headerRowBorderDxfId="38" tableBorderDxfId="36" totalsRowBorderDxfId="35">
  <autoFilter ref="A12:AI239" xr:uid="{DBBFD16F-C697-4B03-8565-497D940E477E}"/>
  <tableColumns count="35">
    <tableColumn id="1" xr3:uid="{5313F233-3B56-46B2-8865-1E41C6AD3F2A}" name="Item#" dataDxfId="34"/>
    <tableColumn id="2" xr3:uid="{91AF2984-332E-40B6-81DD-6FAC1B1B11F9}" name="Business requirements " dataDxfId="33"/>
    <tableColumn id="3" xr3:uid="{6A8FB504-7187-411B-B1AF-49BBB67B803A}" name="Mandatory Returnables - This column lists the mandatory evidence to be provided by the vendor in the technical file and numbered to align with each criteria question. " dataDxfId="32"/>
    <tableColumn id="4" xr3:uid="{70FD47D4-10E7-4201-8D3F-9CA1380A7AFC}" name="Vendor Response: Vendor to indicate if, and to what extent they meet the requirement, detail must be provided in the tender submission" dataDxfId="31"/>
    <tableColumn id="5" xr3:uid="{28E95642-6295-4FEA-81B1-69C0785ED2A5}" name="Vendor Evidence: Location of Supporting Document/detailed response in your tender submission (state the file number, section &amp; page number)" dataDxfId="30"/>
    <tableColumn id="6" xr3:uid="{E3F6C76C-8AB4-4E89-A426-4450FD3E40FE}" name="Priority Description" dataDxfId="29"/>
    <tableColumn id="7" xr3:uid="{9E3425D8-1371-4F84-B52B-3B76540A4343}" name="Priority" dataDxfId="28">
      <calculatedColumnFormula array="1">_xlfn.IFS(F13="","",F13="No interest",0,F13="Nice to have",1,F13="Useful",2,F13="Important",3,F13="Very important",4,F13="Critical",5,F13="Show stopper",6)</calculatedColumnFormula>
    </tableColumn>
    <tableColumn id="8" xr3:uid="{6DD5CF13-4354-4438-8379-E3DA5E916B79}" name="Weight" dataDxfId="27" dataCellStyle="Percent">
      <calculatedColumnFormula>(G13/$G$11)*$F$11</calculatedColumnFormula>
    </tableColumn>
    <tableColumn id="9" xr3:uid="{863620F7-F67C-4301-BA04-9429E5A32EE7}" name="Selection Options" dataDxfId="26"/>
    <tableColumn id="42" xr3:uid="{B1FB8039-B3E9-4F0C-BEE0-FA399E6AE170}" name="Option Score" dataDxfId="25">
      <calculatedColumnFormula array="1">_xlfn.TEXTJOIN(","&amp;CHAR(10),,TEXT(Table21215[[#This Row],[12]:[22]],"0,00%"))</calculatedColumnFormula>
    </tableColumn>
    <tableColumn id="11" xr3:uid="{9B2C8C84-93FF-4AB5-BD55-8A4917A9017F}" name="Evaluators Response (SELECT)" dataDxfId="24"/>
    <tableColumn id="12" xr3:uid="{8C9E7434-58B7-4D69-AAAF-D29E7E967428}" name="Score" dataDxfId="23">
      <calculatedColumnFormula>H13-(H13*((MATCH(Table21215[[#This Row],[Evaluators Response (SELECT)]],Table21215[[#This Row],[1]:[11]],0)-1)/(COUNTA(Table21215[[#This Row],[1]:[11]])-COUNTBLANK(Table21215[[#This Row],[1]:[11]])-1)))</calculatedColumnFormula>
    </tableColumn>
    <tableColumn id="13" xr3:uid="{84C6F925-FC19-49E7-BA3E-89396461E131}" name="Evaluator comments" dataDxfId="22"/>
    <tableColumn id="14" xr3:uid="{A5AC94D6-725A-47F0-8C43-BB6A05B3BDDD}" name="1" dataDxfId="21">
      <calculatedColumnFormula array="1">IFERROR(INDEX(_xlfn.UNIQUE(TRIM(_xlfn.TEXTSPLIT(Table21215[[#This Row],[Selection Options]:[Selection Options]],","))),,N$11),"")</calculatedColumnFormula>
    </tableColumn>
    <tableColumn id="15" xr3:uid="{D940EC66-C827-4B5D-B4BE-D5256ED4B763}" name="2" dataDxfId="20"/>
    <tableColumn id="16" xr3:uid="{EDD472D1-E0BB-46B4-8BE6-D5A06D7BEF7F}" name="3" dataDxfId="19"/>
    <tableColumn id="17" xr3:uid="{04A93F84-6203-48F8-A801-35222E596F40}" name="4" dataDxfId="18">
      <calculatedColumnFormula array="1">IFERROR(INDEX(_xlfn.UNIQUE(TRIM(_xlfn.TEXTSPLIT(Table21215[[#This Row],[Selection Options]:[Selection Options]],","))),,Q$11),"")</calculatedColumnFormula>
    </tableColumn>
    <tableColumn id="18" xr3:uid="{2DFE105E-F822-4D48-B321-6376119F4502}" name="5" dataDxfId="17">
      <calculatedColumnFormula array="1">IFERROR(INDEX(_xlfn.UNIQUE(TRIM(_xlfn.TEXTSPLIT(Table21215[[#This Row],[Selection Options]:[Selection Options]],","))),,R$11),"")</calculatedColumnFormula>
    </tableColumn>
    <tableColumn id="25" xr3:uid="{9674E2FF-9246-4A4D-91D6-4ACD35C3FAEC}" name="6" dataDxfId="16">
      <calculatedColumnFormula array="1">IFERROR(INDEX(_xlfn.UNIQUE(TRIM(_xlfn.TEXTSPLIT(Table21215[[#This Row],[Selection Options]:[Selection Options]],","))),,S$11),"")</calculatedColumnFormula>
    </tableColumn>
    <tableColumn id="26" xr3:uid="{D78740A0-AEBA-440E-A90F-10EC4E12682E}" name="7" dataDxfId="15">
      <calculatedColumnFormula array="1">IFERROR(INDEX(_xlfn.UNIQUE(TRIM(_xlfn.TEXTSPLIT(Table21215[[#This Row],[Selection Options]:[Selection Options]],","))),,T$11),"")</calculatedColumnFormula>
    </tableColumn>
    <tableColumn id="27" xr3:uid="{15D9F75C-1C4C-4820-A67B-82DEBF7CDC9D}" name="8" dataDxfId="14">
      <calculatedColumnFormula array="1">IFERROR(INDEX(_xlfn.UNIQUE(TRIM(_xlfn.TEXTSPLIT(Table21215[[#This Row],[Selection Options]:[Selection Options]],","))),,U$11),"")</calculatedColumnFormula>
    </tableColumn>
    <tableColumn id="28" xr3:uid="{1DC8DEEE-03EC-4A63-8106-EDD90DDFADC4}" name="9" dataDxfId="13">
      <calculatedColumnFormula array="1">IFERROR(INDEX(_xlfn.UNIQUE(TRIM(_xlfn.TEXTSPLIT(Table21215[[#This Row],[Selection Options]:[Selection Options]],","))),,V$11),"")</calculatedColumnFormula>
    </tableColumn>
    <tableColumn id="29" xr3:uid="{BB457757-FAF8-4878-8D80-1C358435DC70}" name="10" dataDxfId="12">
      <calculatedColumnFormula array="1">IFERROR(INDEX(_xlfn.UNIQUE(TRIM(_xlfn.TEXTSPLIT(Table21215[[#This Row],[Selection Options]:[Selection Options]],","))),,W$11),"")</calculatedColumnFormula>
    </tableColumn>
    <tableColumn id="30" xr3:uid="{A800D2E1-16C8-4254-9604-F98F0CBD4979}" name="11" dataDxfId="11">
      <calculatedColumnFormula array="1">IFERROR(INDEX(_xlfn.UNIQUE(TRIM(_xlfn.TEXTSPLIT(Table21215[[#This Row],[Selection Options]:[Selection Options]],","))),,X$11),"")</calculatedColumnFormula>
    </tableColumn>
    <tableColumn id="31" xr3:uid="{901B4F5D-7719-4C15-8BA8-70D47263FB17}" name="12" dataDxfId="10">
      <calculatedColumnFormula array="1">IF(Table21215[[#This Row],[1]]="","",Table21215[[#This Row],[Weight]:[Weight]]-(Table21215[[#This Row],[Weight]:[Weight]]*((_xlfn.XMATCH(Table21215[[#This Row],[1]],Table21215[[#This Row],[1]:[11]],0))-1)/(COUNTA(Table21215[[#This Row],[1]:[11]])-COUNTBLANK(Table21215[[#This Row],[1]:[11]])-1)))</calculatedColumnFormula>
    </tableColumn>
    <tableColumn id="32" xr3:uid="{21870CBE-22D0-4D29-8A2C-9F4EAB64AA6A}" name="13" dataDxfId="9">
      <calculatedColumnFormula array="1">IF(Table21215[[#This Row],[2]]="","",Table21215[[#This Row],[Weight]:[Weight]]-(Table21215[[#This Row],[Weight]:[Weight]]*((_xlfn.XMATCH(Table21215[[#This Row],[2]],Table21215[[#This Row],[1]:[11]],0))-1)/(COUNTA(Table21215[[#This Row],[1]:[11]])-COUNTBLANK(Table21215[[#This Row],[1]:[11]])-1)))</calculatedColumnFormula>
    </tableColumn>
    <tableColumn id="33" xr3:uid="{1BD7EA3A-08F7-4BC7-967C-A24F85ECE0EC}" name="14" dataDxfId="8">
      <calculatedColumnFormula array="1">IF(Table21215[[#This Row],[3]]="","",Table21215[[#This Row],[Weight]:[Weight]]-(Table21215[[#This Row],[Weight]:[Weight]]*((_xlfn.XMATCH(Table21215[[#This Row],[3]],Table21215[[#This Row],[1]:[11]],0))-1)/(COUNTA(Table21215[[#This Row],[1]:[11]])-COUNTBLANK(Table21215[[#This Row],[1]:[11]])-1)))</calculatedColumnFormula>
    </tableColumn>
    <tableColumn id="34" xr3:uid="{98DF0BC7-939A-4E6B-80B2-DC5F8B028E8C}" name="15" dataDxfId="7">
      <calculatedColumnFormula array="1">IF(Table21215[[#This Row],[4]]="","",Table21215[[#This Row],[Weight]:[Weight]]-(Table21215[[#This Row],[Weight]:[Weight]]*((_xlfn.XMATCH(Table21215[[#This Row],[4]],Table21215[[#This Row],[1]:[11]],0))-1)/(COUNTA(Table21215[[#This Row],[1]:[11]])-COUNTBLANK(Table21215[[#This Row],[1]:[11]])-1)))</calculatedColumnFormula>
    </tableColumn>
    <tableColumn id="35" xr3:uid="{8CDB119D-FA7A-4EA5-B432-5E501B81B72C}" name="16" dataDxfId="6">
      <calculatedColumnFormula array="1">IF(Table21215[[#This Row],[5]]="","",Table21215[[#This Row],[Weight]:[Weight]]-(Table21215[[#This Row],[Weight]:[Weight]]*((_xlfn.XMATCH(Table21215[[#This Row],[5]],Table21215[[#This Row],[1]:[11]],0))-1)/(COUNTA(Table21215[[#This Row],[1]:[11]])-COUNTBLANK(Table21215[[#This Row],[1]:[11]])-1)))</calculatedColumnFormula>
    </tableColumn>
    <tableColumn id="36" xr3:uid="{F8C5BFF0-DA47-4BF4-A5AD-6CB6101D74DB}" name="17" dataDxfId="5">
      <calculatedColumnFormula array="1">IF(Table21215[[#This Row],[6]]="","",Table21215[[#This Row],[Weight]:[Weight]]-(Table21215[[#This Row],[Weight]:[Weight]]*((_xlfn.XMATCH(Table21215[[#This Row],[6]],Table21215[[#This Row],[1]:[11]],0))-1)/(COUNTA(Table21215[[#This Row],[1]:[11]])-COUNTBLANK(Table21215[[#This Row],[1]:[11]])-1)))</calculatedColumnFormula>
    </tableColumn>
    <tableColumn id="37" xr3:uid="{D80FC197-AE79-4E6B-975F-2C1AEA46BD0F}" name="18" dataDxfId="4">
      <calculatedColumnFormula array="1">IF(Table21215[[#This Row],[7]]="","",Table21215[[#This Row],[Weight]:[Weight]]-(Table21215[[#This Row],[Weight]:[Weight]]*((_xlfn.XMATCH(Table21215[[#This Row],[7]],Table21215[[#This Row],[1]:[11]],0))-1)/(COUNTA(Table21215[[#This Row],[1]:[11]])-COUNTBLANK(Table21215[[#This Row],[1]:[11]])-1)))</calculatedColumnFormula>
    </tableColumn>
    <tableColumn id="38" xr3:uid="{44154103-E4E9-4394-AEFA-0443EBA248A2}" name="19" dataDxfId="3">
      <calculatedColumnFormula array="1">IF(Table21215[[#This Row],[8]]="","",Table21215[[#This Row],[Weight]:[Weight]]-(Table21215[[#This Row],[Weight]:[Weight]]*((_xlfn.XMATCH(Table21215[[#This Row],[8]],Table21215[[#This Row],[1]:[11]],0))-1)/(COUNTA(Table21215[[#This Row],[1]:[11]])-COUNTBLANK(Table21215[[#This Row],[1]:[11]])-1)))</calculatedColumnFormula>
    </tableColumn>
    <tableColumn id="39" xr3:uid="{9F8D13AC-89F1-4074-B6F0-083EB1F845C1}" name="20" dataDxfId="2">
      <calculatedColumnFormula array="1">IF(Table21215[[#This Row],[9]]="","",Table21215[[#This Row],[Weight]:[Weight]]-(Table21215[[#This Row],[Weight]:[Weight]]*((_xlfn.XMATCH(Table21215[[#This Row],[9]],Table21215[[#This Row],[1]:[11]],0))-1)/(COUNTA(Table21215[[#This Row],[1]:[11]])-COUNTBLANK(Table21215[[#This Row],[1]:[11]])-1)))</calculatedColumnFormula>
    </tableColumn>
    <tableColumn id="40" xr3:uid="{B7A0EDE7-C783-4D2B-9D6E-95E233E1BCA3}" name="21" dataDxfId="1">
      <calculatedColumnFormula array="1">IF(Table21215[[#This Row],[10]]="","",Table21215[[#This Row],[Weight]:[Weight]]-(Table21215[[#This Row],[Weight]:[Weight]]*((_xlfn.XMATCH(Table21215[[#This Row],[10]],Table21215[[#This Row],[1]:[11]],0))-1)/(COUNTA(Table21215[[#This Row],[1]:[11]])-COUNTBLANK(Table21215[[#This Row],[1]:[11]])-1)))</calculatedColumnFormula>
    </tableColumn>
    <tableColumn id="41" xr3:uid="{A36E970E-9B8B-46A0-94CC-1F747F2A6FE4}" name="22" dataDxfId="0">
      <calculatedColumnFormula array="1">IF(Table21215[[#This Row],[11]]="","",Table21215[[#This Row],[Weight]:[Weight]]-(Table21215[[#This Row],[Weight]:[Weight]]*((_xlfn.XMATCH(Table21215[[#This Row],[11]],Table21215[[#This Row],[1]:[11]],0))-1)/(COUNTA(Table21215[[#This Row],[1]:[11]])-COUNTBLANK(Table21215[[#This Row],[1]:[11]])-1)))</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C13" dT="2024-05-24T12:07:36.37" personId="{738B746C-4C09-445C-B8FE-621602696C31}" id="{6EDE6644-28CA-4380-8D66-541E8BD7226B}">
    <text xml:space="preserve">The Business Requirement Specification document usually contains statements using business or plain English terminology. </text>
  </threadedComment>
  <threadedComment ref="C15" dT="2024-05-24T12:08:39.14" personId="{738B746C-4C09-445C-B8FE-621602696C31}" id="{A7A9781F-8B9E-44C3-BBED-9270FFF55B72}">
    <text xml:space="preserve">The logical design document contains a Functional Decomposition Model which has translated the BRS statements into more usable functional statements for purposes of evaluation </text>
  </threadedComment>
</ThreadedComments>
</file>

<file path=xl/threadedComments/threadedComment2.xml><?xml version="1.0" encoding="utf-8"?>
<ThreadedComments xmlns="http://schemas.microsoft.com/office/spreadsheetml/2018/threadedcomments" xmlns:x="http://schemas.openxmlformats.org/spreadsheetml/2006/main">
  <threadedComment ref="B5" dT="2025-09-09T08:47:04.06" personId="{17A53FD9-CB89-4A20-8193-A7F473CCCA61}" id="{770B0815-E62C-4199-A7A0-9056B1518023}">
    <text xml:space="preserve">There is no tab for Architecture indicated on this technical evaluation Guide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omments" Target="../comments4.xml"/><Relationship Id="rId4" Type="http://schemas.openxmlformats.org/officeDocument/2006/relationships/table" Target="../tables/table2.xml"/></Relationships>
</file>

<file path=xl/worksheets/_rels/sheet8.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58DDD-83BE-4352-B657-9676103E5FE7}">
  <sheetPr>
    <pageSetUpPr fitToPage="1"/>
  </sheetPr>
  <dimension ref="A2:AI25"/>
  <sheetViews>
    <sheetView topLeftCell="A20" zoomScale="71" zoomScaleNormal="90" workbookViewId="0">
      <selection activeCell="C20" sqref="C20"/>
    </sheetView>
  </sheetViews>
  <sheetFormatPr defaultColWidth="13.140625" defaultRowHeight="11.25" x14ac:dyDescent="0.2"/>
  <cols>
    <col min="1" max="1" width="13.140625" style="44"/>
    <col min="2" max="5" width="30.42578125" style="49" customWidth="1"/>
    <col min="6" max="6" width="31.140625" style="49" customWidth="1"/>
    <col min="7" max="7" width="15" style="49" customWidth="1"/>
    <col min="8" max="8" width="13.140625" style="49"/>
    <col min="9" max="9" width="25.28515625" style="50" customWidth="1"/>
    <col min="10" max="10" width="20.42578125" style="51" customWidth="1"/>
    <col min="11" max="11" width="44.28515625" style="45" customWidth="1"/>
    <col min="12" max="12" width="13.140625" style="46"/>
    <col min="13" max="13" width="29.7109375" style="47" customWidth="1"/>
    <col min="14" max="35" width="0" style="46" hidden="1" customWidth="1"/>
    <col min="36" max="16384" width="13.140625" style="46"/>
  </cols>
  <sheetData>
    <row r="2" spans="1:13" ht="36" customHeight="1" x14ac:dyDescent="0.2">
      <c r="B2" s="357" t="s">
        <v>0</v>
      </c>
      <c r="C2" s="357"/>
      <c r="D2" s="357"/>
      <c r="E2" s="357"/>
      <c r="F2" s="357"/>
      <c r="G2" s="357"/>
      <c r="H2" s="357"/>
      <c r="I2" s="357"/>
      <c r="J2" s="357"/>
    </row>
    <row r="3" spans="1:13" ht="22.35" customHeight="1" x14ac:dyDescent="0.2">
      <c r="A3" s="348" t="s">
        <v>1</v>
      </c>
      <c r="B3" s="348"/>
      <c r="C3" s="348"/>
      <c r="D3" s="348"/>
      <c r="E3" s="348"/>
      <c r="F3" s="348"/>
      <c r="G3" s="348"/>
      <c r="H3" s="348"/>
      <c r="I3" s="348"/>
      <c r="J3" s="348"/>
    </row>
    <row r="4" spans="1:13" ht="69" customHeight="1" x14ac:dyDescent="0.2">
      <c r="B4" s="358" t="s">
        <v>2</v>
      </c>
      <c r="C4" s="357"/>
      <c r="D4" s="357"/>
      <c r="E4" s="357"/>
      <c r="F4" s="357"/>
      <c r="G4" s="357"/>
      <c r="H4" s="357"/>
      <c r="I4" s="357"/>
      <c r="J4" s="357"/>
    </row>
    <row r="5" spans="1:13" ht="6" customHeight="1" x14ac:dyDescent="0.2">
      <c r="B5" s="138"/>
      <c r="C5" s="137"/>
      <c r="D5" s="137"/>
      <c r="E5" s="137"/>
      <c r="F5" s="137"/>
      <c r="G5" s="137"/>
      <c r="H5" s="137"/>
      <c r="I5" s="137"/>
      <c r="J5" s="137"/>
    </row>
    <row r="6" spans="1:13" ht="25.35" customHeight="1" x14ac:dyDescent="0.2">
      <c r="A6" s="348" t="s">
        <v>3</v>
      </c>
      <c r="B6" s="348"/>
      <c r="C6" s="348"/>
      <c r="D6" s="348"/>
      <c r="E6" s="348"/>
      <c r="F6" s="348"/>
      <c r="G6" s="348"/>
      <c r="H6" s="348"/>
      <c r="I6" s="348"/>
      <c r="J6" s="348"/>
    </row>
    <row r="7" spans="1:13" ht="91.7" customHeight="1" x14ac:dyDescent="0.2">
      <c r="B7" s="358" t="s">
        <v>4</v>
      </c>
      <c r="C7" s="357"/>
      <c r="D7" s="357"/>
      <c r="E7" s="357"/>
      <c r="F7" s="357"/>
      <c r="G7" s="357"/>
      <c r="H7" s="357"/>
      <c r="I7" s="357"/>
      <c r="J7" s="357"/>
    </row>
    <row r="8" spans="1:13" ht="11.45" customHeight="1" x14ac:dyDescent="0.2">
      <c r="B8" s="137"/>
      <c r="C8" s="137"/>
      <c r="D8" s="137"/>
      <c r="E8" s="137"/>
      <c r="F8" s="137"/>
      <c r="G8" s="137"/>
      <c r="H8" s="137"/>
      <c r="I8" s="137"/>
      <c r="J8" s="137"/>
    </row>
    <row r="9" spans="1:13" ht="20.45" customHeight="1" x14ac:dyDescent="0.2">
      <c r="A9" s="348" t="s">
        <v>5</v>
      </c>
      <c r="B9" s="348"/>
      <c r="C9" s="348"/>
      <c r="D9" s="348"/>
      <c r="E9" s="348"/>
      <c r="F9" s="348"/>
      <c r="G9" s="348"/>
      <c r="H9" s="348"/>
      <c r="I9" s="348"/>
      <c r="J9" s="348"/>
    </row>
    <row r="10" spans="1:13" ht="15.75" x14ac:dyDescent="0.25">
      <c r="B10" s="349" t="s">
        <v>6</v>
      </c>
      <c r="C10" s="349"/>
      <c r="D10" s="349"/>
      <c r="E10" s="349"/>
      <c r="F10" s="349"/>
      <c r="G10" s="349"/>
      <c r="H10" s="349"/>
      <c r="I10" s="349"/>
      <c r="J10" s="349"/>
      <c r="K10" s="140"/>
      <c r="L10" s="140"/>
      <c r="M10" s="140"/>
    </row>
    <row r="11" spans="1:13" ht="12" customHeight="1" x14ac:dyDescent="0.2">
      <c r="B11" s="48" t="s">
        <v>7</v>
      </c>
    </row>
    <row r="12" spans="1:13" ht="12" customHeight="1" x14ac:dyDescent="0.2">
      <c r="B12" s="52"/>
    </row>
    <row r="13" spans="1:13" ht="45" x14ac:dyDescent="0.2">
      <c r="B13" s="53" t="s">
        <v>8</v>
      </c>
      <c r="C13" s="54" t="s">
        <v>9</v>
      </c>
      <c r="E13" s="55" t="s">
        <v>10</v>
      </c>
    </row>
    <row r="14" spans="1:13" x14ac:dyDescent="0.2">
      <c r="B14" s="53"/>
      <c r="C14" s="53"/>
      <c r="D14" s="56"/>
      <c r="E14" s="51"/>
      <c r="F14" s="56"/>
      <c r="G14" s="56"/>
      <c r="H14" s="56"/>
    </row>
    <row r="15" spans="1:13" ht="67.5" x14ac:dyDescent="0.2">
      <c r="B15" s="57" t="s">
        <v>11</v>
      </c>
      <c r="C15" s="54" t="s">
        <v>12</v>
      </c>
      <c r="E15" s="55" t="s">
        <v>13</v>
      </c>
    </row>
    <row r="16" spans="1:13" x14ac:dyDescent="0.2">
      <c r="B16" s="56"/>
      <c r="C16" s="56"/>
      <c r="D16" s="56"/>
      <c r="E16" s="56"/>
      <c r="F16" s="56"/>
      <c r="G16" s="56"/>
      <c r="H16" s="56"/>
    </row>
    <row r="17" spans="1:35" s="6" customFormat="1" ht="15" customHeight="1" x14ac:dyDescent="0.2">
      <c r="A17" s="350"/>
      <c r="B17" s="352" t="s">
        <v>14</v>
      </c>
      <c r="C17" s="352"/>
      <c r="D17" s="354" t="s">
        <v>15</v>
      </c>
      <c r="E17" s="355"/>
      <c r="F17" s="1" t="s">
        <v>16</v>
      </c>
      <c r="G17" s="2"/>
      <c r="H17" s="3"/>
      <c r="I17" s="3"/>
      <c r="J17" s="3"/>
      <c r="K17" s="3"/>
      <c r="L17" s="4"/>
      <c r="M17" s="5"/>
      <c r="N17" s="4"/>
      <c r="O17" s="4"/>
      <c r="P17" s="4"/>
      <c r="Q17" s="4"/>
      <c r="R17" s="4"/>
      <c r="S17" s="4"/>
      <c r="T17" s="4"/>
      <c r="U17" s="4"/>
      <c r="V17" s="4"/>
      <c r="W17" s="4"/>
      <c r="X17" s="4"/>
      <c r="Y17" s="4"/>
      <c r="Z17" s="4"/>
      <c r="AA17" s="4"/>
      <c r="AB17" s="4"/>
      <c r="AC17" s="4"/>
      <c r="AD17" s="4"/>
      <c r="AE17" s="4"/>
      <c r="AF17" s="4"/>
      <c r="AG17" s="4"/>
      <c r="AH17" s="4"/>
      <c r="AI17" s="4"/>
    </row>
    <row r="18" spans="1:35" s="6" customFormat="1" ht="12" x14ac:dyDescent="0.2">
      <c r="A18" s="351"/>
      <c r="B18" s="353"/>
      <c r="C18" s="353"/>
      <c r="D18" s="356"/>
      <c r="E18" s="356"/>
      <c r="F18" s="42">
        <v>0.2</v>
      </c>
      <c r="G18" s="43">
        <f>SUM(Table9[Priority])</f>
        <v>9</v>
      </c>
      <c r="H18" s="8">
        <f>SUM(Table9[Weight])</f>
        <v>0.2</v>
      </c>
      <c r="I18" s="7"/>
      <c r="J18" s="7"/>
      <c r="K18" s="9" t="s">
        <v>17</v>
      </c>
      <c r="L18" s="8" t="e">
        <f>SUM(#REF!)</f>
        <v>#REF!</v>
      </c>
      <c r="M18" s="7"/>
      <c r="N18" s="10">
        <v>1</v>
      </c>
      <c r="O18" s="10">
        <v>2</v>
      </c>
      <c r="P18" s="10">
        <v>3</v>
      </c>
      <c r="Q18" s="10">
        <v>4</v>
      </c>
      <c r="R18" s="10">
        <v>5</v>
      </c>
      <c r="S18" s="10">
        <v>6</v>
      </c>
      <c r="T18" s="10">
        <v>7</v>
      </c>
      <c r="U18" s="10">
        <v>8</v>
      </c>
      <c r="V18" s="10">
        <v>9</v>
      </c>
      <c r="W18" s="10">
        <v>10</v>
      </c>
      <c r="X18" s="10">
        <v>11</v>
      </c>
      <c r="Y18" s="10">
        <v>12</v>
      </c>
      <c r="Z18" s="10">
        <v>13</v>
      </c>
      <c r="AA18" s="10">
        <v>14</v>
      </c>
      <c r="AB18" s="10">
        <v>15</v>
      </c>
      <c r="AC18" s="10">
        <v>16</v>
      </c>
      <c r="AD18" s="10">
        <v>17</v>
      </c>
      <c r="AE18" s="10">
        <v>18</v>
      </c>
      <c r="AF18" s="10">
        <v>19</v>
      </c>
      <c r="AG18" s="10">
        <v>20</v>
      </c>
      <c r="AH18" s="10">
        <v>21</v>
      </c>
      <c r="AI18" s="10">
        <v>22</v>
      </c>
    </row>
    <row r="19" spans="1:35" s="6" customFormat="1" ht="60" x14ac:dyDescent="0.2">
      <c r="A19" s="11" t="s">
        <v>18</v>
      </c>
      <c r="B19" s="12" t="s">
        <v>19</v>
      </c>
      <c r="C19" s="13" t="s">
        <v>20</v>
      </c>
      <c r="D19" s="14" t="s">
        <v>21</v>
      </c>
      <c r="E19" s="14" t="s">
        <v>22</v>
      </c>
      <c r="F19" s="15" t="s">
        <v>23</v>
      </c>
      <c r="G19" s="16" t="s">
        <v>24</v>
      </c>
      <c r="H19" s="16" t="s">
        <v>25</v>
      </c>
      <c r="I19" s="15" t="s">
        <v>26</v>
      </c>
      <c r="J19" s="16" t="s">
        <v>27</v>
      </c>
      <c r="K19" s="15" t="s">
        <v>28</v>
      </c>
      <c r="L19" s="17" t="s">
        <v>29</v>
      </c>
      <c r="M19" s="15" t="s">
        <v>30</v>
      </c>
      <c r="N19" s="18" t="s">
        <v>31</v>
      </c>
      <c r="O19" s="18" t="s">
        <v>32</v>
      </c>
      <c r="P19" s="18" t="s">
        <v>33</v>
      </c>
      <c r="Q19" s="18" t="s">
        <v>34</v>
      </c>
      <c r="R19" s="18" t="s">
        <v>35</v>
      </c>
      <c r="S19" s="18" t="s">
        <v>36</v>
      </c>
      <c r="T19" s="18" t="s">
        <v>37</v>
      </c>
      <c r="U19" s="18" t="s">
        <v>38</v>
      </c>
      <c r="V19" s="18" t="s">
        <v>39</v>
      </c>
      <c r="W19" s="18" t="s">
        <v>40</v>
      </c>
      <c r="X19" s="18" t="s">
        <v>41</v>
      </c>
      <c r="Y19" s="19" t="s">
        <v>42</v>
      </c>
      <c r="Z19" s="19" t="s">
        <v>43</v>
      </c>
      <c r="AA19" s="19" t="s">
        <v>44</v>
      </c>
      <c r="AB19" s="19" t="s">
        <v>45</v>
      </c>
      <c r="AC19" s="19" t="s">
        <v>46</v>
      </c>
      <c r="AD19" s="19" t="s">
        <v>47</v>
      </c>
      <c r="AE19" s="19" t="s">
        <v>48</v>
      </c>
      <c r="AF19" s="19" t="s">
        <v>49</v>
      </c>
      <c r="AG19" s="19" t="s">
        <v>50</v>
      </c>
      <c r="AH19" s="19" t="s">
        <v>51</v>
      </c>
      <c r="AI19" s="86" t="s">
        <v>52</v>
      </c>
    </row>
    <row r="20" spans="1:35" s="6" customFormat="1" ht="147.94999999999999" customHeight="1" x14ac:dyDescent="0.2">
      <c r="A20" s="87">
        <v>1</v>
      </c>
      <c r="B20" s="21" t="s">
        <v>53</v>
      </c>
      <c r="C20" s="21" t="s">
        <v>54</v>
      </c>
      <c r="D20" s="21"/>
      <c r="E20" s="21" t="s">
        <v>55</v>
      </c>
      <c r="F20" s="22" t="s">
        <v>56</v>
      </c>
      <c r="G20" s="23" cm="1">
        <f t="array" ref="G20">_xlfn.IFS(F20="","",F20="No interest",0,F20="Nice to have",1,F20="Useful",2,F20="Important",3,F20="Very important",4,F20="Critical",5,F20="Show stopper",6)</f>
        <v>3</v>
      </c>
      <c r="H20" s="24">
        <f t="shared" ref="H20:H21" si="0">(G20/$G$18)*$F$18</f>
        <v>6.6666666666666666E-2</v>
      </c>
      <c r="I20" s="25" t="s">
        <v>57</v>
      </c>
      <c r="J20" s="25" t="str" cm="1">
        <f t="array" ref="J20">_xlfn.TEXTJOIN(","&amp;CHAR(10),,TEXT(Table9[[#This Row],[12]:[22]],"0,00%"))</f>
        <v>6,67%,
0,00%</v>
      </c>
      <c r="K20" s="26" t="s">
        <v>58</v>
      </c>
      <c r="L20" s="27" t="e">
        <f>H20-(H20*((MATCH(#REF!,#REF!,0)-1)/(COUNTA(#REF!)-COUNTBLANK(#REF!)-1)))</f>
        <v>#REF!</v>
      </c>
      <c r="M20" s="28"/>
      <c r="N20" s="39" t="str" cm="1">
        <f t="array" ref="N20">IFERROR(INDEX(_xlfn.UNIQUE(TRIM(_xlfn.TEXTSPLIT(Table9[[#This Row],[Selection Option]:[Selection Option]],","))),,N$18),"")</f>
        <v>Refresh rate &gt;=60</v>
      </c>
      <c r="O20" s="39" t="str" cm="1">
        <f t="array" ref="O20">IFERROR(INDEX(_xlfn.UNIQUE(TRIM(_xlfn.TEXTSPLIT(Table9[[#This Row],[Selection Option]:[Selection Option]],","))),,O$18),"")</f>
        <v xml:space="preserve">
Refresh rate &lt;60</v>
      </c>
      <c r="P20" s="39" t="str" cm="1">
        <f t="array" ref="P20">IFERROR(INDEX(_xlfn.UNIQUE(TRIM(_xlfn.TEXTSPLIT(Table9[[#This Row],[Selection Option]:[Selection Option]],","))),,P$18),"")</f>
        <v/>
      </c>
      <c r="Q20" s="39" t="str" cm="1">
        <f t="array" ref="Q20">IFERROR(INDEX(_xlfn.UNIQUE(TRIM(_xlfn.TEXTSPLIT(Table9[[#This Row],[Selection Option]:[Selection Option]],","))),,Q$18),"")</f>
        <v/>
      </c>
      <c r="R20" s="39" t="str" cm="1">
        <f t="array" ref="R20">IFERROR(INDEX(_xlfn.UNIQUE(TRIM(_xlfn.TEXTSPLIT(Table9[[#This Row],[Selection Option]:[Selection Option]],","))),,R$18),"")</f>
        <v/>
      </c>
      <c r="S20" s="39" t="str" cm="1">
        <f t="array" ref="S20">IFERROR(INDEX(_xlfn.UNIQUE(TRIM(_xlfn.TEXTSPLIT(Table9[[#This Row],[Selection Option]:[Selection Option]],","))),,S$18),"")</f>
        <v/>
      </c>
      <c r="T20" s="39" t="str" cm="1">
        <f t="array" ref="T20">IFERROR(INDEX(_xlfn.UNIQUE(TRIM(_xlfn.TEXTSPLIT(Table9[[#This Row],[Selection Option]:[Selection Option]],","))),,T$18),"")</f>
        <v/>
      </c>
      <c r="U20" s="39" t="str" cm="1">
        <f t="array" ref="U20">IFERROR(INDEX(_xlfn.UNIQUE(TRIM(_xlfn.TEXTSPLIT(Table9[[#This Row],[Selection Option]:[Selection Option]],","))),,U$18),"")</f>
        <v/>
      </c>
      <c r="V20" s="39" t="str" cm="1">
        <f t="array" ref="V20">IFERROR(INDEX(_xlfn.UNIQUE(TRIM(_xlfn.TEXTSPLIT(Table9[[#This Row],[Selection Option]:[Selection Option]],","))),,V$18),"")</f>
        <v/>
      </c>
      <c r="W20" s="39" t="str" cm="1">
        <f t="array" ref="W20">IFERROR(INDEX(_xlfn.UNIQUE(TRIM(_xlfn.TEXTSPLIT(Table9[[#This Row],[Selection Option]:[Selection Option]],","))),,W$18),"")</f>
        <v/>
      </c>
      <c r="X20" s="39" t="str" cm="1">
        <f t="array" ref="X20">IFERROR(INDEX(_xlfn.UNIQUE(TRIM(_xlfn.TEXTSPLIT(Table9[[#This Row],[Selection Option]:[Selection Option]],","))),,X$18),"")</f>
        <v/>
      </c>
      <c r="Y20" s="30" cm="1">
        <f t="array" ref="Y20">IF(Table9[[#This Row],[1]]="","",Table9[[#This Row],[Weight]:[Weight]]-(Table9[[#This Row],[Weight]:[Weight]]*((_xlfn.XMATCH(Table9[[#This Row],[1]],Table9[[#This Row],[1]:[11]],0))-1)/(COUNTA(Table9[[#This Row],[1]:[11]])-COUNTBLANK(Table9[[#This Row],[1]:[11]])-1)))</f>
        <v>6.6666666666666666E-2</v>
      </c>
      <c r="Z20" s="30" cm="1">
        <f t="array" ref="Z20">IF(Table9[[#This Row],[2]]="","",Table9[[#This Row],[Weight]:[Weight]]-(Table9[[#This Row],[Weight]:[Weight]]*((_xlfn.XMATCH(Table9[[#This Row],[2]],Table9[[#This Row],[1]:[11]],0))-1)/(COUNTA(Table9[[#This Row],[1]:[11]])-COUNTBLANK(Table9[[#This Row],[1]:[11]])-1)))</f>
        <v>0</v>
      </c>
      <c r="AA20" s="30" t="str" cm="1">
        <f t="array" ref="AA20">IF(Table9[[#This Row],[3]]="","",Table9[[#This Row],[Weight]:[Weight]]-(Table9[[#This Row],[Weight]:[Weight]]*((_xlfn.XMATCH(Table9[[#This Row],[3]],Table9[[#This Row],[1]:[11]],0))-1)/(COUNTA(Table9[[#This Row],[1]:[11]])-COUNTBLANK(Table9[[#This Row],[1]:[11]])-1)))</f>
        <v/>
      </c>
      <c r="AB20" s="30" t="str" cm="1">
        <f t="array" ref="AB20">IF(Table9[[#This Row],[4]]="","",Table9[[#This Row],[Weight]:[Weight]]-(Table9[[#This Row],[Weight]:[Weight]]*((_xlfn.XMATCH(Table9[[#This Row],[4]],Table9[[#This Row],[1]:[11]],0))-1)/(COUNTA(Table9[[#This Row],[1]:[11]])-COUNTBLANK(Table9[[#This Row],[1]:[11]])-1)))</f>
        <v/>
      </c>
      <c r="AC20" s="30" t="str" cm="1">
        <f t="array" ref="AC20">IF(Table9[[#This Row],[5]]="","",Table9[[#This Row],[Weight]:[Weight]]-(Table9[[#This Row],[Weight]:[Weight]]*((_xlfn.XMATCH(Table9[[#This Row],[5]],Table9[[#This Row],[1]:[11]],0))-1)/(COUNTA(Table9[[#This Row],[1]:[11]])-COUNTBLANK(Table9[[#This Row],[1]:[11]])-1)))</f>
        <v/>
      </c>
      <c r="AD20" s="30" t="str" cm="1">
        <f t="array" ref="AD20">IF(Table9[[#This Row],[6]]="","",Table9[[#This Row],[Weight]:[Weight]]-(Table9[[#This Row],[Weight]:[Weight]]*((_xlfn.XMATCH(Table9[[#This Row],[6]],Table9[[#This Row],[1]:[11]],0))-1)/(COUNTA(Table9[[#This Row],[1]:[11]])-COUNTBLANK(Table9[[#This Row],[1]:[11]])-1)))</f>
        <v/>
      </c>
      <c r="AE20" s="30" t="str" cm="1">
        <f t="array" ref="AE20">IF(Table9[[#This Row],[7]]="","",Table9[[#This Row],[Weight]:[Weight]]-(Table9[[#This Row],[Weight]:[Weight]]*((_xlfn.XMATCH(Table9[[#This Row],[7]],Table9[[#This Row],[1]:[11]],0))-1)/(COUNTA(Table9[[#This Row],[1]:[11]])-COUNTBLANK(Table9[[#This Row],[1]:[11]])-1)))</f>
        <v/>
      </c>
      <c r="AF20" s="30" t="str" cm="1">
        <f t="array" ref="AF20">IF(Table9[[#This Row],[8]]="","",Table9[[#This Row],[Weight]:[Weight]]-(Table9[[#This Row],[Weight]:[Weight]]*((_xlfn.XMATCH(Table9[[#This Row],[8]],Table9[[#This Row],[1]:[11]],0))-1)/(COUNTA(Table9[[#This Row],[1]:[11]])-COUNTBLANK(Table9[[#This Row],[1]:[11]])-1)))</f>
        <v/>
      </c>
      <c r="AG20" s="30" t="str" cm="1">
        <f t="array" ref="AG20">IF(Table9[[#This Row],[9]]="","",Table9[[#This Row],[Weight]:[Weight]]-(Table9[[#This Row],[Weight]:[Weight]]*((_xlfn.XMATCH(Table9[[#This Row],[9]],Table9[[#This Row],[1]:[11]],0))-1)/(COUNTA(Table9[[#This Row],[1]:[11]])-COUNTBLANK(Table9[[#This Row],[1]:[11]])-1)))</f>
        <v/>
      </c>
      <c r="AH20" s="30" t="str" cm="1">
        <f t="array" ref="AH20">IF(Table9[[#This Row],[10]]="","",Table9[[#This Row],[Weight]:[Weight]]-(Table9[[#This Row],[Weight]:[Weight]]*((_xlfn.XMATCH(Table9[[#This Row],[10]],Table9[[#This Row],[1]:[11]],0))-1)/(COUNTA(Table9[[#This Row],[1]:[11]])-COUNTBLANK(Table9[[#This Row],[1]:[11]])-1)))</f>
        <v/>
      </c>
      <c r="AI20" s="30" t="str" cm="1">
        <f t="array" ref="AI20">IF(Table9[[#This Row],[11]]="","",Table9[[#This Row],[Weight]:[Weight]]-(Table9[[#This Row],[Weight]:[Weight]]*((_xlfn.XMATCH(Table9[[#This Row],[11]],Table9[[#This Row],[1]:[11]],0))-1)/(COUNTA(Table9[[#This Row],[1]:[11]])-COUNTBLANK(Table9[[#This Row],[1]:[11]])-1)))</f>
        <v/>
      </c>
    </row>
    <row r="21" spans="1:35" s="6" customFormat="1" ht="48" x14ac:dyDescent="0.2">
      <c r="A21" s="87">
        <v>2</v>
      </c>
      <c r="B21" s="31"/>
      <c r="C21" s="31" t="s">
        <v>59</v>
      </c>
      <c r="D21" s="31"/>
      <c r="E21" s="31"/>
      <c r="F21" s="22" t="s">
        <v>60</v>
      </c>
      <c r="G21" s="23" cm="1">
        <f t="array" ref="G21">_xlfn.IFS(F21="","",F21="No interest",0,F21="Nice to have",1,F21="Useful",2,F21="Important",3,F21="Very important",4,F21="Critical",5,F21="Show stopper",6)</f>
        <v>6</v>
      </c>
      <c r="H21" s="24">
        <f t="shared" si="0"/>
        <v>0.13333333333333333</v>
      </c>
      <c r="I21" s="25" t="s">
        <v>61</v>
      </c>
      <c r="J21" s="25" t="str" cm="1">
        <f t="array" ref="J21">_xlfn.TEXTJOIN(","&amp;CHAR(10),,TEXT(Table9[[#This Row],[12]:[22]],"0,00%"))</f>
        <v>13,33%,
8,89%,
4,44%,
0,00%</v>
      </c>
      <c r="K21" s="26" t="s">
        <v>62</v>
      </c>
      <c r="L21" s="27" t="e">
        <f>H21-(H21*((MATCH(#REF!,#REF!,0)-1)/(COUNTA(#REF!)-COUNTBLANK(#REF!)-1)))</f>
        <v>#REF!</v>
      </c>
      <c r="M21" s="28"/>
      <c r="N21" s="39" t="str" cm="1">
        <f t="array" ref="N21">IFERROR(INDEX(_xlfn.UNIQUE(TRIM(_xlfn.TEXTSPLIT(Table9[[#This Row],[Selection Option]:[Selection Option]],","))),,N$18),"")</f>
        <v>abc</v>
      </c>
      <c r="O21" s="39" t="str" cm="1">
        <f t="array" ref="O21">IFERROR(INDEX(_xlfn.UNIQUE(TRIM(_xlfn.TEXTSPLIT(Table9[[#This Row],[Selection Option]:[Selection Option]],","))),,O$18),"")</f>
        <v xml:space="preserve">
klm</v>
      </c>
      <c r="P21" s="39" t="str" cm="1">
        <f t="array" ref="P21">IFERROR(INDEX(_xlfn.UNIQUE(TRIM(_xlfn.TEXTSPLIT(Table9[[#This Row],[Selection Option]:[Selection Option]],","))),,P$18),"")</f>
        <v xml:space="preserve">
pqr</v>
      </c>
      <c r="Q21" s="39" t="str" cm="1">
        <f t="array" ref="Q21">IFERROR(INDEX(_xlfn.UNIQUE(TRIM(_xlfn.TEXTSPLIT(Table9[[#This Row],[Selection Option]:[Selection Option]],","))),,Q$18),"")</f>
        <v xml:space="preserve">
xyz</v>
      </c>
      <c r="R21" s="39" t="str" cm="1">
        <f t="array" ref="R21">IFERROR(INDEX(_xlfn.UNIQUE(TRIM(_xlfn.TEXTSPLIT(Table9[[#This Row],[Selection Option]:[Selection Option]],","))),,R$18),"")</f>
        <v/>
      </c>
      <c r="S21" s="39" t="str" cm="1">
        <f t="array" ref="S21">IFERROR(INDEX(_xlfn.UNIQUE(TRIM(_xlfn.TEXTSPLIT(Table9[[#This Row],[Selection Option]:[Selection Option]],","))),,S$18),"")</f>
        <v/>
      </c>
      <c r="T21" s="39" t="str" cm="1">
        <f t="array" ref="T21">IFERROR(INDEX(_xlfn.UNIQUE(TRIM(_xlfn.TEXTSPLIT(Table9[[#This Row],[Selection Option]:[Selection Option]],","))),,T$18),"")</f>
        <v/>
      </c>
      <c r="U21" s="39" t="str" cm="1">
        <f t="array" ref="U21">IFERROR(INDEX(_xlfn.UNIQUE(TRIM(_xlfn.TEXTSPLIT(Table9[[#This Row],[Selection Option]:[Selection Option]],","))),,U$18),"")</f>
        <v/>
      </c>
      <c r="V21" s="39" t="str" cm="1">
        <f t="array" ref="V21">IFERROR(INDEX(_xlfn.UNIQUE(TRIM(_xlfn.TEXTSPLIT(Table9[[#This Row],[Selection Option]:[Selection Option]],","))),,V$18),"")</f>
        <v/>
      </c>
      <c r="W21" s="39" t="str" cm="1">
        <f t="array" ref="W21">IFERROR(INDEX(_xlfn.UNIQUE(TRIM(_xlfn.TEXTSPLIT(Table9[[#This Row],[Selection Option]:[Selection Option]],","))),,W$18),"")</f>
        <v/>
      </c>
      <c r="X21" s="39" t="str" cm="1">
        <f t="array" ref="X21">IFERROR(INDEX(_xlfn.UNIQUE(TRIM(_xlfn.TEXTSPLIT(Table9[[#This Row],[Selection Option]:[Selection Option]],","))),,X$18),"")</f>
        <v/>
      </c>
      <c r="Y21" s="30" cm="1">
        <f t="array" ref="Y21">IF(Table9[[#This Row],[1]]="","",Table9[[#This Row],[Weight]:[Weight]]-(Table9[[#This Row],[Weight]:[Weight]]*((_xlfn.XMATCH(Table9[[#This Row],[1]],Table9[[#This Row],[1]:[11]],0))-1)/(COUNTA(Table9[[#This Row],[1]:[11]])-COUNTBLANK(Table9[[#This Row],[1]:[11]])-1)))</f>
        <v>0.13333333333333333</v>
      </c>
      <c r="Z21" s="30" cm="1">
        <f t="array" ref="Z21">IF(Table9[[#This Row],[2]]="","",Table9[[#This Row],[Weight]:[Weight]]-(Table9[[#This Row],[Weight]:[Weight]]*((_xlfn.XMATCH(Table9[[#This Row],[2]],Table9[[#This Row],[1]:[11]],0))-1)/(COUNTA(Table9[[#This Row],[1]:[11]])-COUNTBLANK(Table9[[#This Row],[1]:[11]])-1)))</f>
        <v>8.8888888888888878E-2</v>
      </c>
      <c r="AA21" s="30" cm="1">
        <f t="array" ref="AA21">IF(Table9[[#This Row],[3]]="","",Table9[[#This Row],[Weight]:[Weight]]-(Table9[[#This Row],[Weight]:[Weight]]*((_xlfn.XMATCH(Table9[[#This Row],[3]],Table9[[#This Row],[1]:[11]],0))-1)/(COUNTA(Table9[[#This Row],[1]:[11]])-COUNTBLANK(Table9[[#This Row],[1]:[11]])-1)))</f>
        <v>4.4444444444444439E-2</v>
      </c>
      <c r="AB21" s="30" cm="1">
        <f t="array" ref="AB21">IF(Table9[[#This Row],[4]]="","",Table9[[#This Row],[Weight]:[Weight]]-(Table9[[#This Row],[Weight]:[Weight]]*((_xlfn.XMATCH(Table9[[#This Row],[4]],Table9[[#This Row],[1]:[11]],0))-1)/(COUNTA(Table9[[#This Row],[1]:[11]])-COUNTBLANK(Table9[[#This Row],[1]:[11]])-1)))</f>
        <v>0</v>
      </c>
      <c r="AC21" s="30" t="str" cm="1">
        <f t="array" ref="AC21">IF(Table9[[#This Row],[5]]="","",Table9[[#This Row],[Weight]:[Weight]]-(Table9[[#This Row],[Weight]:[Weight]]*((_xlfn.XMATCH(Table9[[#This Row],[5]],Table9[[#This Row],[1]:[11]],0))-1)/(COUNTA(Table9[[#This Row],[1]:[11]])-COUNTBLANK(Table9[[#This Row],[1]:[11]])-1)))</f>
        <v/>
      </c>
      <c r="AD21" s="30" t="str" cm="1">
        <f t="array" ref="AD21">IF(Table9[[#This Row],[6]]="","",Table9[[#This Row],[Weight]:[Weight]]-(Table9[[#This Row],[Weight]:[Weight]]*((_xlfn.XMATCH(Table9[[#This Row],[6]],Table9[[#This Row],[1]:[11]],0))-1)/(COUNTA(Table9[[#This Row],[1]:[11]])-COUNTBLANK(Table9[[#This Row],[1]:[11]])-1)))</f>
        <v/>
      </c>
      <c r="AE21" s="30" t="str" cm="1">
        <f t="array" ref="AE21">IF(Table9[[#This Row],[7]]="","",Table9[[#This Row],[Weight]:[Weight]]-(Table9[[#This Row],[Weight]:[Weight]]*((_xlfn.XMATCH(Table9[[#This Row],[7]],Table9[[#This Row],[1]:[11]],0))-1)/(COUNTA(Table9[[#This Row],[1]:[11]])-COUNTBLANK(Table9[[#This Row],[1]:[11]])-1)))</f>
        <v/>
      </c>
      <c r="AF21" s="30" t="str" cm="1">
        <f t="array" ref="AF21">IF(Table9[[#This Row],[8]]="","",Table9[[#This Row],[Weight]:[Weight]]-(Table9[[#This Row],[Weight]:[Weight]]*((_xlfn.XMATCH(Table9[[#This Row],[8]],Table9[[#This Row],[1]:[11]],0))-1)/(COUNTA(Table9[[#This Row],[1]:[11]])-COUNTBLANK(Table9[[#This Row],[1]:[11]])-1)))</f>
        <v/>
      </c>
      <c r="AG21" s="30" t="str" cm="1">
        <f t="array" ref="AG21">IF(Table9[[#This Row],[9]]="","",Table9[[#This Row],[Weight]:[Weight]]-(Table9[[#This Row],[Weight]:[Weight]]*((_xlfn.XMATCH(Table9[[#This Row],[9]],Table9[[#This Row],[1]:[11]],0))-1)/(COUNTA(Table9[[#This Row],[1]:[11]])-COUNTBLANK(Table9[[#This Row],[1]:[11]])-1)))</f>
        <v/>
      </c>
      <c r="AH21" s="30" t="str" cm="1">
        <f t="array" ref="AH21">IF(Table9[[#This Row],[10]]="","",Table9[[#This Row],[Weight]:[Weight]]-(Table9[[#This Row],[Weight]:[Weight]]*((_xlfn.XMATCH(Table9[[#This Row],[10]],Table9[[#This Row],[1]:[11]],0))-1)/(COUNTA(Table9[[#This Row],[1]:[11]])-COUNTBLANK(Table9[[#This Row],[1]:[11]])-1)))</f>
        <v/>
      </c>
      <c r="AI21" s="30" t="str" cm="1">
        <f t="array" ref="AI21">IF(Table9[[#This Row],[11]]="","",Table9[[#This Row],[Weight]:[Weight]]-(Table9[[#This Row],[Weight]:[Weight]]*((_xlfn.XMATCH(Table9[[#This Row],[11]],Table9[[#This Row],[1]:[11]],0))-1)/(COUNTA(Table9[[#This Row],[1]:[11]])-COUNTBLANK(Table9[[#This Row],[1]:[11]])-1)))</f>
        <v/>
      </c>
    </row>
    <row r="22" spans="1:35" x14ac:dyDescent="0.2">
      <c r="B22" s="56"/>
      <c r="C22" s="56"/>
      <c r="D22" s="56"/>
      <c r="E22" s="56"/>
      <c r="F22" s="56"/>
      <c r="G22" s="56"/>
      <c r="H22" s="56"/>
    </row>
    <row r="24" spans="1:35" ht="20.45" customHeight="1" x14ac:dyDescent="0.2">
      <c r="A24" s="348" t="s">
        <v>63</v>
      </c>
      <c r="B24" s="348"/>
      <c r="C24" s="348"/>
      <c r="D24" s="348"/>
      <c r="E24" s="348"/>
      <c r="F24" s="348"/>
      <c r="G24" s="348"/>
      <c r="H24" s="348"/>
      <c r="I24" s="348"/>
      <c r="J24" s="348"/>
    </row>
    <row r="25" spans="1:35" ht="48" customHeight="1" x14ac:dyDescent="0.25">
      <c r="B25" s="349" t="s">
        <v>64</v>
      </c>
      <c r="C25" s="349"/>
      <c r="D25" s="349"/>
      <c r="E25" s="349"/>
      <c r="F25" s="349"/>
      <c r="G25" s="349"/>
      <c r="H25" s="349"/>
      <c r="I25" s="349"/>
      <c r="J25" s="349"/>
      <c r="K25" s="140"/>
      <c r="L25" s="140"/>
      <c r="M25" s="140"/>
    </row>
  </sheetData>
  <mergeCells count="12">
    <mergeCell ref="B2:J2"/>
    <mergeCell ref="A3:J3"/>
    <mergeCell ref="B4:J4"/>
    <mergeCell ref="A6:J6"/>
    <mergeCell ref="B7:J7"/>
    <mergeCell ref="A24:J24"/>
    <mergeCell ref="B25:J25"/>
    <mergeCell ref="A9:J9"/>
    <mergeCell ref="A17:A18"/>
    <mergeCell ref="B17:C18"/>
    <mergeCell ref="D17:E18"/>
    <mergeCell ref="B10:J10"/>
  </mergeCells>
  <conditionalFormatting sqref="K20:K21">
    <cfRule type="expression" dxfId="629" priority="1">
      <formula>COUNTIF(N20:X20,K20)&lt;&gt;1</formula>
    </cfRule>
  </conditionalFormatting>
  <dataValidations count="4">
    <dataValidation type="list" allowBlank="1" showInputMessage="1" showErrorMessage="1" sqref="M21" xr:uid="{F2B4E195-780F-43B7-A5AA-9058552167C5}">
      <formula1>_xlfn.UNIQUE(TRIM(_xlfn.TEXTSPLIT(#REF!,",")))</formula1>
    </dataValidation>
    <dataValidation type="list" allowBlank="1" showInputMessage="1" showErrorMessage="1" sqref="F20:F21" xr:uid="{D71413C5-87C3-49AC-9DA6-5F6CC78845B9}">
      <formula1>"No interest,Nice to have,Useful,Important,Very important,Critical,Show stopper"</formula1>
    </dataValidation>
    <dataValidation type="list" allowBlank="1" showInputMessage="1" showErrorMessage="1" sqref="H21" xr:uid="{BB942130-B9DD-4CC1-AE81-4288001FDF88}">
      <formula1>N21:R21</formula1>
    </dataValidation>
    <dataValidation type="list" allowBlank="1" showInputMessage="1" showErrorMessage="1" sqref="K20:K21" xr:uid="{4D67F2C3-2F2C-4D76-ACBD-2D35E3CB864F}">
      <formula1>$N20:$X20</formula1>
    </dataValidation>
  </dataValidations>
  <pageMargins left="0.25" right="0.25" top="0.75" bottom="0.75" header="0.3" footer="0.3"/>
  <pageSetup paperSize="9" scale="41" fitToHeight="0" orientation="landscape"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3B9A2-BD9A-426C-9BE9-B1356A814700}">
  <sheetPr>
    <pageSetUpPr fitToPage="1"/>
  </sheetPr>
  <dimension ref="A1:R26"/>
  <sheetViews>
    <sheetView showFormulas="1" topLeftCell="A24" zoomScale="80" zoomScaleNormal="150" workbookViewId="0">
      <selection activeCell="N9" sqref="N9"/>
    </sheetView>
  </sheetViews>
  <sheetFormatPr defaultColWidth="9.140625" defaultRowHeight="14.25" x14ac:dyDescent="0.25"/>
  <cols>
    <col min="1" max="1" width="1.42578125" style="59" customWidth="1"/>
    <col min="2" max="2" width="3.42578125" style="59" customWidth="1"/>
    <col min="3" max="3" width="9.42578125" style="60" customWidth="1"/>
    <col min="4" max="4" width="11" style="60" customWidth="1"/>
    <col min="5" max="5" width="11.42578125" style="59" customWidth="1"/>
    <col min="6" max="16384" width="9.140625" style="59"/>
  </cols>
  <sheetData>
    <row r="1" spans="1:12" x14ac:dyDescent="0.25">
      <c r="A1" s="254"/>
      <c r="B1" s="255"/>
      <c r="C1" s="256"/>
      <c r="D1" s="256"/>
      <c r="E1" s="255"/>
      <c r="F1" s="255"/>
      <c r="G1" s="255"/>
      <c r="H1" s="255"/>
      <c r="I1" s="255"/>
      <c r="J1" s="255"/>
      <c r="K1" s="255"/>
      <c r="L1" s="257"/>
    </row>
    <row r="2" spans="1:12" ht="21" customHeight="1" x14ac:dyDescent="0.25">
      <c r="A2" s="258"/>
      <c r="B2" s="365" t="s">
        <v>65</v>
      </c>
      <c r="C2" s="365"/>
      <c r="D2" s="365"/>
      <c r="E2" s="365"/>
      <c r="F2" s="365"/>
      <c r="G2" s="365"/>
      <c r="H2" s="365"/>
      <c r="I2" s="365"/>
      <c r="J2" s="365"/>
      <c r="K2" s="365"/>
      <c r="L2" s="259"/>
    </row>
    <row r="3" spans="1:12" ht="15" x14ac:dyDescent="0.25">
      <c r="A3" s="258"/>
      <c r="B3" s="245"/>
      <c r="C3" s="362"/>
      <c r="D3" s="366"/>
      <c r="E3" s="253"/>
      <c r="F3" s="253"/>
      <c r="G3" s="253"/>
      <c r="H3" s="253"/>
      <c r="I3" s="253"/>
      <c r="J3" s="253"/>
      <c r="K3" s="253"/>
      <c r="L3" s="259"/>
    </row>
    <row r="4" spans="1:12" ht="7.35" customHeight="1" x14ac:dyDescent="0.25">
      <c r="A4" s="258"/>
      <c r="B4" s="362"/>
      <c r="C4" s="362"/>
      <c r="D4" s="245"/>
      <c r="E4" s="253"/>
      <c r="F4" s="253"/>
      <c r="G4" s="253"/>
      <c r="H4" s="253"/>
      <c r="I4" s="253"/>
      <c r="J4" s="253"/>
      <c r="K4" s="253"/>
      <c r="L4" s="259"/>
    </row>
    <row r="5" spans="1:12" s="61" customFormat="1" ht="24" customHeight="1" x14ac:dyDescent="0.25">
      <c r="A5" s="260"/>
      <c r="B5" s="364" t="s">
        <v>66</v>
      </c>
      <c r="C5" s="364"/>
      <c r="D5" s="364"/>
      <c r="E5" s="364"/>
      <c r="F5" s="364"/>
      <c r="G5" s="364"/>
      <c r="H5" s="364"/>
      <c r="I5" s="364"/>
      <c r="J5" s="364"/>
      <c r="K5" s="364"/>
      <c r="L5" s="261"/>
    </row>
    <row r="6" spans="1:12" ht="8.25" customHeight="1" x14ac:dyDescent="0.25">
      <c r="A6" s="258"/>
      <c r="B6" s="262"/>
      <c r="C6" s="245"/>
      <c r="D6" s="245"/>
      <c r="E6" s="263"/>
      <c r="F6" s="253"/>
      <c r="G6" s="253"/>
      <c r="H6" s="253"/>
      <c r="I6" s="253"/>
      <c r="J6" s="253"/>
      <c r="K6" s="253"/>
      <c r="L6" s="259"/>
    </row>
    <row r="7" spans="1:12" ht="14.1" customHeight="1" x14ac:dyDescent="0.25">
      <c r="A7" s="258"/>
      <c r="B7" s="264" t="s">
        <v>67</v>
      </c>
      <c r="C7" s="367" t="s">
        <v>68</v>
      </c>
      <c r="D7" s="367"/>
      <c r="E7" s="367"/>
      <c r="F7" s="367"/>
      <c r="G7" s="367"/>
      <c r="H7" s="367"/>
      <c r="I7" s="367"/>
      <c r="J7" s="367"/>
      <c r="K7" s="367"/>
      <c r="L7" s="259"/>
    </row>
    <row r="8" spans="1:12" ht="14.1" customHeight="1" x14ac:dyDescent="0.25">
      <c r="A8" s="258"/>
      <c r="B8" s="243"/>
      <c r="C8" s="367" t="s">
        <v>69</v>
      </c>
      <c r="D8" s="367"/>
      <c r="E8" s="367"/>
      <c r="F8" s="367"/>
      <c r="G8" s="367"/>
      <c r="H8" s="367"/>
      <c r="I8" s="367"/>
      <c r="J8" s="367"/>
      <c r="K8" s="367"/>
      <c r="L8" s="259"/>
    </row>
    <row r="9" spans="1:12" ht="14.1" customHeight="1" x14ac:dyDescent="0.25">
      <c r="A9" s="258"/>
      <c r="B9" s="244"/>
      <c r="C9" s="265" t="s">
        <v>70</v>
      </c>
      <c r="D9" s="265"/>
      <c r="E9" s="265"/>
      <c r="F9" s="265"/>
      <c r="G9" s="265"/>
      <c r="H9" s="265"/>
      <c r="I9" s="265"/>
      <c r="J9" s="265"/>
      <c r="K9" s="265"/>
      <c r="L9" s="259"/>
    </row>
    <row r="10" spans="1:12" ht="15.75" customHeight="1" x14ac:dyDescent="0.25">
      <c r="A10" s="258"/>
      <c r="B10" s="246"/>
      <c r="C10" s="360" t="s">
        <v>71</v>
      </c>
      <c r="D10" s="361"/>
      <c r="E10" s="361"/>
      <c r="F10" s="361"/>
      <c r="G10" s="361"/>
      <c r="H10" s="361"/>
      <c r="I10" s="361"/>
      <c r="J10" s="361"/>
      <c r="K10" s="361"/>
      <c r="L10" s="259"/>
    </row>
    <row r="11" spans="1:12" ht="15.75" customHeight="1" x14ac:dyDescent="0.25">
      <c r="A11" s="258"/>
      <c r="B11" s="247"/>
      <c r="C11" s="360" t="s">
        <v>72</v>
      </c>
      <c r="D11" s="361"/>
      <c r="E11" s="361"/>
      <c r="F11" s="361"/>
      <c r="G11" s="361"/>
      <c r="H11" s="361"/>
      <c r="I11" s="361"/>
      <c r="J11" s="361"/>
      <c r="K11" s="361"/>
      <c r="L11" s="259"/>
    </row>
    <row r="12" spans="1:12" ht="15.75" customHeight="1" x14ac:dyDescent="0.25">
      <c r="A12" s="258"/>
      <c r="B12" s="248"/>
      <c r="C12" s="360" t="s">
        <v>73</v>
      </c>
      <c r="D12" s="361"/>
      <c r="E12" s="361"/>
      <c r="F12" s="361"/>
      <c r="G12" s="361"/>
      <c r="H12" s="361"/>
      <c r="I12" s="361"/>
      <c r="J12" s="361"/>
      <c r="K12" s="361"/>
      <c r="L12" s="259"/>
    </row>
    <row r="13" spans="1:12" ht="15.75" customHeight="1" x14ac:dyDescent="0.25">
      <c r="A13" s="258"/>
      <c r="B13" s="249"/>
      <c r="C13" s="360" t="s">
        <v>74</v>
      </c>
      <c r="D13" s="361"/>
      <c r="E13" s="361"/>
      <c r="F13" s="361"/>
      <c r="G13" s="361"/>
      <c r="H13" s="361"/>
      <c r="I13" s="361"/>
      <c r="J13" s="361"/>
      <c r="K13" s="361"/>
      <c r="L13" s="259"/>
    </row>
    <row r="14" spans="1:12" ht="15.75" customHeight="1" x14ac:dyDescent="0.25">
      <c r="A14" s="258"/>
      <c r="B14" s="250"/>
      <c r="C14" s="360" t="s">
        <v>75</v>
      </c>
      <c r="D14" s="361"/>
      <c r="E14" s="361"/>
      <c r="F14" s="361"/>
      <c r="G14" s="361"/>
      <c r="H14" s="361"/>
      <c r="I14" s="361"/>
      <c r="J14" s="361"/>
      <c r="K14" s="361"/>
      <c r="L14" s="259"/>
    </row>
    <row r="15" spans="1:12" ht="15.75" customHeight="1" x14ac:dyDescent="0.25">
      <c r="A15" s="258"/>
      <c r="B15" s="251"/>
      <c r="C15" s="360" t="s">
        <v>76</v>
      </c>
      <c r="D15" s="361"/>
      <c r="E15" s="361"/>
      <c r="F15" s="361"/>
      <c r="G15" s="361"/>
      <c r="H15" s="361"/>
      <c r="I15" s="361"/>
      <c r="J15" s="361"/>
      <c r="K15" s="361"/>
      <c r="L15" s="259"/>
    </row>
    <row r="16" spans="1:12" ht="15.75" customHeight="1" x14ac:dyDescent="0.25">
      <c r="A16" s="258"/>
      <c r="B16" s="252"/>
      <c r="C16" s="360" t="s">
        <v>77</v>
      </c>
      <c r="D16" s="361"/>
      <c r="E16" s="361"/>
      <c r="F16" s="361"/>
      <c r="G16" s="361"/>
      <c r="H16" s="361"/>
      <c r="I16" s="361"/>
      <c r="J16" s="361"/>
      <c r="K16" s="361"/>
      <c r="L16" s="259"/>
    </row>
    <row r="17" spans="1:18" ht="7.5" customHeight="1" x14ac:dyDescent="0.25">
      <c r="A17" s="258"/>
      <c r="B17" s="362"/>
      <c r="C17" s="362"/>
      <c r="D17" s="245"/>
      <c r="E17" s="253"/>
      <c r="F17" s="253"/>
      <c r="G17" s="253"/>
      <c r="H17" s="253"/>
      <c r="I17" s="253"/>
      <c r="J17" s="253"/>
      <c r="K17" s="253"/>
      <c r="L17" s="259"/>
    </row>
    <row r="18" spans="1:18" ht="202.35" customHeight="1" x14ac:dyDescent="0.25">
      <c r="A18" s="258"/>
      <c r="B18" s="264" t="s">
        <v>67</v>
      </c>
      <c r="C18" s="362" t="s">
        <v>78</v>
      </c>
      <c r="D18" s="362"/>
      <c r="E18" s="362"/>
      <c r="F18" s="362"/>
      <c r="G18" s="362"/>
      <c r="H18" s="362"/>
      <c r="I18" s="362"/>
      <c r="J18" s="362"/>
      <c r="K18" s="362"/>
      <c r="L18" s="259"/>
    </row>
    <row r="19" spans="1:18" ht="47.1" customHeight="1" x14ac:dyDescent="0.25">
      <c r="A19" s="258"/>
      <c r="B19" s="363"/>
      <c r="C19" s="363"/>
      <c r="L19" s="259"/>
    </row>
    <row r="20" spans="1:18" ht="7.5" customHeight="1" x14ac:dyDescent="0.25">
      <c r="A20" s="258"/>
      <c r="B20" s="363"/>
      <c r="C20" s="363"/>
      <c r="L20" s="259"/>
    </row>
    <row r="21" spans="1:18" s="62" customFormat="1" x14ac:dyDescent="0.25">
      <c r="A21" s="258"/>
      <c r="B21" s="245"/>
      <c r="C21" s="245"/>
      <c r="D21" s="245"/>
      <c r="E21" s="253"/>
      <c r="F21" s="253"/>
      <c r="G21" s="253"/>
      <c r="H21" s="253"/>
      <c r="I21" s="253"/>
      <c r="J21" s="253"/>
      <c r="K21" s="253"/>
      <c r="L21" s="259"/>
      <c r="M21" s="59"/>
      <c r="N21" s="59"/>
      <c r="O21" s="59"/>
      <c r="P21" s="59"/>
      <c r="Q21" s="59"/>
      <c r="R21" s="59"/>
    </row>
    <row r="22" spans="1:18" s="63" customFormat="1" ht="24" customHeight="1" x14ac:dyDescent="0.25">
      <c r="A22" s="260"/>
      <c r="B22" s="364" t="s">
        <v>79</v>
      </c>
      <c r="C22" s="364"/>
      <c r="D22" s="364"/>
      <c r="E22" s="364"/>
      <c r="F22" s="364"/>
      <c r="G22" s="364"/>
      <c r="H22" s="364"/>
      <c r="I22" s="364"/>
      <c r="J22" s="364"/>
      <c r="K22" s="364"/>
      <c r="L22" s="261"/>
      <c r="M22" s="61"/>
      <c r="N22" s="61"/>
      <c r="O22" s="61"/>
      <c r="P22" s="61"/>
      <c r="Q22" s="61"/>
      <c r="R22" s="61"/>
    </row>
    <row r="23" spans="1:18" s="62" customFormat="1" ht="8.25" customHeight="1" x14ac:dyDescent="0.25">
      <c r="A23" s="258"/>
      <c r="B23" s="253"/>
      <c r="C23" s="266"/>
      <c r="D23" s="266"/>
      <c r="E23" s="253"/>
      <c r="F23" s="253"/>
      <c r="G23" s="253"/>
      <c r="H23" s="253"/>
      <c r="I23" s="253"/>
      <c r="J23" s="253"/>
      <c r="K23" s="253"/>
      <c r="L23" s="259"/>
      <c r="M23" s="59"/>
      <c r="N23" s="59"/>
      <c r="O23" s="59"/>
      <c r="P23" s="59"/>
      <c r="Q23" s="59"/>
      <c r="R23" s="59"/>
    </row>
    <row r="24" spans="1:18" s="62" customFormat="1" ht="28.35" customHeight="1" x14ac:dyDescent="0.25">
      <c r="A24" s="258"/>
      <c r="B24" s="267" t="s">
        <v>67</v>
      </c>
      <c r="C24" s="268" t="s">
        <v>80</v>
      </c>
      <c r="D24" s="359" t="s">
        <v>81</v>
      </c>
      <c r="E24" s="359"/>
      <c r="F24" s="359"/>
      <c r="G24" s="359"/>
      <c r="H24" s="359"/>
      <c r="I24" s="359"/>
      <c r="J24" s="359"/>
      <c r="K24" s="359"/>
      <c r="L24" s="259"/>
      <c r="M24" s="59"/>
      <c r="N24" s="59"/>
      <c r="O24" s="59"/>
      <c r="P24" s="59"/>
      <c r="Q24" s="59"/>
      <c r="R24" s="59"/>
    </row>
    <row r="25" spans="1:18" x14ac:dyDescent="0.25">
      <c r="A25" s="258"/>
      <c r="B25" s="253"/>
      <c r="C25" s="266"/>
      <c r="D25" s="266"/>
      <c r="E25" s="253"/>
      <c r="F25" s="253"/>
      <c r="G25" s="253"/>
      <c r="H25" s="253"/>
      <c r="I25" s="253"/>
      <c r="J25" s="253"/>
      <c r="K25" s="253"/>
      <c r="L25" s="259"/>
    </row>
    <row r="26" spans="1:18" x14ac:dyDescent="0.25">
      <c r="A26" s="269"/>
      <c r="B26" s="270"/>
      <c r="C26" s="271"/>
      <c r="D26" s="271"/>
      <c r="E26" s="270"/>
      <c r="F26" s="270"/>
      <c r="G26" s="270"/>
      <c r="H26" s="270"/>
      <c r="I26" s="270"/>
      <c r="J26" s="270"/>
      <c r="K26" s="270"/>
      <c r="L26" s="272"/>
    </row>
  </sheetData>
  <sheetProtection formatCells="0" formatColumns="0" formatRows="0" insertColumns="0" insertRows="0" insertHyperlinks="0" deleteColumns="0" deleteRows="0" selectLockedCells="1" sort="0" autoFilter="0" pivotTables="0"/>
  <mergeCells count="19">
    <mergeCell ref="C15:K15"/>
    <mergeCell ref="B2:K2"/>
    <mergeCell ref="C3:D3"/>
    <mergeCell ref="B4:C4"/>
    <mergeCell ref="B5:K5"/>
    <mergeCell ref="C7:K7"/>
    <mergeCell ref="C8:K8"/>
    <mergeCell ref="C10:K10"/>
    <mergeCell ref="C11:K11"/>
    <mergeCell ref="C12:K12"/>
    <mergeCell ref="C13:K13"/>
    <mergeCell ref="C14:K14"/>
    <mergeCell ref="D24:K24"/>
    <mergeCell ref="C16:K16"/>
    <mergeCell ref="B17:C17"/>
    <mergeCell ref="C18:K18"/>
    <mergeCell ref="B19:C19"/>
    <mergeCell ref="B20:C20"/>
    <mergeCell ref="B22:K22"/>
  </mergeCells>
  <pageMargins left="0.7" right="0.7" top="0.75" bottom="0.75" header="0.3" footer="0.3"/>
  <pageSetup scale="60"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04470-CE60-494E-B8A6-F49826D29521}">
  <sheetPr>
    <tabColor rgb="FF96330F"/>
    <pageSetUpPr fitToPage="1"/>
  </sheetPr>
  <dimension ref="A1:H32"/>
  <sheetViews>
    <sheetView showGridLines="0" topLeftCell="A21" zoomScale="92" zoomScaleNormal="92" workbookViewId="0">
      <selection activeCell="B25" sqref="B25"/>
    </sheetView>
  </sheetViews>
  <sheetFormatPr defaultColWidth="13.140625" defaultRowHeight="11.25" x14ac:dyDescent="0.2"/>
  <cols>
    <col min="1" max="1" width="4.28515625" style="44" customWidth="1"/>
    <col min="2" max="2" width="41.28515625" style="49" customWidth="1"/>
    <col min="3" max="3" width="33.28515625" style="49" customWidth="1"/>
    <col min="4" max="4" width="35.7109375" style="49" customWidth="1"/>
    <col min="5" max="5" width="32" style="49" customWidth="1"/>
    <col min="6" max="6" width="4.42578125" style="49" customWidth="1"/>
    <col min="7" max="7" width="13.140625" style="46"/>
    <col min="8" max="8" width="13.140625" style="47"/>
    <col min="9" max="16384" width="13.140625" style="46"/>
  </cols>
  <sheetData>
    <row r="1" spans="2:8" ht="14.45" customHeight="1" x14ac:dyDescent="0.25">
      <c r="B1" s="140"/>
      <c r="C1" s="140"/>
      <c r="D1" s="140"/>
      <c r="E1" s="140"/>
      <c r="F1" s="140"/>
      <c r="G1" s="140"/>
      <c r="H1" s="140"/>
    </row>
    <row r="2" spans="2:8" ht="15.6" customHeight="1" x14ac:dyDescent="0.25">
      <c r="B2" s="64" t="s">
        <v>82</v>
      </c>
      <c r="C2" s="65" t="s">
        <v>83</v>
      </c>
      <c r="G2" s="140"/>
      <c r="H2" s="140"/>
    </row>
    <row r="3" spans="2:8" ht="15.6" customHeight="1" x14ac:dyDescent="0.25">
      <c r="B3" s="64" t="s">
        <v>84</v>
      </c>
      <c r="C3" s="65" t="s">
        <v>83</v>
      </c>
      <c r="G3" s="140"/>
      <c r="H3" s="140"/>
    </row>
    <row r="4" spans="2:8" ht="14.45" customHeight="1" x14ac:dyDescent="0.25">
      <c r="B4" s="64" t="s">
        <v>85</v>
      </c>
      <c r="C4" s="67" t="s">
        <v>86</v>
      </c>
      <c r="F4" s="140"/>
      <c r="G4" s="140"/>
      <c r="H4" s="140"/>
    </row>
    <row r="5" spans="2:8" ht="14.45" customHeight="1" x14ac:dyDescent="0.25">
      <c r="B5" s="64" t="s">
        <v>87</v>
      </c>
      <c r="C5" s="67" t="s">
        <v>86</v>
      </c>
      <c r="D5" s="66" t="s">
        <v>88</v>
      </c>
      <c r="E5" s="66"/>
      <c r="F5" s="140"/>
      <c r="G5" s="140"/>
      <c r="H5" s="140"/>
    </row>
    <row r="6" spans="2:8" ht="14.45" customHeight="1" x14ac:dyDescent="0.25">
      <c r="B6" s="64" t="s">
        <v>89</v>
      </c>
      <c r="C6" s="67" t="s">
        <v>86</v>
      </c>
      <c r="D6" s="66" t="s">
        <v>3</v>
      </c>
      <c r="E6" s="66"/>
      <c r="F6" s="140"/>
      <c r="G6" s="140"/>
      <c r="H6" s="140"/>
    </row>
    <row r="7" spans="2:8" ht="32.450000000000003" customHeight="1" x14ac:dyDescent="0.25">
      <c r="B7" s="64" t="s">
        <v>90</v>
      </c>
      <c r="C7" s="67"/>
      <c r="D7" s="66" t="s">
        <v>91</v>
      </c>
      <c r="E7" s="85"/>
      <c r="F7" s="140"/>
      <c r="G7" s="140"/>
      <c r="H7" s="140"/>
    </row>
    <row r="8" spans="2:8" ht="12" customHeight="1" thickBot="1" x14ac:dyDescent="0.25"/>
    <row r="9" spans="2:8" ht="15" x14ac:dyDescent="0.2">
      <c r="B9" s="368" t="s">
        <v>92</v>
      </c>
      <c r="C9" s="370" t="s">
        <v>93</v>
      </c>
      <c r="D9" s="371"/>
      <c r="E9" s="116" t="b">
        <v>0</v>
      </c>
    </row>
    <row r="10" spans="2:8" ht="12" customHeight="1" thickBot="1" x14ac:dyDescent="0.25">
      <c r="B10" s="369"/>
      <c r="C10" s="68" t="str">
        <f>IF(AND(E9,Gatekeepers!F8=1),"Pass","")</f>
        <v/>
      </c>
      <c r="D10" s="68" t="str">
        <f>IF(AND(E9,Gatekeepers!F8&lt;&gt;1),"Fail ("&amp;TEXT(Gatekeepers!F8,"0,0%")&amp;")","")</f>
        <v/>
      </c>
      <c r="E10" s="107" t="str">
        <f>IF(AND(E9,SUM(COUNTIF(Table1[Scoring],"Pass"),COUNTIF(Table1[Scoring],"Fail"))&lt;&gt;(COUNTA(Table1[Scoring])+COUNTBLANK(Table1[Scoring]))),"Incomplete response","")</f>
        <v/>
      </c>
    </row>
    <row r="11" spans="2:8" ht="12" customHeight="1" thickBot="1" x14ac:dyDescent="0.25"/>
    <row r="12" spans="2:8" ht="16.5" thickBot="1" x14ac:dyDescent="0.25">
      <c r="B12" s="69" t="s">
        <v>94</v>
      </c>
      <c r="C12" s="70"/>
      <c r="D12" s="70"/>
      <c r="E12" s="71"/>
      <c r="G12" s="143"/>
    </row>
    <row r="13" spans="2:8" ht="16.5" thickBot="1" x14ac:dyDescent="0.25">
      <c r="B13" s="97" t="s">
        <v>95</v>
      </c>
      <c r="C13" s="98" t="s">
        <v>25</v>
      </c>
      <c r="D13" s="163" t="s">
        <v>96</v>
      </c>
      <c r="E13" s="139" t="s">
        <v>29</v>
      </c>
    </row>
    <row r="14" spans="2:8" ht="15.75" x14ac:dyDescent="0.2">
      <c r="B14" s="131" t="s">
        <v>97</v>
      </c>
      <c r="C14" s="188">
        <v>0.5</v>
      </c>
      <c r="D14" s="144"/>
      <c r="E14" s="186" t="e">
        <f>'1. Bidder Implementation Cap'!L11</f>
        <v>#N/A</v>
      </c>
      <c r="G14" s="50"/>
    </row>
    <row r="15" spans="2:8" ht="15.75" x14ac:dyDescent="0.2">
      <c r="B15" s="132" t="s">
        <v>98</v>
      </c>
      <c r="C15" s="189">
        <v>3.7499999999999999E-2</v>
      </c>
      <c r="D15" s="145"/>
      <c r="E15" s="187" t="e">
        <f>'2a. Vendor Master Data Mgmt.'!M11</f>
        <v>#N/A</v>
      </c>
      <c r="G15" s="50"/>
    </row>
    <row r="16" spans="2:8" ht="15.75" x14ac:dyDescent="0.2">
      <c r="B16" s="132" t="s">
        <v>99</v>
      </c>
      <c r="C16" s="189">
        <v>3.7499999999999999E-2</v>
      </c>
      <c r="D16" s="145"/>
      <c r="E16" s="187" t="e">
        <f>'2b. Procurement Mgmt.'!L11</f>
        <v>#N/A</v>
      </c>
      <c r="G16" s="50"/>
    </row>
    <row r="17" spans="2:7" ht="30" x14ac:dyDescent="0.2">
      <c r="B17" s="132" t="s">
        <v>100</v>
      </c>
      <c r="C17" s="189">
        <v>3.7499999999999999E-2</v>
      </c>
      <c r="D17" s="145"/>
      <c r="E17" s="187" t="e">
        <f>'2c. Electronic Auction'!L11</f>
        <v>#N/A</v>
      </c>
      <c r="G17" s="50"/>
    </row>
    <row r="18" spans="2:7" ht="15.75" x14ac:dyDescent="0.2">
      <c r="B18" s="132" t="s">
        <v>101</v>
      </c>
      <c r="C18" s="189">
        <v>3.7499999999999999E-2</v>
      </c>
      <c r="D18" s="145"/>
      <c r="E18" s="187" t="e">
        <f>'2d. Electronic Tendering'!L11</f>
        <v>#N/A</v>
      </c>
      <c r="G18" s="50"/>
    </row>
    <row r="19" spans="2:7" ht="30" x14ac:dyDescent="0.2">
      <c r="B19" s="132" t="s">
        <v>102</v>
      </c>
      <c r="C19" s="189">
        <v>2.5000000000000001E-2</v>
      </c>
      <c r="D19" s="145"/>
      <c r="E19" s="187" t="e">
        <f>'2e. Contract Est. &amp; Admin'!L11</f>
        <v>#N/A</v>
      </c>
      <c r="G19" s="50"/>
    </row>
    <row r="20" spans="2:7" ht="30" x14ac:dyDescent="0.2">
      <c r="B20" s="132" t="s">
        <v>103</v>
      </c>
      <c r="C20" s="189">
        <v>3.7499999999999999E-2</v>
      </c>
      <c r="D20" s="145"/>
      <c r="E20" s="187" t="e">
        <f>'2f. SDL&amp;I'!L11</f>
        <v>#N/A</v>
      </c>
      <c r="G20" s="50"/>
    </row>
    <row r="21" spans="2:7" ht="33" customHeight="1" x14ac:dyDescent="0.2">
      <c r="B21" s="132" t="s">
        <v>104</v>
      </c>
      <c r="C21" s="189">
        <v>3.7499999999999999E-2</v>
      </c>
      <c r="D21" s="145"/>
      <c r="E21" s="187" t="e">
        <f>'2g. Document Management'!L11</f>
        <v>#N/A</v>
      </c>
      <c r="G21" s="50"/>
    </row>
    <row r="22" spans="2:7" ht="30" x14ac:dyDescent="0.2">
      <c r="B22" s="132" t="s">
        <v>105</v>
      </c>
      <c r="C22" s="189">
        <v>8.7499999999999994E-2</v>
      </c>
      <c r="D22" s="145"/>
      <c r="E22" s="187" t="e">
        <f>'2h. Architecture Requirements'!L11</f>
        <v>#N/A</v>
      </c>
      <c r="G22" s="50"/>
    </row>
    <row r="23" spans="2:7" ht="15.75" x14ac:dyDescent="0.2">
      <c r="B23" s="132" t="s">
        <v>106</v>
      </c>
      <c r="C23" s="189">
        <v>8.7499999999999994E-2</v>
      </c>
      <c r="D23" s="145"/>
      <c r="E23" s="187" t="e">
        <f>'2i. Cloud Requirements'!L11</f>
        <v>#N/A</v>
      </c>
      <c r="G23" s="50"/>
    </row>
    <row r="24" spans="2:7" ht="15.75" x14ac:dyDescent="0.2">
      <c r="B24" s="132" t="s">
        <v>107</v>
      </c>
      <c r="C24" s="189">
        <v>2.5000000000000001E-2</v>
      </c>
      <c r="D24" s="145"/>
      <c r="E24" s="187" t="e">
        <f>'2j. Data Privacy Requirements'!L11</f>
        <v>#N/A</v>
      </c>
      <c r="G24" s="50"/>
    </row>
    <row r="25" spans="2:7" ht="15.75" x14ac:dyDescent="0.2">
      <c r="B25" s="132" t="s">
        <v>108</v>
      </c>
      <c r="C25" s="189">
        <v>2.5000000000000001E-2</v>
      </c>
      <c r="D25" s="145"/>
      <c r="E25" s="187" t="e">
        <f>'2k. Data Migration'!L11</f>
        <v>#N/A</v>
      </c>
      <c r="G25" s="50"/>
    </row>
    <row r="26" spans="2:7" ht="16.5" thickBot="1" x14ac:dyDescent="0.25">
      <c r="B26" s="132" t="s">
        <v>109</v>
      </c>
      <c r="C26" s="189">
        <v>2.5000000000000001E-2</v>
      </c>
      <c r="D26" s="145"/>
      <c r="E26" s="193" t="e">
        <f>'2l. Security Requirements'!L11</f>
        <v>#N/A</v>
      </c>
      <c r="G26" s="50"/>
    </row>
    <row r="27" spans="2:7" ht="16.5" thickBot="1" x14ac:dyDescent="0.3">
      <c r="B27" s="99" t="s">
        <v>110</v>
      </c>
      <c r="C27" s="190">
        <f>SUM(C14:C26)</f>
        <v>1</v>
      </c>
      <c r="D27" s="191">
        <v>0.75</v>
      </c>
      <c r="E27" s="192" t="e">
        <f>SUM(E14:E26)</f>
        <v>#N/A</v>
      </c>
      <c r="G27" s="50"/>
    </row>
    <row r="28" spans="2:7" ht="12.75" thickTop="1" thickBot="1" x14ac:dyDescent="0.25">
      <c r="B28" s="133"/>
      <c r="C28" s="134"/>
      <c r="D28" s="134"/>
      <c r="E28" s="135"/>
    </row>
    <row r="29" spans="2:7" ht="16.5" thickBot="1" x14ac:dyDescent="0.25">
      <c r="B29" s="69" t="s">
        <v>111</v>
      </c>
      <c r="C29" s="70"/>
      <c r="D29" s="70"/>
      <c r="E29" s="71"/>
    </row>
    <row r="30" spans="2:7" ht="16.5" thickBot="1" x14ac:dyDescent="0.25">
      <c r="B30" s="101" t="s">
        <v>77</v>
      </c>
      <c r="C30" s="102" t="s">
        <v>25</v>
      </c>
      <c r="D30" s="103" t="s">
        <v>96</v>
      </c>
      <c r="E30" s="104" t="s">
        <v>29</v>
      </c>
    </row>
    <row r="31" spans="2:7" ht="16.5" thickBot="1" x14ac:dyDescent="0.3">
      <c r="B31" s="105" t="s">
        <v>77</v>
      </c>
      <c r="C31" s="106">
        <v>1</v>
      </c>
      <c r="D31" s="164">
        <v>0.75</v>
      </c>
      <c r="E31" s="100" t="e">
        <f>Demo!L11</f>
        <v>#N/A</v>
      </c>
    </row>
    <row r="32" spans="2:7" ht="12" thickTop="1" x14ac:dyDescent="0.2"/>
  </sheetData>
  <mergeCells count="2">
    <mergeCell ref="B9:B10"/>
    <mergeCell ref="C9:D9"/>
  </mergeCells>
  <conditionalFormatting sqref="C10">
    <cfRule type="cellIs" dxfId="588" priority="11" operator="equal">
      <formula>"Pass"</formula>
    </cfRule>
  </conditionalFormatting>
  <conditionalFormatting sqref="C27">
    <cfRule type="cellIs" dxfId="587" priority="6" operator="notEqual">
      <formula>1</formula>
    </cfRule>
  </conditionalFormatting>
  <conditionalFormatting sqref="D10">
    <cfRule type="containsText" dxfId="586" priority="10" operator="containsText" text="Fail">
      <formula>NOT(ISERROR(SEARCH("Fail",D10)))</formula>
    </cfRule>
  </conditionalFormatting>
  <conditionalFormatting sqref="E10">
    <cfRule type="expression" dxfId="585" priority="2">
      <formula>E10="Incomplete response"</formula>
    </cfRule>
  </conditionalFormatting>
  <conditionalFormatting sqref="E14:E27">
    <cfRule type="expression" dxfId="584" priority="3">
      <formula>AND(ISNUMBER(D14),(E14/C14)&lt;D14)</formula>
    </cfRule>
  </conditionalFormatting>
  <conditionalFormatting sqref="E31">
    <cfRule type="expression" dxfId="583" priority="1">
      <formula>AND(ISNUMBER(D31),(E31/C31)&lt;D31)</formula>
    </cfRule>
  </conditionalFormatting>
  <pageMargins left="0.25" right="0.25" top="0.75" bottom="0.75" header="0.3" footer="0.3"/>
  <pageSetup paperSize="9" scale="9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510C8-7D6B-4714-BD85-14A3E2107C32}">
  <dimension ref="A1:J975"/>
  <sheetViews>
    <sheetView topLeftCell="H36" zoomScaleNormal="100" workbookViewId="0">
      <selection activeCell="H36" sqref="H36"/>
    </sheetView>
  </sheetViews>
  <sheetFormatPr defaultColWidth="9" defaultRowHeight="12.75" x14ac:dyDescent="0.25"/>
  <cols>
    <col min="1" max="1" width="10" style="198" customWidth="1"/>
    <col min="2" max="2" width="37" style="117" customWidth="1"/>
    <col min="3" max="3" width="16.42578125" style="117" customWidth="1"/>
    <col min="4" max="4" width="47.28515625" style="117" customWidth="1"/>
    <col min="5" max="9" width="10" style="117" customWidth="1"/>
    <col min="10" max="10" width="10" style="198" customWidth="1"/>
    <col min="11" max="256" width="10" style="117" customWidth="1"/>
    <col min="257" max="16384" width="9" style="117"/>
  </cols>
  <sheetData>
    <row r="1" spans="1:10" ht="15.4" customHeight="1" x14ac:dyDescent="0.25">
      <c r="B1" s="204" t="s">
        <v>112</v>
      </c>
      <c r="C1" s="198"/>
      <c r="D1" s="198"/>
      <c r="E1" s="198"/>
      <c r="F1" s="198"/>
      <c r="G1" s="198"/>
      <c r="H1" s="198"/>
      <c r="I1" s="198"/>
    </row>
    <row r="2" spans="1:10" x14ac:dyDescent="0.25">
      <c r="B2" s="198"/>
      <c r="C2" s="198"/>
      <c r="D2" s="198"/>
      <c r="E2" s="198"/>
      <c r="F2" s="198"/>
      <c r="G2" s="198"/>
      <c r="H2" s="198"/>
      <c r="I2" s="198"/>
    </row>
    <row r="3" spans="1:10" s="118" customFormat="1" ht="15" x14ac:dyDescent="0.25">
      <c r="A3" s="197"/>
      <c r="B3" s="205" t="s">
        <v>113</v>
      </c>
      <c r="C3" s="197"/>
      <c r="D3" s="197"/>
      <c r="E3" s="197"/>
      <c r="F3" s="197"/>
      <c r="G3" s="197"/>
      <c r="H3" s="197"/>
      <c r="I3" s="197"/>
      <c r="J3" s="197"/>
    </row>
    <row r="4" spans="1:10" s="118" customFormat="1" ht="15" x14ac:dyDescent="0.25">
      <c r="A4" s="197"/>
      <c r="B4" s="197"/>
      <c r="C4" s="197"/>
      <c r="D4" s="197"/>
      <c r="E4" s="197"/>
      <c r="F4" s="197"/>
      <c r="G4" s="197"/>
      <c r="H4" s="197"/>
      <c r="I4" s="197"/>
      <c r="J4" s="197"/>
    </row>
    <row r="5" spans="1:10" s="118" customFormat="1" ht="15.75" x14ac:dyDescent="0.25">
      <c r="A5" s="197"/>
      <c r="B5" s="196" t="s">
        <v>114</v>
      </c>
      <c r="C5" s="197"/>
      <c r="D5" s="197"/>
      <c r="E5" s="197"/>
      <c r="F5" s="197"/>
      <c r="G5" s="197"/>
      <c r="H5" s="197"/>
      <c r="I5" s="197"/>
      <c r="J5" s="197"/>
    </row>
    <row r="6" spans="1:10" s="118" customFormat="1" ht="15.75" x14ac:dyDescent="0.25">
      <c r="A6" s="197"/>
      <c r="B6" s="196"/>
      <c r="C6" s="197"/>
      <c r="D6" s="197"/>
      <c r="E6" s="197"/>
      <c r="F6" s="197"/>
      <c r="G6" s="197"/>
      <c r="H6" s="197"/>
      <c r="I6" s="197"/>
      <c r="J6" s="197"/>
    </row>
    <row r="7" spans="1:10" s="118" customFormat="1" ht="15" x14ac:dyDescent="0.25">
      <c r="A7" s="197"/>
      <c r="B7" s="199"/>
      <c r="C7" s="199"/>
      <c r="D7" s="199"/>
      <c r="E7" s="199"/>
      <c r="F7" s="199"/>
      <c r="G7" s="199"/>
      <c r="H7" s="199"/>
      <c r="I7" s="197"/>
      <c r="J7" s="197"/>
    </row>
    <row r="8" spans="1:10" s="118" customFormat="1" ht="15" x14ac:dyDescent="0.25">
      <c r="A8" s="197"/>
      <c r="B8" s="199"/>
      <c r="C8" s="199"/>
      <c r="D8" s="199"/>
      <c r="E8" s="199"/>
      <c r="F8" s="199"/>
      <c r="G8" s="199"/>
      <c r="H8" s="199"/>
      <c r="I8" s="197"/>
      <c r="J8" s="197"/>
    </row>
    <row r="9" spans="1:10" s="118" customFormat="1" ht="15" x14ac:dyDescent="0.25">
      <c r="A9" s="197"/>
      <c r="B9" s="200" t="s">
        <v>115</v>
      </c>
      <c r="C9" s="200" t="s">
        <v>116</v>
      </c>
      <c r="D9" s="201" t="s">
        <v>117</v>
      </c>
      <c r="E9" s="199"/>
      <c r="F9" s="199"/>
      <c r="G9" s="199"/>
      <c r="H9" s="199"/>
      <c r="I9" s="197"/>
      <c r="J9" s="197"/>
    </row>
    <row r="10" spans="1:10" s="118" customFormat="1" ht="34.15" customHeight="1" x14ac:dyDescent="0.25">
      <c r="A10" s="197"/>
      <c r="B10" s="201"/>
      <c r="C10" s="202" t="s">
        <v>118</v>
      </c>
      <c r="D10" s="203" t="s">
        <v>119</v>
      </c>
      <c r="E10" s="199"/>
      <c r="F10" s="199"/>
      <c r="G10" s="199"/>
      <c r="H10" s="199"/>
      <c r="I10" s="197"/>
      <c r="J10" s="197"/>
    </row>
    <row r="11" spans="1:10" s="118" customFormat="1" ht="37.9" customHeight="1" x14ac:dyDescent="0.25">
      <c r="A11" s="197"/>
      <c r="B11" s="201"/>
      <c r="C11" s="202" t="s">
        <v>120</v>
      </c>
      <c r="D11" s="203" t="s">
        <v>119</v>
      </c>
      <c r="E11" s="199"/>
      <c r="F11" s="199"/>
      <c r="G11" s="199"/>
      <c r="H11" s="199"/>
      <c r="I11" s="197"/>
      <c r="J11" s="197"/>
    </row>
    <row r="12" spans="1:10" s="118" customFormat="1" ht="15" x14ac:dyDescent="0.25">
      <c r="A12" s="197"/>
      <c r="B12" s="199"/>
      <c r="C12" s="199"/>
      <c r="D12" s="199"/>
      <c r="E12" s="199"/>
      <c r="F12" s="199"/>
      <c r="G12" s="199"/>
      <c r="H12" s="199"/>
      <c r="I12" s="197"/>
      <c r="J12" s="197"/>
    </row>
    <row r="13" spans="1:10" s="118" customFormat="1" ht="15" x14ac:dyDescent="0.25">
      <c r="A13" s="197"/>
      <c r="B13" s="200" t="s">
        <v>121</v>
      </c>
      <c r="C13" s="200" t="s">
        <v>116</v>
      </c>
      <c r="D13" s="201" t="s">
        <v>122</v>
      </c>
      <c r="E13" s="199"/>
      <c r="F13" s="199"/>
      <c r="G13" s="199"/>
      <c r="H13" s="199"/>
      <c r="I13" s="197"/>
      <c r="J13" s="197"/>
    </row>
    <row r="14" spans="1:10" s="118" customFormat="1" ht="36" customHeight="1" x14ac:dyDescent="0.25">
      <c r="A14" s="197"/>
      <c r="B14" s="201"/>
      <c r="C14" s="202" t="s">
        <v>118</v>
      </c>
      <c r="D14" s="203" t="s">
        <v>119</v>
      </c>
      <c r="E14" s="199"/>
      <c r="F14" s="199"/>
      <c r="G14" s="199"/>
      <c r="H14" s="199"/>
      <c r="I14" s="197"/>
      <c r="J14" s="197"/>
    </row>
    <row r="15" spans="1:10" s="118" customFormat="1" ht="44.45" customHeight="1" x14ac:dyDescent="0.25">
      <c r="A15" s="197"/>
      <c r="B15" s="201"/>
      <c r="C15" s="202" t="s">
        <v>120</v>
      </c>
      <c r="D15" s="203" t="s">
        <v>119</v>
      </c>
      <c r="E15" s="199"/>
      <c r="F15" s="199"/>
      <c r="G15" s="199"/>
      <c r="H15" s="199"/>
      <c r="I15" s="197"/>
      <c r="J15" s="197"/>
    </row>
    <row r="16" spans="1:10" s="118" customFormat="1" ht="15" x14ac:dyDescent="0.25">
      <c r="A16" s="197"/>
      <c r="B16" s="199"/>
      <c r="C16" s="199"/>
      <c r="D16" s="199"/>
      <c r="E16" s="199"/>
      <c r="F16" s="199"/>
      <c r="G16" s="199"/>
      <c r="H16" s="199"/>
      <c r="I16" s="197"/>
      <c r="J16" s="197"/>
    </row>
    <row r="17" spans="1:10" s="118" customFormat="1" ht="15" x14ac:dyDescent="0.25">
      <c r="A17" s="197"/>
      <c r="B17" s="200" t="s">
        <v>123</v>
      </c>
      <c r="C17" s="200" t="s">
        <v>116</v>
      </c>
      <c r="D17" s="201" t="s">
        <v>124</v>
      </c>
      <c r="E17" s="199"/>
      <c r="F17" s="199"/>
      <c r="G17" s="199"/>
      <c r="H17" s="199"/>
      <c r="I17" s="197"/>
      <c r="J17" s="197"/>
    </row>
    <row r="18" spans="1:10" s="118" customFormat="1" ht="44.1" customHeight="1" x14ac:dyDescent="0.25">
      <c r="A18" s="197"/>
      <c r="B18" s="201"/>
      <c r="C18" s="202" t="s">
        <v>118</v>
      </c>
      <c r="D18" s="203" t="s">
        <v>119</v>
      </c>
      <c r="E18" s="199"/>
      <c r="F18" s="199"/>
      <c r="G18" s="199"/>
      <c r="H18" s="199"/>
      <c r="I18" s="197"/>
      <c r="J18" s="197"/>
    </row>
    <row r="19" spans="1:10" s="118" customFormat="1" ht="44.1" customHeight="1" x14ac:dyDescent="0.25">
      <c r="A19" s="197"/>
      <c r="B19" s="201"/>
      <c r="C19" s="202" t="s">
        <v>120</v>
      </c>
      <c r="D19" s="203" t="s">
        <v>119</v>
      </c>
      <c r="E19" s="199"/>
      <c r="F19" s="199"/>
      <c r="G19" s="199"/>
      <c r="H19" s="199"/>
      <c r="I19" s="197"/>
      <c r="J19" s="197"/>
    </row>
    <row r="20" spans="1:10" s="118" customFormat="1" ht="15" x14ac:dyDescent="0.25">
      <c r="A20" s="197"/>
      <c r="B20" s="199"/>
      <c r="C20" s="199"/>
      <c r="D20" s="199"/>
      <c r="E20" s="199"/>
      <c r="F20" s="199"/>
      <c r="G20" s="199"/>
      <c r="H20" s="199"/>
      <c r="I20" s="197"/>
      <c r="J20" s="197"/>
    </row>
    <row r="21" spans="1:10" s="118" customFormat="1" ht="15" x14ac:dyDescent="0.25">
      <c r="A21" s="197"/>
      <c r="B21" s="199"/>
      <c r="C21" s="199"/>
      <c r="D21" s="199"/>
      <c r="E21" s="199"/>
      <c r="F21" s="199"/>
      <c r="G21" s="199"/>
      <c r="H21" s="199"/>
      <c r="I21" s="197"/>
      <c r="J21" s="197"/>
    </row>
    <row r="22" spans="1:10" s="118" customFormat="1" ht="15" x14ac:dyDescent="0.25">
      <c r="A22" s="197"/>
      <c r="B22" s="200" t="s">
        <v>125</v>
      </c>
      <c r="C22" s="200" t="s">
        <v>116</v>
      </c>
      <c r="D22" s="201" t="s">
        <v>126</v>
      </c>
      <c r="E22" s="199"/>
      <c r="F22" s="199"/>
      <c r="G22" s="199"/>
      <c r="H22" s="199"/>
      <c r="I22" s="197"/>
      <c r="J22" s="197"/>
    </row>
    <row r="23" spans="1:10" s="118" customFormat="1" ht="31.5" customHeight="1" x14ac:dyDescent="0.25">
      <c r="A23" s="197"/>
      <c r="B23" s="201"/>
      <c r="C23" s="202" t="s">
        <v>118</v>
      </c>
      <c r="D23" s="203" t="s">
        <v>119</v>
      </c>
      <c r="E23" s="199"/>
      <c r="F23" s="199"/>
      <c r="G23" s="199"/>
      <c r="H23" s="199"/>
      <c r="I23" s="197"/>
      <c r="J23" s="197"/>
    </row>
    <row r="24" spans="1:10" s="118" customFormat="1" ht="48.6" customHeight="1" x14ac:dyDescent="0.25">
      <c r="A24" s="197"/>
      <c r="B24" s="201"/>
      <c r="C24" s="202" t="s">
        <v>120</v>
      </c>
      <c r="D24" s="203" t="s">
        <v>119</v>
      </c>
      <c r="E24" s="199"/>
      <c r="F24" s="199"/>
      <c r="G24" s="199"/>
      <c r="H24" s="199"/>
      <c r="I24" s="197"/>
      <c r="J24" s="197"/>
    </row>
    <row r="25" spans="1:10" s="118" customFormat="1" ht="15" x14ac:dyDescent="0.25">
      <c r="A25" s="197"/>
      <c r="B25" s="199"/>
      <c r="C25" s="199"/>
      <c r="D25" s="199"/>
      <c r="E25" s="199"/>
      <c r="F25" s="199"/>
      <c r="G25" s="199"/>
      <c r="H25" s="199"/>
      <c r="I25" s="197"/>
      <c r="J25" s="197"/>
    </row>
    <row r="26" spans="1:10" s="118" customFormat="1" ht="15" x14ac:dyDescent="0.25">
      <c r="A26" s="197"/>
      <c r="B26" s="199"/>
      <c r="C26" s="199"/>
      <c r="D26" s="199"/>
      <c r="E26" s="199"/>
      <c r="F26" s="199"/>
      <c r="G26" s="199"/>
      <c r="H26" s="199"/>
      <c r="I26" s="197"/>
      <c r="J26" s="197"/>
    </row>
    <row r="27" spans="1:10" s="118" customFormat="1" ht="15" x14ac:dyDescent="0.25">
      <c r="A27" s="197"/>
      <c r="B27" s="200" t="s">
        <v>127</v>
      </c>
      <c r="C27" s="200" t="s">
        <v>116</v>
      </c>
      <c r="D27" s="201" t="s">
        <v>128</v>
      </c>
      <c r="E27" s="199"/>
      <c r="F27" s="199"/>
      <c r="G27" s="199"/>
      <c r="H27" s="199"/>
      <c r="I27" s="197"/>
      <c r="J27" s="197"/>
    </row>
    <row r="28" spans="1:10" s="118" customFormat="1" ht="27" customHeight="1" x14ac:dyDescent="0.25">
      <c r="A28" s="197"/>
      <c r="B28" s="201"/>
      <c r="C28" s="202" t="s">
        <v>118</v>
      </c>
      <c r="D28" s="203" t="s">
        <v>119</v>
      </c>
      <c r="E28" s="199"/>
      <c r="F28" s="199"/>
      <c r="G28" s="199"/>
      <c r="H28" s="199"/>
      <c r="I28" s="197"/>
      <c r="J28" s="197"/>
    </row>
    <row r="29" spans="1:10" ht="34.5" customHeight="1" x14ac:dyDescent="0.25">
      <c r="B29" s="201"/>
      <c r="C29" s="202" t="s">
        <v>120</v>
      </c>
      <c r="D29" s="203" t="s">
        <v>119</v>
      </c>
      <c r="E29" s="199"/>
      <c r="F29" s="199"/>
      <c r="G29" s="199"/>
      <c r="H29" s="199"/>
      <c r="I29" s="198"/>
    </row>
    <row r="30" spans="1:10" ht="14.25" x14ac:dyDescent="0.25">
      <c r="B30" s="199"/>
      <c r="C30" s="199"/>
      <c r="D30" s="199"/>
      <c r="E30" s="199"/>
      <c r="F30" s="199"/>
      <c r="G30" s="199"/>
      <c r="H30" s="199"/>
      <c r="I30" s="198"/>
    </row>
    <row r="31" spans="1:10" ht="14.25" x14ac:dyDescent="0.25">
      <c r="B31" s="199"/>
      <c r="C31" s="199"/>
      <c r="D31" s="199"/>
      <c r="E31" s="199"/>
      <c r="F31" s="199"/>
      <c r="G31" s="199"/>
      <c r="H31" s="199"/>
      <c r="I31" s="198"/>
    </row>
    <row r="32" spans="1:10" ht="14.25" x14ac:dyDescent="0.25">
      <c r="B32" s="199"/>
      <c r="C32" s="199"/>
      <c r="D32" s="199"/>
      <c r="E32" s="199"/>
      <c r="F32" s="199"/>
      <c r="G32" s="199"/>
      <c r="H32" s="199"/>
      <c r="I32" s="198"/>
    </row>
    <row r="33" spans="2:9" ht="14.25" x14ac:dyDescent="0.25">
      <c r="B33" s="199"/>
      <c r="C33" s="199"/>
      <c r="D33" s="199"/>
      <c r="E33" s="199"/>
      <c r="F33" s="199"/>
      <c r="G33" s="199"/>
      <c r="H33" s="199"/>
      <c r="I33" s="198"/>
    </row>
    <row r="34" spans="2:9" ht="14.25" x14ac:dyDescent="0.25">
      <c r="B34" s="199"/>
      <c r="C34" s="199"/>
      <c r="D34" s="199"/>
      <c r="E34" s="199"/>
      <c r="F34" s="199"/>
      <c r="G34" s="199"/>
      <c r="H34" s="199"/>
      <c r="I34" s="198"/>
    </row>
    <row r="35" spans="2:9" ht="30" x14ac:dyDescent="0.25">
      <c r="B35" s="200" t="s">
        <v>129</v>
      </c>
      <c r="C35" s="200" t="s">
        <v>116</v>
      </c>
      <c r="D35" s="201" t="s">
        <v>130</v>
      </c>
      <c r="E35" s="199"/>
      <c r="F35" s="199"/>
      <c r="G35" s="199"/>
      <c r="H35" s="199"/>
      <c r="I35" s="198"/>
    </row>
    <row r="36" spans="2:9" ht="39.950000000000003" customHeight="1" x14ac:dyDescent="0.25">
      <c r="B36" s="201"/>
      <c r="C36" s="202" t="s">
        <v>118</v>
      </c>
      <c r="D36" s="203" t="s">
        <v>119</v>
      </c>
      <c r="E36" s="199"/>
      <c r="F36" s="199"/>
      <c r="G36" s="199"/>
      <c r="H36" s="199"/>
      <c r="I36" s="198"/>
    </row>
    <row r="37" spans="2:9" ht="39.950000000000003" customHeight="1" x14ac:dyDescent="0.25">
      <c r="B37" s="201"/>
      <c r="C37" s="202" t="s">
        <v>120</v>
      </c>
      <c r="D37" s="203" t="s">
        <v>119</v>
      </c>
      <c r="E37" s="199"/>
      <c r="F37" s="199"/>
      <c r="G37" s="199"/>
      <c r="H37" s="199"/>
      <c r="I37" s="198"/>
    </row>
    <row r="38" spans="2:9" ht="14.25" x14ac:dyDescent="0.25">
      <c r="B38" s="199"/>
      <c r="C38" s="199"/>
      <c r="D38" s="199"/>
      <c r="E38" s="199"/>
      <c r="F38" s="199"/>
      <c r="G38" s="199"/>
      <c r="H38" s="199"/>
      <c r="I38" s="198"/>
    </row>
    <row r="39" spans="2:9" ht="14.25" x14ac:dyDescent="0.25">
      <c r="B39" s="199"/>
      <c r="C39" s="199"/>
      <c r="D39" s="199"/>
      <c r="E39" s="199"/>
      <c r="F39" s="199"/>
      <c r="G39" s="199"/>
      <c r="H39" s="199"/>
      <c r="I39" s="198"/>
    </row>
    <row r="40" spans="2:9" ht="30" x14ac:dyDescent="0.25">
      <c r="B40" s="200" t="s">
        <v>131</v>
      </c>
      <c r="C40" s="200" t="s">
        <v>116</v>
      </c>
      <c r="D40" s="201" t="s">
        <v>132</v>
      </c>
      <c r="E40" s="199"/>
      <c r="F40" s="199"/>
      <c r="G40" s="199"/>
      <c r="H40" s="199"/>
      <c r="I40" s="198"/>
    </row>
    <row r="41" spans="2:9" ht="46.5" customHeight="1" x14ac:dyDescent="0.25">
      <c r="B41" s="201"/>
      <c r="C41" s="202" t="s">
        <v>118</v>
      </c>
      <c r="D41" s="203" t="s">
        <v>119</v>
      </c>
      <c r="E41" s="199"/>
      <c r="F41" s="199"/>
      <c r="G41" s="199"/>
      <c r="H41" s="199"/>
      <c r="I41" s="198"/>
    </row>
    <row r="42" spans="2:9" ht="46.5" customHeight="1" x14ac:dyDescent="0.25">
      <c r="B42" s="201"/>
      <c r="C42" s="202" t="s">
        <v>120</v>
      </c>
      <c r="D42" s="203" t="s">
        <v>119</v>
      </c>
      <c r="E42" s="199"/>
      <c r="F42" s="199"/>
      <c r="G42" s="199"/>
      <c r="H42" s="199"/>
      <c r="I42" s="198"/>
    </row>
    <row r="43" spans="2:9" ht="14.25" x14ac:dyDescent="0.25">
      <c r="B43" s="199"/>
      <c r="C43" s="199"/>
      <c r="D43" s="199"/>
      <c r="E43" s="199"/>
      <c r="F43" s="199"/>
      <c r="G43" s="199"/>
      <c r="H43" s="199"/>
      <c r="I43" s="198"/>
    </row>
    <row r="44" spans="2:9" ht="14.25" x14ac:dyDescent="0.25">
      <c r="B44" s="199"/>
      <c r="C44" s="199"/>
      <c r="D44" s="199"/>
      <c r="E44" s="199"/>
      <c r="F44" s="199"/>
      <c r="G44" s="199"/>
      <c r="H44" s="199"/>
      <c r="I44" s="198"/>
    </row>
    <row r="45" spans="2:9" ht="45" x14ac:dyDescent="0.25">
      <c r="B45" s="200" t="s">
        <v>133</v>
      </c>
      <c r="C45" s="200" t="s">
        <v>116</v>
      </c>
      <c r="D45" s="201" t="s">
        <v>134</v>
      </c>
      <c r="E45" s="199"/>
      <c r="F45" s="199"/>
      <c r="G45" s="199"/>
      <c r="H45" s="199"/>
      <c r="I45" s="198"/>
    </row>
    <row r="46" spans="2:9" ht="39.950000000000003" customHeight="1" x14ac:dyDescent="0.25">
      <c r="B46" s="201"/>
      <c r="C46" s="202" t="s">
        <v>118</v>
      </c>
      <c r="D46" s="203" t="s">
        <v>119</v>
      </c>
      <c r="E46" s="199"/>
      <c r="F46" s="199"/>
      <c r="G46" s="199"/>
      <c r="H46" s="199"/>
      <c r="I46" s="198"/>
    </row>
    <row r="47" spans="2:9" ht="39.950000000000003" customHeight="1" x14ac:dyDescent="0.25">
      <c r="B47" s="201"/>
      <c r="C47" s="202" t="s">
        <v>120</v>
      </c>
      <c r="D47" s="203" t="s">
        <v>119</v>
      </c>
      <c r="E47" s="199"/>
      <c r="F47" s="199"/>
      <c r="G47" s="199"/>
      <c r="H47" s="199"/>
      <c r="I47" s="198"/>
    </row>
    <row r="48" spans="2:9" ht="14.25" x14ac:dyDescent="0.25">
      <c r="B48" s="199"/>
      <c r="C48" s="199"/>
      <c r="D48" s="199"/>
      <c r="E48" s="199"/>
      <c r="F48" s="199"/>
      <c r="G48" s="199"/>
      <c r="H48" s="199"/>
      <c r="I48" s="198"/>
    </row>
    <row r="49" spans="2:9" ht="14.25" x14ac:dyDescent="0.25">
      <c r="B49" s="199"/>
      <c r="C49" s="199"/>
      <c r="D49" s="199"/>
      <c r="E49" s="199"/>
      <c r="F49" s="199"/>
      <c r="G49" s="199"/>
      <c r="H49" s="199"/>
      <c r="I49" s="198"/>
    </row>
    <row r="50" spans="2:9" ht="14.25" x14ac:dyDescent="0.25">
      <c r="B50" s="199"/>
      <c r="C50" s="199"/>
      <c r="D50" s="199"/>
      <c r="E50" s="199"/>
      <c r="F50" s="199"/>
      <c r="G50" s="199"/>
      <c r="H50" s="199"/>
      <c r="I50" s="198"/>
    </row>
    <row r="51" spans="2:9" ht="45" x14ac:dyDescent="0.25">
      <c r="B51" s="200" t="s">
        <v>135</v>
      </c>
      <c r="C51" s="200" t="s">
        <v>116</v>
      </c>
      <c r="D51" s="201" t="s">
        <v>136</v>
      </c>
      <c r="E51" s="199"/>
      <c r="F51" s="199"/>
      <c r="G51" s="199"/>
      <c r="H51" s="199"/>
      <c r="I51" s="198"/>
    </row>
    <row r="52" spans="2:9" ht="39.950000000000003" customHeight="1" x14ac:dyDescent="0.25">
      <c r="B52" s="201"/>
      <c r="C52" s="202" t="s">
        <v>118</v>
      </c>
      <c r="D52" s="203" t="s">
        <v>119</v>
      </c>
      <c r="E52" s="199"/>
      <c r="F52" s="199"/>
      <c r="G52" s="199"/>
      <c r="H52" s="199"/>
      <c r="I52" s="198"/>
    </row>
    <row r="53" spans="2:9" ht="39.950000000000003" customHeight="1" x14ac:dyDescent="0.25">
      <c r="B53" s="201"/>
      <c r="C53" s="202" t="s">
        <v>120</v>
      </c>
      <c r="D53" s="203" t="s">
        <v>119</v>
      </c>
      <c r="E53" s="199"/>
      <c r="F53" s="199"/>
      <c r="G53" s="199"/>
      <c r="H53" s="199"/>
      <c r="I53" s="198"/>
    </row>
    <row r="54" spans="2:9" ht="14.25" x14ac:dyDescent="0.25">
      <c r="B54" s="199"/>
      <c r="C54" s="199"/>
      <c r="D54" s="199"/>
      <c r="E54" s="199"/>
      <c r="F54" s="199"/>
      <c r="G54" s="199"/>
      <c r="H54" s="199"/>
      <c r="I54" s="198"/>
    </row>
    <row r="55" spans="2:9" ht="14.25" x14ac:dyDescent="0.25">
      <c r="B55" s="199"/>
      <c r="C55" s="199"/>
      <c r="D55" s="199"/>
      <c r="E55" s="199"/>
      <c r="F55" s="199"/>
      <c r="G55" s="199"/>
      <c r="H55" s="199"/>
      <c r="I55" s="198"/>
    </row>
    <row r="56" spans="2:9" ht="14.25" x14ac:dyDescent="0.25">
      <c r="B56" s="199"/>
      <c r="C56" s="199"/>
      <c r="D56" s="199"/>
      <c r="E56" s="199"/>
      <c r="F56" s="199"/>
      <c r="G56" s="199"/>
      <c r="H56" s="199"/>
      <c r="I56" s="198"/>
    </row>
    <row r="57" spans="2:9" ht="45" x14ac:dyDescent="0.25">
      <c r="B57" s="200" t="s">
        <v>137</v>
      </c>
      <c r="C57" s="200" t="s">
        <v>116</v>
      </c>
      <c r="D57" s="201" t="s">
        <v>138</v>
      </c>
      <c r="E57" s="199"/>
      <c r="F57" s="199"/>
      <c r="G57" s="199"/>
      <c r="H57" s="199"/>
      <c r="I57" s="198"/>
    </row>
    <row r="58" spans="2:9" ht="39.950000000000003" customHeight="1" x14ac:dyDescent="0.25">
      <c r="B58" s="201"/>
      <c r="C58" s="202" t="s">
        <v>118</v>
      </c>
      <c r="D58" s="203" t="s">
        <v>119</v>
      </c>
      <c r="E58" s="199"/>
      <c r="F58" s="199"/>
      <c r="G58" s="199"/>
      <c r="H58" s="199"/>
      <c r="I58" s="198"/>
    </row>
    <row r="59" spans="2:9" ht="39.950000000000003" customHeight="1" x14ac:dyDescent="0.25">
      <c r="B59" s="201"/>
      <c r="C59" s="202" t="s">
        <v>120</v>
      </c>
      <c r="D59" s="203" t="s">
        <v>119</v>
      </c>
      <c r="E59" s="199"/>
      <c r="F59" s="199"/>
      <c r="G59" s="199"/>
      <c r="H59" s="199"/>
      <c r="I59" s="198"/>
    </row>
    <row r="60" spans="2:9" ht="14.25" x14ac:dyDescent="0.25">
      <c r="B60" s="199"/>
      <c r="C60" s="199"/>
      <c r="D60" s="199"/>
      <c r="E60" s="199"/>
      <c r="F60" s="199"/>
      <c r="G60" s="199"/>
      <c r="H60" s="199"/>
      <c r="I60" s="198"/>
    </row>
    <row r="61" spans="2:9" ht="14.25" x14ac:dyDescent="0.25">
      <c r="B61" s="199"/>
      <c r="C61" s="199"/>
      <c r="D61" s="199"/>
      <c r="E61" s="199"/>
      <c r="F61" s="199"/>
      <c r="G61" s="199"/>
      <c r="H61" s="199"/>
      <c r="I61" s="198"/>
    </row>
    <row r="62" spans="2:9" ht="14.25" x14ac:dyDescent="0.25">
      <c r="B62" s="199"/>
      <c r="C62" s="199"/>
      <c r="D62" s="199"/>
      <c r="E62" s="199"/>
      <c r="F62" s="199"/>
      <c r="G62" s="199"/>
      <c r="H62" s="199"/>
      <c r="I62" s="198"/>
    </row>
    <row r="63" spans="2:9" ht="45" x14ac:dyDescent="0.25">
      <c r="B63" s="200" t="s">
        <v>139</v>
      </c>
      <c r="C63" s="200" t="s">
        <v>116</v>
      </c>
      <c r="D63" s="201" t="s">
        <v>140</v>
      </c>
      <c r="E63" s="199"/>
      <c r="F63" s="199"/>
      <c r="G63" s="199"/>
      <c r="H63" s="199"/>
      <c r="I63" s="198"/>
    </row>
    <row r="64" spans="2:9" ht="46.5" customHeight="1" x14ac:dyDescent="0.25">
      <c r="B64" s="201"/>
      <c r="C64" s="202" t="s">
        <v>118</v>
      </c>
      <c r="D64" s="203" t="s">
        <v>119</v>
      </c>
      <c r="E64" s="199"/>
      <c r="F64" s="199"/>
      <c r="G64" s="199"/>
      <c r="H64" s="199"/>
      <c r="I64" s="198"/>
    </row>
    <row r="65" spans="2:9" ht="46.5" customHeight="1" x14ac:dyDescent="0.25">
      <c r="B65" s="201"/>
      <c r="C65" s="202" t="s">
        <v>120</v>
      </c>
      <c r="D65" s="203" t="s">
        <v>119</v>
      </c>
      <c r="E65" s="199"/>
      <c r="F65" s="199"/>
      <c r="G65" s="199"/>
      <c r="H65" s="199"/>
      <c r="I65" s="198"/>
    </row>
    <row r="66" spans="2:9" ht="14.25" x14ac:dyDescent="0.25">
      <c r="B66" s="199"/>
      <c r="C66" s="199"/>
      <c r="D66" s="199"/>
      <c r="E66" s="199"/>
      <c r="F66" s="199"/>
      <c r="G66" s="199"/>
      <c r="H66" s="199"/>
      <c r="I66" s="198"/>
    </row>
    <row r="67" spans="2:9" ht="14.25" x14ac:dyDescent="0.25">
      <c r="B67" s="199"/>
      <c r="C67" s="199"/>
      <c r="D67" s="199"/>
      <c r="E67" s="199"/>
      <c r="F67" s="199"/>
      <c r="G67" s="199"/>
      <c r="H67" s="199"/>
      <c r="I67" s="198"/>
    </row>
    <row r="68" spans="2:9" ht="45" x14ac:dyDescent="0.25">
      <c r="B68" s="200" t="s">
        <v>141</v>
      </c>
      <c r="C68" s="200" t="s">
        <v>116</v>
      </c>
      <c r="D68" s="201" t="s">
        <v>142</v>
      </c>
      <c r="E68" s="199"/>
      <c r="F68" s="199"/>
      <c r="G68" s="199"/>
      <c r="H68" s="199"/>
      <c r="I68" s="198"/>
    </row>
    <row r="69" spans="2:9" ht="46.5" customHeight="1" x14ac:dyDescent="0.25">
      <c r="B69" s="201"/>
      <c r="C69" s="202" t="s">
        <v>118</v>
      </c>
      <c r="D69" s="203" t="s">
        <v>119</v>
      </c>
      <c r="E69" s="199"/>
      <c r="F69" s="199"/>
      <c r="G69" s="199"/>
      <c r="H69" s="199"/>
      <c r="I69" s="198"/>
    </row>
    <row r="70" spans="2:9" ht="46.5" customHeight="1" x14ac:dyDescent="0.25">
      <c r="B70" s="201"/>
      <c r="C70" s="202" t="s">
        <v>120</v>
      </c>
      <c r="D70" s="203" t="s">
        <v>119</v>
      </c>
      <c r="E70" s="199"/>
      <c r="F70" s="199"/>
      <c r="G70" s="199"/>
      <c r="H70" s="199"/>
      <c r="I70" s="198"/>
    </row>
    <row r="71" spans="2:9" ht="14.25" x14ac:dyDescent="0.25">
      <c r="B71" s="199"/>
      <c r="C71" s="199"/>
      <c r="D71" s="199"/>
      <c r="E71" s="199"/>
      <c r="F71" s="199"/>
      <c r="G71" s="199"/>
      <c r="H71" s="199"/>
      <c r="I71" s="198"/>
    </row>
    <row r="72" spans="2:9" ht="14.25" x14ac:dyDescent="0.25">
      <c r="B72" s="199"/>
      <c r="C72" s="199"/>
      <c r="D72" s="199"/>
      <c r="E72" s="199"/>
      <c r="F72" s="199"/>
      <c r="G72" s="199"/>
      <c r="H72" s="199"/>
      <c r="I72" s="198"/>
    </row>
    <row r="73" spans="2:9" ht="14.25" x14ac:dyDescent="0.25">
      <c r="B73" s="199"/>
      <c r="C73" s="199"/>
      <c r="D73" s="199"/>
      <c r="E73" s="199"/>
      <c r="F73" s="199"/>
      <c r="G73" s="199"/>
      <c r="H73" s="199"/>
      <c r="I73" s="198"/>
    </row>
    <row r="74" spans="2:9" ht="30" x14ac:dyDescent="0.25">
      <c r="B74" s="200" t="s">
        <v>143</v>
      </c>
      <c r="C74" s="200" t="s">
        <v>116</v>
      </c>
      <c r="D74" s="201" t="s">
        <v>144</v>
      </c>
      <c r="E74" s="199"/>
      <c r="F74" s="199"/>
      <c r="G74" s="199"/>
      <c r="H74" s="199"/>
      <c r="I74" s="198"/>
    </row>
    <row r="75" spans="2:9" ht="46.5" customHeight="1" x14ac:dyDescent="0.25">
      <c r="B75" s="201"/>
      <c r="C75" s="202" t="s">
        <v>118</v>
      </c>
      <c r="D75" s="203" t="s">
        <v>119</v>
      </c>
      <c r="E75" s="199"/>
      <c r="F75" s="199"/>
      <c r="G75" s="199"/>
      <c r="H75" s="199"/>
      <c r="I75" s="198"/>
    </row>
    <row r="76" spans="2:9" ht="46.5" customHeight="1" x14ac:dyDescent="0.25">
      <c r="B76" s="201"/>
      <c r="C76" s="202" t="s">
        <v>120</v>
      </c>
      <c r="D76" s="203" t="s">
        <v>119</v>
      </c>
      <c r="E76" s="199"/>
      <c r="F76" s="199"/>
      <c r="G76" s="199"/>
      <c r="H76" s="199"/>
      <c r="I76" s="198"/>
    </row>
    <row r="77" spans="2:9" ht="14.25" x14ac:dyDescent="0.25">
      <c r="B77" s="199"/>
      <c r="C77" s="199"/>
      <c r="D77" s="199"/>
      <c r="E77" s="199"/>
      <c r="F77" s="199"/>
      <c r="G77" s="199"/>
      <c r="H77" s="199"/>
      <c r="I77" s="198"/>
    </row>
    <row r="78" spans="2:9" ht="14.25" x14ac:dyDescent="0.25">
      <c r="B78" s="199"/>
      <c r="C78" s="199"/>
      <c r="D78" s="199"/>
      <c r="E78" s="199"/>
      <c r="F78" s="199"/>
      <c r="G78" s="199"/>
      <c r="H78" s="199"/>
      <c r="I78" s="198"/>
    </row>
    <row r="79" spans="2:9" ht="14.25" x14ac:dyDescent="0.25">
      <c r="B79" s="199"/>
      <c r="C79" s="199"/>
      <c r="D79" s="199"/>
      <c r="E79" s="199"/>
      <c r="F79" s="199"/>
      <c r="G79" s="199"/>
      <c r="H79" s="199"/>
      <c r="I79" s="198"/>
    </row>
    <row r="80" spans="2:9" ht="45" x14ac:dyDescent="0.25">
      <c r="B80" s="200" t="s">
        <v>145</v>
      </c>
      <c r="C80" s="200" t="s">
        <v>116</v>
      </c>
      <c r="D80" s="201" t="s">
        <v>146</v>
      </c>
      <c r="E80" s="199"/>
      <c r="F80" s="199"/>
      <c r="G80" s="199"/>
      <c r="H80" s="199"/>
      <c r="I80" s="198"/>
    </row>
    <row r="81" spans="2:9" ht="46.5" customHeight="1" x14ac:dyDescent="0.25">
      <c r="B81" s="201"/>
      <c r="C81" s="202" t="s">
        <v>118</v>
      </c>
      <c r="D81" s="203" t="s">
        <v>119</v>
      </c>
      <c r="E81" s="199"/>
      <c r="F81" s="199"/>
      <c r="G81" s="199"/>
      <c r="H81" s="199"/>
      <c r="I81" s="198"/>
    </row>
    <row r="82" spans="2:9" ht="46.5" customHeight="1" x14ac:dyDescent="0.25">
      <c r="B82" s="201"/>
      <c r="C82" s="202" t="s">
        <v>120</v>
      </c>
      <c r="D82" s="203" t="s">
        <v>119</v>
      </c>
      <c r="E82" s="199"/>
      <c r="F82" s="199"/>
      <c r="G82" s="199"/>
      <c r="H82" s="199"/>
      <c r="I82" s="198"/>
    </row>
    <row r="83" spans="2:9" ht="14.25" x14ac:dyDescent="0.25">
      <c r="B83" s="199"/>
      <c r="C83" s="199"/>
      <c r="D83" s="199"/>
      <c r="E83" s="199"/>
      <c r="F83" s="199"/>
      <c r="G83" s="199"/>
      <c r="H83" s="199"/>
      <c r="I83" s="198"/>
    </row>
    <row r="84" spans="2:9" ht="14.25" x14ac:dyDescent="0.25">
      <c r="B84" s="199"/>
      <c r="C84" s="199"/>
      <c r="D84" s="199"/>
      <c r="E84" s="199"/>
      <c r="F84" s="199"/>
      <c r="G84" s="199"/>
      <c r="H84" s="199"/>
      <c r="I84" s="198"/>
    </row>
    <row r="85" spans="2:9" ht="14.25" x14ac:dyDescent="0.25">
      <c r="B85" s="199"/>
      <c r="C85" s="199"/>
      <c r="D85" s="199"/>
      <c r="E85" s="199"/>
      <c r="F85" s="199"/>
      <c r="G85" s="199"/>
      <c r="H85" s="199"/>
      <c r="I85" s="198"/>
    </row>
    <row r="86" spans="2:9" ht="14.25" x14ac:dyDescent="0.25">
      <c r="B86" s="199"/>
      <c r="C86" s="199"/>
      <c r="D86" s="199"/>
      <c r="E86" s="199"/>
      <c r="F86" s="199"/>
      <c r="G86" s="199"/>
      <c r="H86" s="199"/>
      <c r="I86" s="198"/>
    </row>
    <row r="87" spans="2:9" ht="30" x14ac:dyDescent="0.25">
      <c r="B87" s="200" t="s">
        <v>147</v>
      </c>
      <c r="C87" s="200" t="s">
        <v>116</v>
      </c>
      <c r="D87" s="201" t="s">
        <v>148</v>
      </c>
      <c r="E87" s="199"/>
      <c r="F87" s="199"/>
      <c r="G87" s="199"/>
      <c r="H87" s="199"/>
      <c r="I87" s="198"/>
    </row>
    <row r="88" spans="2:9" ht="46.5" customHeight="1" x14ac:dyDescent="0.25">
      <c r="B88" s="201"/>
      <c r="C88" s="202" t="s">
        <v>118</v>
      </c>
      <c r="D88" s="203" t="s">
        <v>119</v>
      </c>
      <c r="E88" s="199"/>
      <c r="F88" s="199"/>
      <c r="G88" s="199"/>
      <c r="H88" s="199"/>
      <c r="I88" s="198"/>
    </row>
    <row r="89" spans="2:9" ht="46.5" customHeight="1" x14ac:dyDescent="0.25">
      <c r="B89" s="201"/>
      <c r="C89" s="202" t="s">
        <v>120</v>
      </c>
      <c r="D89" s="203" t="s">
        <v>119</v>
      </c>
      <c r="E89" s="199"/>
      <c r="F89" s="199"/>
      <c r="G89" s="199"/>
      <c r="H89" s="199"/>
      <c r="I89" s="198"/>
    </row>
    <row r="90" spans="2:9" ht="14.25" x14ac:dyDescent="0.25">
      <c r="B90" s="199"/>
      <c r="C90" s="199"/>
      <c r="D90" s="199"/>
      <c r="E90" s="199"/>
      <c r="F90" s="199"/>
      <c r="G90" s="199"/>
      <c r="H90" s="199"/>
      <c r="I90" s="198"/>
    </row>
    <row r="91" spans="2:9" ht="14.25" x14ac:dyDescent="0.25">
      <c r="B91" s="199"/>
      <c r="C91" s="199"/>
      <c r="D91" s="199"/>
      <c r="E91" s="199"/>
      <c r="F91" s="199"/>
      <c r="G91" s="199"/>
      <c r="H91" s="199"/>
      <c r="I91" s="198"/>
    </row>
    <row r="92" spans="2:9" ht="14.25" x14ac:dyDescent="0.25">
      <c r="B92" s="199"/>
      <c r="C92" s="199"/>
      <c r="D92" s="199"/>
      <c r="E92" s="199"/>
      <c r="F92" s="199"/>
      <c r="G92" s="199"/>
      <c r="H92" s="199"/>
      <c r="I92" s="198"/>
    </row>
    <row r="93" spans="2:9" ht="14.25" x14ac:dyDescent="0.25">
      <c r="B93" s="199"/>
      <c r="C93" s="199"/>
      <c r="D93" s="199"/>
      <c r="E93" s="199"/>
      <c r="F93" s="199"/>
      <c r="G93" s="199"/>
      <c r="H93" s="199"/>
      <c r="I93" s="198"/>
    </row>
    <row r="94" spans="2:9" ht="14.25" x14ac:dyDescent="0.25">
      <c r="B94" s="199"/>
      <c r="C94" s="199"/>
      <c r="D94" s="199"/>
      <c r="E94" s="199"/>
      <c r="F94" s="199"/>
      <c r="G94" s="199"/>
      <c r="H94" s="199"/>
      <c r="I94" s="198"/>
    </row>
    <row r="95" spans="2:9" ht="45" x14ac:dyDescent="0.25">
      <c r="B95" s="200" t="s">
        <v>133</v>
      </c>
      <c r="C95" s="200" t="s">
        <v>116</v>
      </c>
      <c r="D95" s="201" t="s">
        <v>149</v>
      </c>
      <c r="E95" s="199"/>
      <c r="F95" s="199"/>
      <c r="G95" s="199"/>
      <c r="H95" s="199"/>
      <c r="I95" s="198"/>
    </row>
    <row r="96" spans="2:9" ht="46.5" customHeight="1" x14ac:dyDescent="0.25">
      <c r="B96" s="201"/>
      <c r="C96" s="202" t="s">
        <v>118</v>
      </c>
      <c r="D96" s="203" t="s">
        <v>119</v>
      </c>
      <c r="E96" s="199"/>
      <c r="F96" s="199"/>
      <c r="G96" s="199"/>
      <c r="H96" s="199"/>
      <c r="I96" s="198"/>
    </row>
    <row r="97" spans="2:9" ht="46.5" customHeight="1" x14ac:dyDescent="0.25">
      <c r="B97" s="201"/>
      <c r="C97" s="202" t="s">
        <v>120</v>
      </c>
      <c r="D97" s="203" t="s">
        <v>119</v>
      </c>
      <c r="E97" s="199"/>
      <c r="F97" s="199"/>
      <c r="G97" s="199"/>
      <c r="H97" s="199"/>
      <c r="I97" s="198"/>
    </row>
    <row r="98" spans="2:9" ht="14.25" x14ac:dyDescent="0.25">
      <c r="B98" s="199"/>
      <c r="C98" s="199"/>
      <c r="D98" s="199"/>
      <c r="E98" s="199"/>
      <c r="F98" s="199"/>
      <c r="G98" s="199"/>
      <c r="H98" s="199"/>
      <c r="I98" s="198"/>
    </row>
    <row r="99" spans="2:9" ht="14.25" x14ac:dyDescent="0.25">
      <c r="B99" s="199"/>
      <c r="C99" s="199"/>
      <c r="D99" s="199"/>
      <c r="E99" s="199"/>
      <c r="F99" s="199"/>
      <c r="G99" s="199"/>
      <c r="H99" s="199"/>
      <c r="I99" s="198"/>
    </row>
    <row r="100" spans="2:9" ht="14.25" x14ac:dyDescent="0.25">
      <c r="B100" s="199"/>
      <c r="C100" s="199"/>
      <c r="D100" s="199"/>
      <c r="E100" s="199"/>
      <c r="F100" s="199"/>
      <c r="G100" s="199"/>
      <c r="H100" s="199"/>
      <c r="I100" s="198"/>
    </row>
    <row r="101" spans="2:9" ht="14.25" x14ac:dyDescent="0.25">
      <c r="B101" s="199"/>
      <c r="C101" s="199"/>
      <c r="D101" s="199"/>
      <c r="E101" s="199"/>
      <c r="F101" s="199"/>
      <c r="G101" s="199"/>
      <c r="H101" s="199"/>
      <c r="I101" s="198"/>
    </row>
    <row r="102" spans="2:9" ht="14.25" x14ac:dyDescent="0.25">
      <c r="B102" s="199"/>
      <c r="C102" s="199"/>
      <c r="D102" s="199"/>
      <c r="E102" s="199"/>
      <c r="F102" s="199"/>
      <c r="G102" s="199"/>
      <c r="H102" s="199"/>
      <c r="I102" s="198"/>
    </row>
    <row r="103" spans="2:9" ht="14.25" x14ac:dyDescent="0.25">
      <c r="B103" s="199"/>
      <c r="C103" s="199"/>
      <c r="D103" s="199"/>
      <c r="E103" s="199"/>
      <c r="F103" s="199"/>
      <c r="G103" s="199"/>
      <c r="H103" s="199"/>
      <c r="I103" s="198"/>
    </row>
    <row r="104" spans="2:9" ht="14.25" x14ac:dyDescent="0.25">
      <c r="B104" s="199"/>
      <c r="C104" s="199"/>
      <c r="D104" s="199"/>
      <c r="E104" s="199"/>
      <c r="F104" s="199"/>
      <c r="G104" s="199"/>
      <c r="H104" s="199"/>
      <c r="I104" s="198"/>
    </row>
    <row r="105" spans="2:9" ht="14.25" x14ac:dyDescent="0.25">
      <c r="B105" s="199"/>
      <c r="C105" s="199"/>
      <c r="D105" s="199"/>
      <c r="E105" s="199"/>
      <c r="F105" s="199"/>
      <c r="G105" s="199"/>
      <c r="H105" s="199"/>
      <c r="I105" s="198"/>
    </row>
    <row r="106" spans="2:9" ht="14.25" x14ac:dyDescent="0.25">
      <c r="B106" s="199"/>
      <c r="C106" s="199"/>
      <c r="D106" s="199"/>
      <c r="E106" s="199"/>
      <c r="F106" s="199"/>
      <c r="G106" s="199"/>
      <c r="H106" s="199"/>
      <c r="I106" s="198"/>
    </row>
    <row r="107" spans="2:9" ht="14.25" x14ac:dyDescent="0.25">
      <c r="B107" s="199"/>
      <c r="C107" s="199"/>
      <c r="D107" s="199"/>
      <c r="E107" s="199"/>
      <c r="F107" s="199"/>
      <c r="G107" s="199"/>
      <c r="H107" s="199"/>
      <c r="I107" s="198"/>
    </row>
    <row r="108" spans="2:9" ht="14.25" x14ac:dyDescent="0.25">
      <c r="B108" s="199"/>
      <c r="C108" s="199"/>
      <c r="D108" s="199"/>
      <c r="E108" s="199"/>
      <c r="F108" s="199"/>
      <c r="G108" s="199"/>
      <c r="H108" s="199"/>
      <c r="I108" s="198"/>
    </row>
    <row r="109" spans="2:9" ht="14.25" x14ac:dyDescent="0.25">
      <c r="B109" s="199"/>
      <c r="C109" s="199"/>
      <c r="D109" s="199"/>
      <c r="E109" s="199"/>
      <c r="F109" s="199"/>
      <c r="G109" s="199"/>
      <c r="H109" s="199"/>
      <c r="I109" s="198"/>
    </row>
    <row r="110" spans="2:9" ht="14.25" x14ac:dyDescent="0.25">
      <c r="B110" s="199"/>
      <c r="C110" s="199"/>
      <c r="D110" s="199"/>
      <c r="E110" s="199"/>
      <c r="F110" s="199"/>
      <c r="G110" s="199"/>
      <c r="H110" s="199"/>
      <c r="I110" s="198"/>
    </row>
    <row r="111" spans="2:9" ht="14.25" x14ac:dyDescent="0.25">
      <c r="B111" s="199"/>
      <c r="C111" s="199"/>
      <c r="D111" s="199"/>
      <c r="E111" s="199"/>
      <c r="F111" s="199"/>
      <c r="G111" s="199"/>
      <c r="H111" s="199"/>
      <c r="I111" s="198"/>
    </row>
    <row r="112" spans="2:9" ht="14.25" x14ac:dyDescent="0.25">
      <c r="B112" s="199"/>
      <c r="C112" s="199"/>
      <c r="D112" s="199"/>
      <c r="E112" s="199"/>
      <c r="F112" s="199"/>
      <c r="G112" s="199"/>
      <c r="H112" s="199"/>
      <c r="I112" s="198"/>
    </row>
    <row r="113" spans="2:9" ht="14.25" x14ac:dyDescent="0.25">
      <c r="B113" s="199"/>
      <c r="C113" s="199"/>
      <c r="D113" s="199"/>
      <c r="E113" s="199"/>
      <c r="F113" s="199"/>
      <c r="G113" s="199"/>
      <c r="H113" s="199"/>
      <c r="I113" s="198"/>
    </row>
    <row r="114" spans="2:9" ht="14.25" x14ac:dyDescent="0.25">
      <c r="B114" s="199"/>
      <c r="C114" s="199"/>
      <c r="D114" s="199"/>
      <c r="E114" s="199"/>
      <c r="F114" s="199"/>
      <c r="G114" s="199"/>
      <c r="H114" s="199"/>
      <c r="I114" s="198"/>
    </row>
    <row r="115" spans="2:9" ht="14.25" x14ac:dyDescent="0.25">
      <c r="B115" s="199"/>
      <c r="C115" s="199"/>
      <c r="D115" s="199"/>
      <c r="E115" s="199"/>
      <c r="F115" s="199"/>
      <c r="G115" s="199"/>
      <c r="H115" s="199"/>
      <c r="I115" s="198"/>
    </row>
    <row r="116" spans="2:9" ht="14.25" x14ac:dyDescent="0.25">
      <c r="B116" s="199"/>
      <c r="C116" s="199"/>
      <c r="D116" s="199"/>
      <c r="E116" s="199"/>
      <c r="F116" s="199"/>
      <c r="G116" s="199"/>
      <c r="H116" s="199"/>
      <c r="I116" s="198"/>
    </row>
    <row r="117" spans="2:9" ht="14.25" x14ac:dyDescent="0.25">
      <c r="B117" s="199"/>
      <c r="C117" s="199"/>
      <c r="D117" s="199"/>
      <c r="E117" s="199"/>
      <c r="F117" s="199"/>
      <c r="G117" s="199"/>
      <c r="H117" s="199"/>
      <c r="I117" s="198"/>
    </row>
    <row r="118" spans="2:9" ht="14.25" x14ac:dyDescent="0.25">
      <c r="B118" s="199"/>
      <c r="C118" s="199"/>
      <c r="D118" s="199"/>
      <c r="E118" s="199"/>
      <c r="F118" s="199"/>
      <c r="G118" s="199"/>
      <c r="H118" s="199"/>
      <c r="I118" s="198"/>
    </row>
    <row r="119" spans="2:9" ht="14.25" x14ac:dyDescent="0.25">
      <c r="B119" s="199"/>
      <c r="C119" s="199"/>
      <c r="D119" s="199"/>
      <c r="E119" s="199"/>
      <c r="F119" s="199"/>
      <c r="G119" s="199"/>
      <c r="H119" s="199"/>
      <c r="I119" s="198"/>
    </row>
    <row r="120" spans="2:9" ht="14.25" x14ac:dyDescent="0.25">
      <c r="B120" s="199"/>
      <c r="C120" s="199"/>
      <c r="D120" s="199"/>
      <c r="E120" s="199"/>
      <c r="F120" s="199"/>
      <c r="G120" s="199"/>
      <c r="H120" s="199"/>
      <c r="I120" s="198"/>
    </row>
    <row r="121" spans="2:9" ht="14.25" x14ac:dyDescent="0.25">
      <c r="B121" s="199"/>
      <c r="C121" s="199"/>
      <c r="D121" s="199"/>
      <c r="E121" s="199"/>
      <c r="F121" s="199"/>
      <c r="G121" s="199"/>
      <c r="H121" s="199"/>
      <c r="I121" s="198"/>
    </row>
    <row r="122" spans="2:9" ht="14.25" x14ac:dyDescent="0.25">
      <c r="B122" s="199"/>
      <c r="C122" s="199"/>
      <c r="D122" s="199"/>
      <c r="E122" s="199"/>
      <c r="F122" s="199"/>
      <c r="G122" s="199"/>
      <c r="H122" s="199"/>
      <c r="I122" s="198"/>
    </row>
    <row r="123" spans="2:9" ht="14.25" x14ac:dyDescent="0.25">
      <c r="B123" s="199"/>
      <c r="C123" s="199"/>
      <c r="D123" s="199"/>
      <c r="E123" s="199"/>
      <c r="F123" s="199"/>
      <c r="G123" s="199"/>
      <c r="H123" s="199"/>
      <c r="I123" s="198"/>
    </row>
    <row r="124" spans="2:9" ht="14.25" x14ac:dyDescent="0.25">
      <c r="B124" s="199"/>
      <c r="C124" s="199"/>
      <c r="D124" s="199"/>
      <c r="E124" s="199"/>
      <c r="F124" s="199"/>
      <c r="G124" s="199"/>
      <c r="H124" s="199"/>
      <c r="I124" s="198"/>
    </row>
    <row r="125" spans="2:9" ht="14.25" x14ac:dyDescent="0.25">
      <c r="B125" s="199"/>
      <c r="C125" s="199"/>
      <c r="D125" s="199"/>
      <c r="E125" s="199"/>
      <c r="F125" s="199"/>
      <c r="G125" s="199"/>
      <c r="H125" s="199"/>
      <c r="I125" s="198"/>
    </row>
    <row r="126" spans="2:9" ht="14.25" x14ac:dyDescent="0.25">
      <c r="B126" s="199"/>
      <c r="C126" s="199"/>
      <c r="D126" s="199"/>
      <c r="E126" s="199"/>
      <c r="F126" s="199"/>
      <c r="G126" s="199"/>
      <c r="H126" s="199"/>
      <c r="I126" s="198"/>
    </row>
    <row r="127" spans="2:9" ht="14.25" x14ac:dyDescent="0.25">
      <c r="B127" s="199"/>
      <c r="C127" s="199"/>
      <c r="D127" s="199"/>
      <c r="E127" s="199"/>
      <c r="F127" s="199"/>
      <c r="G127" s="199"/>
      <c r="H127" s="199"/>
      <c r="I127" s="198"/>
    </row>
    <row r="128" spans="2:9" ht="14.25" x14ac:dyDescent="0.25">
      <c r="B128" s="199"/>
      <c r="C128" s="199"/>
      <c r="D128" s="199"/>
      <c r="E128" s="199"/>
      <c r="F128" s="199"/>
      <c r="G128" s="199"/>
      <c r="H128" s="199"/>
      <c r="I128" s="198"/>
    </row>
    <row r="129" spans="2:9" ht="14.25" x14ac:dyDescent="0.25">
      <c r="B129" s="199"/>
      <c r="C129" s="199"/>
      <c r="D129" s="199"/>
      <c r="E129" s="199"/>
      <c r="F129" s="199"/>
      <c r="G129" s="199"/>
      <c r="H129" s="199"/>
      <c r="I129" s="198"/>
    </row>
    <row r="130" spans="2:9" ht="14.25" x14ac:dyDescent="0.25">
      <c r="B130" s="199"/>
      <c r="C130" s="199"/>
      <c r="D130" s="199"/>
      <c r="E130" s="199"/>
      <c r="F130" s="199"/>
      <c r="G130" s="199"/>
      <c r="H130" s="199"/>
      <c r="I130" s="198"/>
    </row>
    <row r="131" spans="2:9" ht="14.25" x14ac:dyDescent="0.25">
      <c r="B131" s="199"/>
      <c r="C131" s="199"/>
      <c r="D131" s="199"/>
      <c r="E131" s="199"/>
      <c r="F131" s="199"/>
      <c r="G131" s="199"/>
      <c r="H131" s="199"/>
      <c r="I131" s="198"/>
    </row>
    <row r="132" spans="2:9" ht="14.25" x14ac:dyDescent="0.25">
      <c r="B132" s="199"/>
      <c r="C132" s="199"/>
      <c r="D132" s="199"/>
      <c r="E132" s="199"/>
      <c r="F132" s="199"/>
      <c r="G132" s="199"/>
      <c r="H132" s="199"/>
      <c r="I132" s="198"/>
    </row>
    <row r="133" spans="2:9" ht="14.25" x14ac:dyDescent="0.25">
      <c r="B133" s="199"/>
      <c r="C133" s="199"/>
      <c r="D133" s="199"/>
      <c r="E133" s="199"/>
      <c r="F133" s="199"/>
      <c r="G133" s="199"/>
      <c r="H133" s="199"/>
      <c r="I133" s="198"/>
    </row>
    <row r="134" spans="2:9" ht="14.25" x14ac:dyDescent="0.25">
      <c r="B134" s="199"/>
      <c r="C134" s="199"/>
      <c r="D134" s="199"/>
      <c r="E134" s="199"/>
      <c r="F134" s="199"/>
      <c r="G134" s="199"/>
      <c r="H134" s="199"/>
      <c r="I134" s="198"/>
    </row>
    <row r="135" spans="2:9" ht="14.25" x14ac:dyDescent="0.25">
      <c r="B135" s="199"/>
      <c r="C135" s="199"/>
      <c r="D135" s="199"/>
      <c r="E135" s="199"/>
      <c r="F135" s="199"/>
      <c r="G135" s="199"/>
      <c r="H135" s="199"/>
      <c r="I135" s="198"/>
    </row>
    <row r="136" spans="2:9" ht="14.25" x14ac:dyDescent="0.25">
      <c r="B136" s="199"/>
      <c r="C136" s="199"/>
      <c r="D136" s="199"/>
      <c r="E136" s="199"/>
      <c r="F136" s="199"/>
      <c r="G136" s="199"/>
      <c r="H136" s="199"/>
      <c r="I136" s="198"/>
    </row>
    <row r="137" spans="2:9" ht="14.25" x14ac:dyDescent="0.25">
      <c r="B137" s="199"/>
      <c r="C137" s="199"/>
      <c r="D137" s="199"/>
      <c r="E137" s="199"/>
      <c r="F137" s="199"/>
      <c r="G137" s="199"/>
      <c r="H137" s="199"/>
      <c r="I137" s="198"/>
    </row>
    <row r="138" spans="2:9" ht="14.25" x14ac:dyDescent="0.25">
      <c r="B138" s="199"/>
      <c r="C138" s="199"/>
      <c r="D138" s="199"/>
      <c r="E138" s="199"/>
      <c r="F138" s="199"/>
      <c r="G138" s="199"/>
      <c r="H138" s="199"/>
      <c r="I138" s="198"/>
    </row>
    <row r="139" spans="2:9" ht="14.25" x14ac:dyDescent="0.25">
      <c r="B139" s="199"/>
      <c r="C139" s="199"/>
      <c r="D139" s="199"/>
      <c r="E139" s="199"/>
      <c r="F139" s="199"/>
      <c r="G139" s="199"/>
      <c r="H139" s="199"/>
      <c r="I139" s="198"/>
    </row>
    <row r="140" spans="2:9" ht="14.25" x14ac:dyDescent="0.25">
      <c r="B140" s="199"/>
      <c r="C140" s="199"/>
      <c r="D140" s="199"/>
      <c r="E140" s="199"/>
      <c r="F140" s="199"/>
      <c r="G140" s="199"/>
      <c r="H140" s="199"/>
      <c r="I140" s="198"/>
    </row>
    <row r="141" spans="2:9" ht="14.25" x14ac:dyDescent="0.25">
      <c r="B141" s="199"/>
      <c r="C141" s="199"/>
      <c r="D141" s="199"/>
      <c r="E141" s="199"/>
      <c r="F141" s="199"/>
      <c r="G141" s="199"/>
      <c r="H141" s="199"/>
      <c r="I141" s="198"/>
    </row>
    <row r="142" spans="2:9" ht="14.25" x14ac:dyDescent="0.25">
      <c r="B142" s="199"/>
      <c r="C142" s="199"/>
      <c r="D142" s="199"/>
      <c r="E142" s="199"/>
      <c r="F142" s="199"/>
      <c r="G142" s="199"/>
      <c r="H142" s="199"/>
      <c r="I142" s="198"/>
    </row>
    <row r="143" spans="2:9" ht="14.25" x14ac:dyDescent="0.25">
      <c r="B143" s="199"/>
      <c r="C143" s="199"/>
      <c r="D143" s="199"/>
      <c r="E143" s="199"/>
      <c r="F143" s="199"/>
      <c r="G143" s="199"/>
      <c r="H143" s="199"/>
      <c r="I143" s="198"/>
    </row>
    <row r="144" spans="2:9" ht="14.25" x14ac:dyDescent="0.25">
      <c r="B144" s="199"/>
      <c r="C144" s="199"/>
      <c r="D144" s="199"/>
      <c r="E144" s="199"/>
      <c r="F144" s="199"/>
      <c r="G144" s="199"/>
      <c r="H144" s="199"/>
      <c r="I144" s="198"/>
    </row>
    <row r="145" spans="2:9" ht="14.25" x14ac:dyDescent="0.25">
      <c r="B145" s="199"/>
      <c r="C145" s="199"/>
      <c r="D145" s="199"/>
      <c r="E145" s="199"/>
      <c r="F145" s="199"/>
      <c r="G145" s="199"/>
      <c r="H145" s="199"/>
      <c r="I145" s="198"/>
    </row>
    <row r="146" spans="2:9" ht="14.25" x14ac:dyDescent="0.25">
      <c r="B146" s="199"/>
      <c r="C146" s="199"/>
      <c r="D146" s="199"/>
      <c r="E146" s="199"/>
      <c r="F146" s="199"/>
      <c r="G146" s="199"/>
      <c r="H146" s="199"/>
      <c r="I146" s="198"/>
    </row>
    <row r="147" spans="2:9" ht="14.25" x14ac:dyDescent="0.25">
      <c r="B147" s="199"/>
      <c r="C147" s="199"/>
      <c r="D147" s="199"/>
      <c r="E147" s="199"/>
      <c r="F147" s="199"/>
      <c r="G147" s="199"/>
      <c r="H147" s="199"/>
      <c r="I147" s="198"/>
    </row>
    <row r="148" spans="2:9" ht="14.25" x14ac:dyDescent="0.25">
      <c r="B148" s="199"/>
      <c r="C148" s="199"/>
      <c r="D148" s="199"/>
      <c r="E148" s="199"/>
      <c r="F148" s="199"/>
      <c r="G148" s="199"/>
      <c r="H148" s="199"/>
      <c r="I148" s="198"/>
    </row>
    <row r="149" spans="2:9" ht="14.25" x14ac:dyDescent="0.25">
      <c r="B149" s="199"/>
      <c r="C149" s="199"/>
      <c r="D149" s="199"/>
      <c r="E149" s="199"/>
      <c r="F149" s="199"/>
      <c r="G149" s="199"/>
      <c r="H149" s="199"/>
      <c r="I149" s="198"/>
    </row>
    <row r="150" spans="2:9" ht="14.25" x14ac:dyDescent="0.25">
      <c r="B150" s="199"/>
      <c r="C150" s="199"/>
      <c r="D150" s="199"/>
      <c r="E150" s="199"/>
      <c r="F150" s="199"/>
      <c r="G150" s="199"/>
      <c r="H150" s="199"/>
      <c r="I150" s="198"/>
    </row>
    <row r="151" spans="2:9" ht="14.25" x14ac:dyDescent="0.25">
      <c r="B151" s="199"/>
      <c r="C151" s="199"/>
      <c r="D151" s="199"/>
      <c r="E151" s="199"/>
      <c r="F151" s="199"/>
      <c r="G151" s="199"/>
      <c r="H151" s="199"/>
      <c r="I151" s="198"/>
    </row>
    <row r="152" spans="2:9" ht="14.25" x14ac:dyDescent="0.25">
      <c r="B152" s="199"/>
      <c r="C152" s="199"/>
      <c r="D152" s="199"/>
      <c r="E152" s="199"/>
      <c r="F152" s="199"/>
      <c r="G152" s="199"/>
      <c r="H152" s="199"/>
      <c r="I152" s="198"/>
    </row>
    <row r="153" spans="2:9" ht="14.25" x14ac:dyDescent="0.25">
      <c r="B153" s="199"/>
      <c r="C153" s="199"/>
      <c r="D153" s="199"/>
      <c r="E153" s="199"/>
      <c r="F153" s="199"/>
      <c r="G153" s="199"/>
      <c r="H153" s="199"/>
      <c r="I153" s="198"/>
    </row>
    <row r="154" spans="2:9" ht="14.25" x14ac:dyDescent="0.25">
      <c r="B154" s="199"/>
      <c r="C154" s="199"/>
      <c r="D154" s="199"/>
      <c r="E154" s="199"/>
      <c r="F154" s="199"/>
      <c r="G154" s="199"/>
      <c r="H154" s="199"/>
      <c r="I154" s="198"/>
    </row>
    <row r="155" spans="2:9" ht="14.25" x14ac:dyDescent="0.25">
      <c r="B155" s="199"/>
      <c r="C155" s="199"/>
      <c r="D155" s="199"/>
      <c r="E155" s="199"/>
      <c r="F155" s="199"/>
      <c r="G155" s="199"/>
      <c r="H155" s="199"/>
      <c r="I155" s="198"/>
    </row>
    <row r="156" spans="2:9" ht="14.25" x14ac:dyDescent="0.25">
      <c r="B156" s="199"/>
      <c r="C156" s="199"/>
      <c r="D156" s="199"/>
      <c r="E156" s="199"/>
      <c r="F156" s="199"/>
      <c r="G156" s="199"/>
      <c r="H156" s="199"/>
      <c r="I156" s="198"/>
    </row>
    <row r="157" spans="2:9" ht="14.25" x14ac:dyDescent="0.25">
      <c r="B157" s="199"/>
      <c r="C157" s="199"/>
      <c r="D157" s="199"/>
      <c r="E157" s="199"/>
      <c r="F157" s="199"/>
      <c r="G157" s="199"/>
      <c r="H157" s="199"/>
      <c r="I157" s="198"/>
    </row>
    <row r="158" spans="2:9" ht="14.25" x14ac:dyDescent="0.25">
      <c r="B158" s="199"/>
      <c r="C158" s="199"/>
      <c r="D158" s="199"/>
      <c r="E158" s="199"/>
      <c r="F158" s="199"/>
      <c r="G158" s="199"/>
      <c r="H158" s="199"/>
      <c r="I158" s="198"/>
    </row>
    <row r="159" spans="2:9" ht="14.25" x14ac:dyDescent="0.25">
      <c r="B159" s="199"/>
      <c r="C159" s="199"/>
      <c r="D159" s="199"/>
      <c r="E159" s="199"/>
      <c r="F159" s="199"/>
      <c r="G159" s="199"/>
      <c r="H159" s="199"/>
      <c r="I159" s="198"/>
    </row>
    <row r="160" spans="2:9" ht="14.25" x14ac:dyDescent="0.25">
      <c r="B160" s="199"/>
      <c r="C160" s="199"/>
      <c r="D160" s="199"/>
      <c r="E160" s="199"/>
      <c r="F160" s="199"/>
      <c r="G160" s="199"/>
      <c r="H160" s="199"/>
      <c r="I160" s="198"/>
    </row>
    <row r="161" spans="2:9" ht="14.25" x14ac:dyDescent="0.25">
      <c r="B161" s="199"/>
      <c r="C161" s="199"/>
      <c r="D161" s="199"/>
      <c r="E161" s="199"/>
      <c r="F161" s="199"/>
      <c r="G161" s="199"/>
      <c r="H161" s="199"/>
      <c r="I161" s="198"/>
    </row>
    <row r="162" spans="2:9" ht="14.25" x14ac:dyDescent="0.25">
      <c r="B162" s="199"/>
      <c r="C162" s="199"/>
      <c r="D162" s="199"/>
      <c r="E162" s="199"/>
      <c r="F162" s="199"/>
      <c r="G162" s="199"/>
      <c r="H162" s="199"/>
      <c r="I162" s="198"/>
    </row>
    <row r="163" spans="2:9" ht="14.25" x14ac:dyDescent="0.25">
      <c r="B163" s="199"/>
      <c r="C163" s="199"/>
      <c r="D163" s="199"/>
      <c r="E163" s="199"/>
      <c r="F163" s="199"/>
      <c r="G163" s="199"/>
      <c r="H163" s="199"/>
      <c r="I163" s="198"/>
    </row>
    <row r="164" spans="2:9" ht="14.25" x14ac:dyDescent="0.25">
      <c r="B164" s="199"/>
      <c r="C164" s="199"/>
      <c r="D164" s="199"/>
      <c r="E164" s="199"/>
      <c r="F164" s="199"/>
      <c r="G164" s="199"/>
      <c r="H164" s="199"/>
      <c r="I164" s="198"/>
    </row>
    <row r="165" spans="2:9" ht="14.25" x14ac:dyDescent="0.25">
      <c r="B165" s="199"/>
      <c r="C165" s="199"/>
      <c r="D165" s="199"/>
      <c r="E165" s="199"/>
      <c r="F165" s="199"/>
      <c r="G165" s="199"/>
      <c r="H165" s="199"/>
      <c r="I165" s="198"/>
    </row>
    <row r="166" spans="2:9" ht="14.25" x14ac:dyDescent="0.25">
      <c r="B166" s="199"/>
      <c r="C166" s="199"/>
      <c r="D166" s="199"/>
      <c r="E166" s="199"/>
      <c r="F166" s="199"/>
      <c r="G166" s="199"/>
      <c r="H166" s="199"/>
      <c r="I166" s="198"/>
    </row>
    <row r="167" spans="2:9" ht="14.25" x14ac:dyDescent="0.25">
      <c r="B167" s="199"/>
      <c r="C167" s="199"/>
      <c r="D167" s="199"/>
      <c r="E167" s="199"/>
      <c r="F167" s="199"/>
      <c r="G167" s="199"/>
      <c r="H167" s="199"/>
      <c r="I167" s="198"/>
    </row>
    <row r="168" spans="2:9" ht="14.25" x14ac:dyDescent="0.25">
      <c r="B168" s="199"/>
      <c r="C168" s="199"/>
      <c r="D168" s="199"/>
      <c r="E168" s="199"/>
      <c r="F168" s="199"/>
      <c r="G168" s="199"/>
      <c r="H168" s="199"/>
      <c r="I168" s="198"/>
    </row>
    <row r="169" spans="2:9" ht="14.25" x14ac:dyDescent="0.25">
      <c r="B169" s="199"/>
      <c r="C169" s="199"/>
      <c r="D169" s="199"/>
      <c r="E169" s="199"/>
      <c r="F169" s="199"/>
      <c r="G169" s="199"/>
      <c r="H169" s="199"/>
      <c r="I169" s="198"/>
    </row>
    <row r="170" spans="2:9" ht="14.25" x14ac:dyDescent="0.25">
      <c r="B170" s="199"/>
      <c r="C170" s="199"/>
      <c r="D170" s="199"/>
      <c r="E170" s="199"/>
      <c r="F170" s="199"/>
      <c r="G170" s="199"/>
      <c r="H170" s="199"/>
      <c r="I170" s="198"/>
    </row>
    <row r="171" spans="2:9" ht="14.25" x14ac:dyDescent="0.25">
      <c r="B171" s="199"/>
      <c r="C171" s="199"/>
      <c r="D171" s="199"/>
      <c r="E171" s="199"/>
      <c r="F171" s="199"/>
      <c r="G171" s="199"/>
      <c r="H171" s="199"/>
      <c r="I171" s="198"/>
    </row>
    <row r="172" spans="2:9" ht="14.25" x14ac:dyDescent="0.25">
      <c r="B172" s="199"/>
      <c r="C172" s="199"/>
      <c r="D172" s="199"/>
      <c r="E172" s="199"/>
      <c r="F172" s="199"/>
      <c r="G172" s="199"/>
      <c r="H172" s="199"/>
      <c r="I172" s="198"/>
    </row>
    <row r="173" spans="2:9" ht="14.25" x14ac:dyDescent="0.25">
      <c r="B173" s="199"/>
      <c r="C173" s="199"/>
      <c r="D173" s="199"/>
      <c r="E173" s="199"/>
      <c r="F173" s="199"/>
      <c r="G173" s="199"/>
      <c r="H173" s="199"/>
      <c r="I173" s="198"/>
    </row>
    <row r="174" spans="2:9" ht="14.25" x14ac:dyDescent="0.25">
      <c r="B174" s="199"/>
      <c r="C174" s="199"/>
      <c r="D174" s="199"/>
      <c r="E174" s="199"/>
      <c r="F174" s="199"/>
      <c r="G174" s="199"/>
      <c r="H174" s="199"/>
      <c r="I174" s="198"/>
    </row>
    <row r="175" spans="2:9" ht="14.25" x14ac:dyDescent="0.25">
      <c r="B175" s="199"/>
      <c r="C175" s="199"/>
      <c r="D175" s="199"/>
      <c r="E175" s="199"/>
      <c r="F175" s="199"/>
      <c r="G175" s="199"/>
      <c r="H175" s="199"/>
      <c r="I175" s="198"/>
    </row>
    <row r="176" spans="2:9" ht="14.25" x14ac:dyDescent="0.25">
      <c r="B176" s="199"/>
      <c r="C176" s="199"/>
      <c r="D176" s="199"/>
      <c r="E176" s="199"/>
      <c r="F176" s="199"/>
      <c r="G176" s="199"/>
      <c r="H176" s="199"/>
      <c r="I176" s="198"/>
    </row>
    <row r="177" spans="2:9" ht="14.25" x14ac:dyDescent="0.25">
      <c r="B177" s="199"/>
      <c r="C177" s="199"/>
      <c r="D177" s="199"/>
      <c r="E177" s="199"/>
      <c r="F177" s="199"/>
      <c r="G177" s="199"/>
      <c r="H177" s="199"/>
      <c r="I177" s="198"/>
    </row>
    <row r="178" spans="2:9" ht="14.25" x14ac:dyDescent="0.25">
      <c r="B178" s="199"/>
      <c r="C178" s="199"/>
      <c r="D178" s="199"/>
      <c r="E178" s="199"/>
      <c r="F178" s="199"/>
      <c r="G178" s="199"/>
      <c r="H178" s="199"/>
      <c r="I178" s="198"/>
    </row>
    <row r="179" spans="2:9" ht="14.25" x14ac:dyDescent="0.25">
      <c r="B179" s="199"/>
      <c r="C179" s="199"/>
      <c r="D179" s="199"/>
      <c r="E179" s="199"/>
      <c r="F179" s="199"/>
      <c r="G179" s="199"/>
      <c r="H179" s="199"/>
      <c r="I179" s="198"/>
    </row>
    <row r="180" spans="2:9" ht="14.25" x14ac:dyDescent="0.25">
      <c r="B180" s="199"/>
      <c r="C180" s="199"/>
      <c r="D180" s="199"/>
      <c r="E180" s="199"/>
      <c r="F180" s="199"/>
      <c r="G180" s="199"/>
      <c r="H180" s="199"/>
      <c r="I180" s="198"/>
    </row>
    <row r="181" spans="2:9" ht="14.25" x14ac:dyDescent="0.25">
      <c r="B181" s="199"/>
      <c r="C181" s="199"/>
      <c r="D181" s="199"/>
      <c r="E181" s="199"/>
      <c r="F181" s="199"/>
      <c r="G181" s="199"/>
      <c r="H181" s="199"/>
      <c r="I181" s="198"/>
    </row>
    <row r="182" spans="2:9" ht="14.25" x14ac:dyDescent="0.25">
      <c r="B182" s="199"/>
      <c r="C182" s="199"/>
      <c r="D182" s="199"/>
      <c r="E182" s="199"/>
      <c r="F182" s="199"/>
      <c r="G182" s="199"/>
      <c r="H182" s="199"/>
      <c r="I182" s="198"/>
    </row>
    <row r="183" spans="2:9" ht="14.25" x14ac:dyDescent="0.25">
      <c r="B183" s="199"/>
      <c r="C183" s="199"/>
      <c r="D183" s="199"/>
      <c r="E183" s="199"/>
      <c r="F183" s="199"/>
      <c r="G183" s="199"/>
      <c r="H183" s="199"/>
      <c r="I183" s="198"/>
    </row>
    <row r="184" spans="2:9" ht="14.25" x14ac:dyDescent="0.25">
      <c r="B184" s="199"/>
      <c r="C184" s="199"/>
      <c r="D184" s="199"/>
      <c r="E184" s="199"/>
      <c r="F184" s="199"/>
      <c r="G184" s="199"/>
      <c r="H184" s="199"/>
      <c r="I184" s="198"/>
    </row>
    <row r="185" spans="2:9" ht="14.25" x14ac:dyDescent="0.25">
      <c r="B185" s="199"/>
      <c r="C185" s="199"/>
      <c r="D185" s="199"/>
      <c r="E185" s="199"/>
      <c r="F185" s="199"/>
      <c r="G185" s="199"/>
      <c r="H185" s="199"/>
      <c r="I185" s="198"/>
    </row>
    <row r="186" spans="2:9" ht="14.25" x14ac:dyDescent="0.25">
      <c r="B186" s="199"/>
      <c r="C186" s="199"/>
      <c r="D186" s="199"/>
      <c r="E186" s="199"/>
      <c r="F186" s="199"/>
      <c r="G186" s="199"/>
      <c r="H186" s="199"/>
      <c r="I186" s="198"/>
    </row>
    <row r="187" spans="2:9" ht="14.25" x14ac:dyDescent="0.25">
      <c r="B187" s="199"/>
      <c r="C187" s="199"/>
      <c r="D187" s="199"/>
      <c r="E187" s="199"/>
      <c r="F187" s="199"/>
      <c r="G187" s="199"/>
      <c r="H187" s="199"/>
      <c r="I187" s="198"/>
    </row>
    <row r="188" spans="2:9" ht="14.25" x14ac:dyDescent="0.25">
      <c r="B188" s="199"/>
      <c r="C188" s="199"/>
      <c r="D188" s="199"/>
      <c r="E188" s="199"/>
      <c r="F188" s="199"/>
      <c r="G188" s="199"/>
      <c r="H188" s="199"/>
      <c r="I188" s="198"/>
    </row>
    <row r="189" spans="2:9" ht="14.25" x14ac:dyDescent="0.25">
      <c r="B189" s="199"/>
      <c r="C189" s="199"/>
      <c r="D189" s="199"/>
      <c r="E189" s="199"/>
      <c r="F189" s="199"/>
      <c r="G189" s="199"/>
      <c r="H189" s="199"/>
      <c r="I189" s="198"/>
    </row>
    <row r="190" spans="2:9" ht="14.25" x14ac:dyDescent="0.25">
      <c r="B190" s="199"/>
      <c r="C190" s="199"/>
      <c r="D190" s="199"/>
      <c r="E190" s="199"/>
      <c r="F190" s="199"/>
      <c r="G190" s="199"/>
      <c r="H190" s="199"/>
      <c r="I190" s="198"/>
    </row>
    <row r="191" spans="2:9" ht="14.25" x14ac:dyDescent="0.25">
      <c r="B191" s="199"/>
      <c r="C191" s="199"/>
      <c r="D191" s="199"/>
      <c r="E191" s="199"/>
      <c r="F191" s="199"/>
      <c r="G191" s="199"/>
      <c r="H191" s="199"/>
      <c r="I191" s="198"/>
    </row>
    <row r="192" spans="2:9" ht="14.25" x14ac:dyDescent="0.25">
      <c r="B192" s="199"/>
      <c r="C192" s="199"/>
      <c r="D192" s="199"/>
      <c r="E192" s="199"/>
      <c r="F192" s="199"/>
      <c r="G192" s="199"/>
      <c r="H192" s="199"/>
      <c r="I192" s="198"/>
    </row>
    <row r="193" spans="2:9" ht="14.25" x14ac:dyDescent="0.25">
      <c r="B193" s="199"/>
      <c r="C193" s="199"/>
      <c r="D193" s="199"/>
      <c r="E193" s="199"/>
      <c r="F193" s="199"/>
      <c r="G193" s="199"/>
      <c r="H193" s="199"/>
      <c r="I193" s="198"/>
    </row>
    <row r="194" spans="2:9" ht="14.25" x14ac:dyDescent="0.25">
      <c r="B194" s="199"/>
      <c r="C194" s="199"/>
      <c r="D194" s="199"/>
      <c r="E194" s="199"/>
      <c r="F194" s="199"/>
      <c r="G194" s="199"/>
      <c r="H194" s="199"/>
      <c r="I194" s="198"/>
    </row>
    <row r="195" spans="2:9" ht="14.25" x14ac:dyDescent="0.25">
      <c r="B195" s="199"/>
      <c r="C195" s="199"/>
      <c r="D195" s="199"/>
      <c r="E195" s="199"/>
      <c r="F195" s="199"/>
      <c r="G195" s="199"/>
      <c r="H195" s="199"/>
      <c r="I195" s="198"/>
    </row>
    <row r="196" spans="2:9" ht="14.25" x14ac:dyDescent="0.25">
      <c r="B196" s="199"/>
      <c r="C196" s="199"/>
      <c r="D196" s="199"/>
      <c r="E196" s="199"/>
      <c r="F196" s="199"/>
      <c r="G196" s="199"/>
      <c r="H196" s="199"/>
      <c r="I196" s="198"/>
    </row>
    <row r="197" spans="2:9" ht="14.25" x14ac:dyDescent="0.25">
      <c r="B197" s="199"/>
      <c r="C197" s="199"/>
      <c r="D197" s="199"/>
      <c r="E197" s="199"/>
      <c r="F197" s="199"/>
      <c r="G197" s="199"/>
      <c r="H197" s="199"/>
      <c r="I197" s="198"/>
    </row>
    <row r="198" spans="2:9" ht="14.25" x14ac:dyDescent="0.25">
      <c r="B198" s="199"/>
      <c r="C198" s="199"/>
      <c r="D198" s="199"/>
      <c r="E198" s="199"/>
      <c r="F198" s="199"/>
      <c r="G198" s="199"/>
      <c r="H198" s="199"/>
      <c r="I198" s="198"/>
    </row>
    <row r="199" spans="2:9" ht="14.25" x14ac:dyDescent="0.25">
      <c r="B199" s="199"/>
      <c r="C199" s="199"/>
      <c r="D199" s="199"/>
      <c r="E199" s="199"/>
      <c r="F199" s="199"/>
      <c r="G199" s="199"/>
      <c r="H199" s="199"/>
      <c r="I199" s="198"/>
    </row>
    <row r="200" spans="2:9" ht="14.25" x14ac:dyDescent="0.25">
      <c r="B200" s="199"/>
      <c r="C200" s="199"/>
      <c r="D200" s="199"/>
      <c r="E200" s="199"/>
      <c r="F200" s="199"/>
      <c r="G200" s="199"/>
      <c r="H200" s="199"/>
      <c r="I200" s="198"/>
    </row>
    <row r="201" spans="2:9" ht="14.25" x14ac:dyDescent="0.25">
      <c r="B201" s="199"/>
      <c r="C201" s="199"/>
      <c r="D201" s="199"/>
      <c r="E201" s="199"/>
      <c r="F201" s="199"/>
      <c r="G201" s="199"/>
      <c r="H201" s="199"/>
      <c r="I201" s="198"/>
    </row>
    <row r="202" spans="2:9" ht="14.25" x14ac:dyDescent="0.25">
      <c r="B202" s="199"/>
      <c r="C202" s="199"/>
      <c r="D202" s="199"/>
      <c r="E202" s="199"/>
      <c r="F202" s="199"/>
      <c r="G202" s="199"/>
      <c r="H202" s="199"/>
      <c r="I202" s="198"/>
    </row>
    <row r="203" spans="2:9" ht="14.25" x14ac:dyDescent="0.25">
      <c r="B203" s="199"/>
      <c r="C203" s="199"/>
      <c r="D203" s="199"/>
      <c r="E203" s="199"/>
      <c r="F203" s="199"/>
      <c r="G203" s="199"/>
      <c r="H203" s="199"/>
      <c r="I203" s="198"/>
    </row>
    <row r="204" spans="2:9" ht="14.25" x14ac:dyDescent="0.25">
      <c r="B204" s="199"/>
      <c r="C204" s="199"/>
      <c r="D204" s="199"/>
      <c r="E204" s="199"/>
      <c r="F204" s="199"/>
      <c r="G204" s="199"/>
      <c r="H204" s="199"/>
      <c r="I204" s="198"/>
    </row>
    <row r="205" spans="2:9" ht="14.25" x14ac:dyDescent="0.25">
      <c r="B205" s="199"/>
      <c r="C205" s="199"/>
      <c r="D205" s="199"/>
      <c r="E205" s="199"/>
      <c r="F205" s="199"/>
      <c r="G205" s="199"/>
      <c r="H205" s="199"/>
      <c r="I205" s="198"/>
    </row>
    <row r="206" spans="2:9" ht="14.25" x14ac:dyDescent="0.25">
      <c r="B206" s="199"/>
      <c r="C206" s="199"/>
      <c r="D206" s="199"/>
      <c r="E206" s="199"/>
      <c r="F206" s="199"/>
      <c r="G206" s="199"/>
      <c r="H206" s="199"/>
      <c r="I206" s="198"/>
    </row>
    <row r="207" spans="2:9" ht="14.25" x14ac:dyDescent="0.25">
      <c r="B207" s="199"/>
      <c r="C207" s="199"/>
      <c r="D207" s="199"/>
      <c r="E207" s="199"/>
      <c r="F207" s="199"/>
      <c r="G207" s="199"/>
      <c r="H207" s="199"/>
      <c r="I207" s="198"/>
    </row>
    <row r="208" spans="2:9" ht="14.25" x14ac:dyDescent="0.25">
      <c r="B208" s="199"/>
      <c r="C208" s="199"/>
      <c r="D208" s="199"/>
      <c r="E208" s="199"/>
      <c r="F208" s="199"/>
      <c r="G208" s="199"/>
      <c r="H208" s="199"/>
      <c r="I208" s="198"/>
    </row>
    <row r="209" spans="2:9" ht="14.25" x14ac:dyDescent="0.25">
      <c r="B209" s="199"/>
      <c r="C209" s="199"/>
      <c r="D209" s="199"/>
      <c r="E209" s="199"/>
      <c r="F209" s="199"/>
      <c r="G209" s="199"/>
      <c r="H209" s="199"/>
      <c r="I209" s="198"/>
    </row>
    <row r="210" spans="2:9" ht="14.25" x14ac:dyDescent="0.25">
      <c r="B210" s="199"/>
      <c r="C210" s="199"/>
      <c r="D210" s="199"/>
      <c r="E210" s="199"/>
      <c r="F210" s="199"/>
      <c r="G210" s="199"/>
      <c r="H210" s="199"/>
      <c r="I210" s="198"/>
    </row>
    <row r="211" spans="2:9" ht="14.25" x14ac:dyDescent="0.25">
      <c r="B211" s="199"/>
      <c r="C211" s="199"/>
      <c r="D211" s="199"/>
      <c r="E211" s="199"/>
      <c r="F211" s="199"/>
      <c r="G211" s="199"/>
      <c r="H211" s="199"/>
      <c r="I211" s="198"/>
    </row>
    <row r="212" spans="2:9" ht="14.25" x14ac:dyDescent="0.25">
      <c r="B212" s="199"/>
      <c r="C212" s="199"/>
      <c r="D212" s="199"/>
      <c r="E212" s="199"/>
      <c r="F212" s="199"/>
      <c r="G212" s="199"/>
      <c r="H212" s="199"/>
      <c r="I212" s="198"/>
    </row>
    <row r="213" spans="2:9" ht="14.25" x14ac:dyDescent="0.25">
      <c r="B213" s="199"/>
      <c r="C213" s="199"/>
      <c r="D213" s="199"/>
      <c r="E213" s="199"/>
      <c r="F213" s="199"/>
      <c r="G213" s="199"/>
      <c r="H213" s="199"/>
      <c r="I213" s="198"/>
    </row>
    <row r="214" spans="2:9" ht="14.25" x14ac:dyDescent="0.25">
      <c r="B214" s="199"/>
      <c r="C214" s="199"/>
      <c r="D214" s="199"/>
      <c r="E214" s="199"/>
      <c r="F214" s="199"/>
      <c r="G214" s="199"/>
      <c r="H214" s="199"/>
      <c r="I214" s="198"/>
    </row>
    <row r="215" spans="2:9" ht="14.25" x14ac:dyDescent="0.25">
      <c r="B215" s="199"/>
      <c r="C215" s="199"/>
      <c r="D215" s="199"/>
      <c r="E215" s="199"/>
      <c r="F215" s="199"/>
      <c r="G215" s="199"/>
      <c r="H215" s="199"/>
      <c r="I215" s="198"/>
    </row>
    <row r="216" spans="2:9" ht="14.25" x14ac:dyDescent="0.25">
      <c r="B216" s="199"/>
      <c r="C216" s="199"/>
      <c r="D216" s="199"/>
      <c r="E216" s="199"/>
      <c r="F216" s="199"/>
      <c r="G216" s="199"/>
      <c r="H216" s="199"/>
      <c r="I216" s="198"/>
    </row>
    <row r="217" spans="2:9" ht="14.25" x14ac:dyDescent="0.25">
      <c r="B217" s="199"/>
      <c r="C217" s="199"/>
      <c r="D217" s="199"/>
      <c r="E217" s="199"/>
      <c r="F217" s="199"/>
      <c r="G217" s="199"/>
      <c r="H217" s="199"/>
      <c r="I217" s="198"/>
    </row>
    <row r="218" spans="2:9" ht="14.25" x14ac:dyDescent="0.25">
      <c r="B218" s="199"/>
      <c r="C218" s="199"/>
      <c r="D218" s="199"/>
      <c r="E218" s="199"/>
      <c r="F218" s="199"/>
      <c r="G218" s="199"/>
      <c r="H218" s="199"/>
      <c r="I218" s="198"/>
    </row>
    <row r="219" spans="2:9" ht="14.25" x14ac:dyDescent="0.25">
      <c r="B219" s="199"/>
      <c r="C219" s="199"/>
      <c r="D219" s="199"/>
      <c r="E219" s="199"/>
      <c r="F219" s="199"/>
      <c r="G219" s="199"/>
      <c r="H219" s="199"/>
      <c r="I219" s="198"/>
    </row>
    <row r="220" spans="2:9" ht="14.25" x14ac:dyDescent="0.25">
      <c r="B220" s="199"/>
      <c r="C220" s="199"/>
      <c r="D220" s="199"/>
      <c r="E220" s="199"/>
      <c r="F220" s="199"/>
      <c r="G220" s="199"/>
      <c r="H220" s="199"/>
      <c r="I220" s="198"/>
    </row>
    <row r="221" spans="2:9" ht="14.25" x14ac:dyDescent="0.25">
      <c r="B221" s="199"/>
      <c r="C221" s="199"/>
      <c r="D221" s="199"/>
      <c r="E221" s="199"/>
      <c r="F221" s="199"/>
      <c r="G221" s="199"/>
      <c r="H221" s="199"/>
      <c r="I221" s="198"/>
    </row>
    <row r="222" spans="2:9" ht="14.25" x14ac:dyDescent="0.25">
      <c r="B222" s="199"/>
      <c r="C222" s="199"/>
      <c r="D222" s="199"/>
      <c r="E222" s="199"/>
      <c r="F222" s="199"/>
      <c r="G222" s="199"/>
      <c r="H222" s="199"/>
      <c r="I222" s="198"/>
    </row>
    <row r="223" spans="2:9" ht="14.25" x14ac:dyDescent="0.25">
      <c r="B223" s="199"/>
      <c r="C223" s="199"/>
      <c r="D223" s="199"/>
      <c r="E223" s="199"/>
      <c r="F223" s="199"/>
      <c r="G223" s="199"/>
      <c r="H223" s="199"/>
      <c r="I223" s="198"/>
    </row>
    <row r="224" spans="2:9" ht="14.25" x14ac:dyDescent="0.25">
      <c r="B224" s="199"/>
      <c r="C224" s="199"/>
      <c r="D224" s="199"/>
      <c r="E224" s="199"/>
      <c r="F224" s="199"/>
      <c r="G224" s="199"/>
      <c r="H224" s="199"/>
      <c r="I224" s="198"/>
    </row>
    <row r="225" spans="2:9" ht="14.25" x14ac:dyDescent="0.25">
      <c r="B225" s="199"/>
      <c r="C225" s="199"/>
      <c r="D225" s="199"/>
      <c r="E225" s="199"/>
      <c r="F225" s="199"/>
      <c r="G225" s="199"/>
      <c r="H225" s="199"/>
      <c r="I225" s="198"/>
    </row>
    <row r="226" spans="2:9" ht="14.25" x14ac:dyDescent="0.25">
      <c r="B226" s="199"/>
      <c r="C226" s="199"/>
      <c r="D226" s="199"/>
      <c r="E226" s="199"/>
      <c r="F226" s="199"/>
      <c r="G226" s="199"/>
      <c r="H226" s="199"/>
      <c r="I226" s="198"/>
    </row>
    <row r="227" spans="2:9" ht="14.25" x14ac:dyDescent="0.25">
      <c r="B227" s="199"/>
      <c r="C227" s="199"/>
      <c r="D227" s="199"/>
      <c r="E227" s="199"/>
      <c r="F227" s="199"/>
      <c r="G227" s="199"/>
      <c r="H227" s="199"/>
      <c r="I227" s="198"/>
    </row>
    <row r="228" spans="2:9" ht="14.25" x14ac:dyDescent="0.25">
      <c r="B228" s="199"/>
      <c r="C228" s="199"/>
      <c r="D228" s="199"/>
      <c r="E228" s="199"/>
      <c r="F228" s="199"/>
      <c r="G228" s="199"/>
      <c r="H228" s="199"/>
      <c r="I228" s="198"/>
    </row>
    <row r="229" spans="2:9" ht="14.25" x14ac:dyDescent="0.25">
      <c r="B229" s="199"/>
      <c r="C229" s="199"/>
      <c r="D229" s="199"/>
      <c r="E229" s="199"/>
      <c r="F229" s="199"/>
      <c r="G229" s="199"/>
      <c r="H229" s="199"/>
      <c r="I229" s="198"/>
    </row>
    <row r="230" spans="2:9" ht="14.25" x14ac:dyDescent="0.25">
      <c r="B230" s="199"/>
      <c r="C230" s="199"/>
      <c r="D230" s="199"/>
      <c r="E230" s="199"/>
      <c r="F230" s="199"/>
      <c r="G230" s="199"/>
      <c r="H230" s="199"/>
      <c r="I230" s="198"/>
    </row>
    <row r="231" spans="2:9" ht="14.25" x14ac:dyDescent="0.25">
      <c r="B231" s="199"/>
      <c r="C231" s="199"/>
      <c r="D231" s="199"/>
      <c r="E231" s="199"/>
      <c r="F231" s="199"/>
      <c r="G231" s="199"/>
      <c r="H231" s="199"/>
      <c r="I231" s="198"/>
    </row>
    <row r="232" spans="2:9" ht="14.25" x14ac:dyDescent="0.25">
      <c r="B232" s="199"/>
      <c r="C232" s="199"/>
      <c r="D232" s="199"/>
      <c r="E232" s="199"/>
      <c r="F232" s="199"/>
      <c r="G232" s="199"/>
      <c r="H232" s="199"/>
      <c r="I232" s="198"/>
    </row>
    <row r="233" spans="2:9" ht="14.25" x14ac:dyDescent="0.25">
      <c r="B233" s="199"/>
      <c r="C233" s="199"/>
      <c r="D233" s="199"/>
      <c r="E233" s="199"/>
      <c r="F233" s="199"/>
      <c r="G233" s="199"/>
      <c r="H233" s="199"/>
      <c r="I233" s="198"/>
    </row>
    <row r="234" spans="2:9" ht="14.25" x14ac:dyDescent="0.25">
      <c r="B234" s="199"/>
      <c r="C234" s="199"/>
      <c r="D234" s="199"/>
      <c r="E234" s="199"/>
      <c r="F234" s="199"/>
      <c r="G234" s="199"/>
      <c r="H234" s="199"/>
      <c r="I234" s="198"/>
    </row>
    <row r="235" spans="2:9" ht="14.25" x14ac:dyDescent="0.25">
      <c r="B235" s="199"/>
      <c r="C235" s="199"/>
      <c r="D235" s="199"/>
      <c r="E235" s="199"/>
      <c r="F235" s="199"/>
      <c r="G235" s="199"/>
      <c r="H235" s="199"/>
      <c r="I235" s="198"/>
    </row>
    <row r="236" spans="2:9" ht="14.25" x14ac:dyDescent="0.25">
      <c r="B236" s="199"/>
      <c r="C236" s="199"/>
      <c r="D236" s="199"/>
      <c r="E236" s="199"/>
      <c r="F236" s="199"/>
      <c r="G236" s="199"/>
      <c r="H236" s="199"/>
      <c r="I236" s="198"/>
    </row>
    <row r="237" spans="2:9" ht="14.25" x14ac:dyDescent="0.25">
      <c r="B237" s="199"/>
      <c r="C237" s="199"/>
      <c r="D237" s="199"/>
      <c r="E237" s="199"/>
      <c r="F237" s="199"/>
      <c r="G237" s="199"/>
      <c r="H237" s="199"/>
      <c r="I237" s="198"/>
    </row>
    <row r="238" spans="2:9" ht="14.25" x14ac:dyDescent="0.25">
      <c r="B238" s="199"/>
      <c r="C238" s="199"/>
      <c r="D238" s="199"/>
      <c r="E238" s="199"/>
      <c r="F238" s="199"/>
      <c r="G238" s="199"/>
      <c r="H238" s="199"/>
      <c r="I238" s="198"/>
    </row>
    <row r="239" spans="2:9" ht="14.25" x14ac:dyDescent="0.25">
      <c r="B239" s="199"/>
      <c r="C239" s="199"/>
      <c r="D239" s="199"/>
      <c r="E239" s="199"/>
      <c r="F239" s="199"/>
      <c r="G239" s="199"/>
      <c r="H239" s="199"/>
      <c r="I239" s="198"/>
    </row>
    <row r="240" spans="2:9" ht="14.25" x14ac:dyDescent="0.25">
      <c r="B240" s="199"/>
      <c r="C240" s="199"/>
      <c r="D240" s="199"/>
      <c r="E240" s="199"/>
      <c r="F240" s="199"/>
      <c r="G240" s="199"/>
      <c r="H240" s="199"/>
      <c r="I240" s="198"/>
    </row>
    <row r="241" spans="2:9" ht="14.25" x14ac:dyDescent="0.25">
      <c r="B241" s="199"/>
      <c r="C241" s="199"/>
      <c r="D241" s="199"/>
      <c r="E241" s="199"/>
      <c r="F241" s="199"/>
      <c r="G241" s="199"/>
      <c r="H241" s="199"/>
      <c r="I241" s="198"/>
    </row>
    <row r="242" spans="2:9" ht="14.25" x14ac:dyDescent="0.25">
      <c r="B242" s="199"/>
      <c r="C242" s="199"/>
      <c r="D242" s="199"/>
      <c r="E242" s="199"/>
      <c r="F242" s="199"/>
      <c r="G242" s="199"/>
      <c r="H242" s="199"/>
      <c r="I242" s="198"/>
    </row>
    <row r="243" spans="2:9" ht="14.25" x14ac:dyDescent="0.25">
      <c r="B243" s="199"/>
      <c r="C243" s="199"/>
      <c r="D243" s="199"/>
      <c r="E243" s="199"/>
      <c r="F243" s="199"/>
      <c r="G243" s="199"/>
      <c r="H243" s="199"/>
      <c r="I243" s="198"/>
    </row>
    <row r="244" spans="2:9" ht="14.25" x14ac:dyDescent="0.25">
      <c r="B244" s="199"/>
      <c r="C244" s="199"/>
      <c r="D244" s="199"/>
      <c r="E244" s="199"/>
      <c r="F244" s="199"/>
      <c r="G244" s="199"/>
      <c r="H244" s="199"/>
      <c r="I244" s="198"/>
    </row>
    <row r="245" spans="2:9" ht="14.25" x14ac:dyDescent="0.25">
      <c r="B245" s="199"/>
      <c r="C245" s="199"/>
      <c r="D245" s="199"/>
      <c r="E245" s="199"/>
      <c r="F245" s="199"/>
      <c r="G245" s="199"/>
      <c r="H245" s="199"/>
      <c r="I245" s="198"/>
    </row>
    <row r="246" spans="2:9" ht="14.25" x14ac:dyDescent="0.25">
      <c r="B246" s="199"/>
      <c r="C246" s="199"/>
      <c r="D246" s="199"/>
      <c r="E246" s="199"/>
      <c r="F246" s="199"/>
      <c r="G246" s="199"/>
      <c r="H246" s="199"/>
      <c r="I246" s="198"/>
    </row>
    <row r="247" spans="2:9" ht="14.25" x14ac:dyDescent="0.25">
      <c r="B247" s="199"/>
      <c r="C247" s="199"/>
      <c r="D247" s="199"/>
      <c r="E247" s="199"/>
      <c r="F247" s="199"/>
      <c r="G247" s="199"/>
      <c r="H247" s="199"/>
      <c r="I247" s="198"/>
    </row>
    <row r="248" spans="2:9" ht="14.25" x14ac:dyDescent="0.25">
      <c r="B248" s="199"/>
      <c r="C248" s="199"/>
      <c r="D248" s="199"/>
      <c r="E248" s="199"/>
      <c r="F248" s="199"/>
      <c r="G248" s="199"/>
      <c r="H248" s="199"/>
      <c r="I248" s="198"/>
    </row>
    <row r="249" spans="2:9" ht="14.25" x14ac:dyDescent="0.25">
      <c r="B249" s="199"/>
      <c r="C249" s="199"/>
      <c r="D249" s="199"/>
      <c r="E249" s="199"/>
      <c r="F249" s="199"/>
      <c r="G249" s="199"/>
      <c r="H249" s="199"/>
      <c r="I249" s="198"/>
    </row>
    <row r="250" spans="2:9" ht="14.25" x14ac:dyDescent="0.25">
      <c r="B250" s="199"/>
      <c r="C250" s="199"/>
      <c r="D250" s="199"/>
      <c r="E250" s="199"/>
      <c r="F250" s="199"/>
      <c r="G250" s="199"/>
      <c r="H250" s="199"/>
      <c r="I250" s="198"/>
    </row>
    <row r="251" spans="2:9" ht="14.25" x14ac:dyDescent="0.25">
      <c r="B251" s="199"/>
      <c r="C251" s="199"/>
      <c r="D251" s="199"/>
      <c r="E251" s="199"/>
      <c r="F251" s="199"/>
      <c r="G251" s="199"/>
      <c r="H251" s="199"/>
      <c r="I251" s="198"/>
    </row>
    <row r="252" spans="2:9" ht="14.25" x14ac:dyDescent="0.25">
      <c r="B252" s="199"/>
      <c r="C252" s="199"/>
      <c r="D252" s="199"/>
      <c r="E252" s="199"/>
      <c r="F252" s="199"/>
      <c r="G252" s="199"/>
      <c r="H252" s="199"/>
      <c r="I252" s="198"/>
    </row>
    <row r="253" spans="2:9" ht="14.25" x14ac:dyDescent="0.25">
      <c r="B253" s="199"/>
      <c r="C253" s="199"/>
      <c r="D253" s="199"/>
      <c r="E253" s="199"/>
      <c r="F253" s="199"/>
      <c r="G253" s="199"/>
      <c r="H253" s="199"/>
      <c r="I253" s="198"/>
    </row>
    <row r="254" spans="2:9" ht="14.25" x14ac:dyDescent="0.25">
      <c r="B254" s="199"/>
      <c r="C254" s="199"/>
      <c r="D254" s="199"/>
      <c r="E254" s="199"/>
      <c r="F254" s="199"/>
      <c r="G254" s="199"/>
      <c r="H254" s="199"/>
      <c r="I254" s="198"/>
    </row>
    <row r="255" spans="2:9" ht="14.25" x14ac:dyDescent="0.25">
      <c r="B255" s="199"/>
      <c r="C255" s="199"/>
      <c r="D255" s="199"/>
      <c r="E255" s="199"/>
      <c r="F255" s="199"/>
      <c r="G255" s="199"/>
      <c r="H255" s="199"/>
      <c r="I255" s="198"/>
    </row>
    <row r="256" spans="2:9" ht="14.25" x14ac:dyDescent="0.25">
      <c r="B256" s="199"/>
      <c r="C256" s="199"/>
      <c r="D256" s="199"/>
      <c r="E256" s="199"/>
      <c r="F256" s="199"/>
      <c r="G256" s="199"/>
      <c r="H256" s="199"/>
      <c r="I256" s="198"/>
    </row>
    <row r="257" spans="2:9" ht="14.25" x14ac:dyDescent="0.25">
      <c r="B257" s="199"/>
      <c r="C257" s="199"/>
      <c r="D257" s="199"/>
      <c r="E257" s="199"/>
      <c r="F257" s="199"/>
      <c r="G257" s="199"/>
      <c r="H257" s="199"/>
      <c r="I257" s="198"/>
    </row>
    <row r="258" spans="2:9" ht="14.25" x14ac:dyDescent="0.25">
      <c r="B258" s="199"/>
      <c r="C258" s="199"/>
      <c r="D258" s="199"/>
      <c r="E258" s="199"/>
      <c r="F258" s="199"/>
      <c r="G258" s="199"/>
      <c r="H258" s="199"/>
      <c r="I258" s="198"/>
    </row>
    <row r="259" spans="2:9" ht="14.25" x14ac:dyDescent="0.25">
      <c r="B259" s="199"/>
      <c r="C259" s="199"/>
      <c r="D259" s="199"/>
      <c r="E259" s="199"/>
      <c r="F259" s="199"/>
      <c r="G259" s="199"/>
      <c r="H259" s="199"/>
      <c r="I259" s="198"/>
    </row>
    <row r="260" spans="2:9" ht="14.25" x14ac:dyDescent="0.25">
      <c r="B260" s="199"/>
      <c r="C260" s="199"/>
      <c r="D260" s="199"/>
      <c r="E260" s="199"/>
      <c r="F260" s="199"/>
      <c r="G260" s="199"/>
      <c r="H260" s="199"/>
      <c r="I260" s="198"/>
    </row>
    <row r="261" spans="2:9" ht="14.25" x14ac:dyDescent="0.25">
      <c r="B261" s="199"/>
      <c r="C261" s="199"/>
      <c r="D261" s="199"/>
      <c r="E261" s="199"/>
      <c r="F261" s="199"/>
      <c r="G261" s="199"/>
      <c r="H261" s="199"/>
      <c r="I261" s="198"/>
    </row>
    <row r="262" spans="2:9" ht="14.25" x14ac:dyDescent="0.25">
      <c r="B262" s="199"/>
      <c r="C262" s="199"/>
      <c r="D262" s="199"/>
      <c r="E262" s="199"/>
      <c r="F262" s="199"/>
      <c r="G262" s="199"/>
      <c r="H262" s="199"/>
      <c r="I262" s="198"/>
    </row>
    <row r="263" spans="2:9" ht="14.25" x14ac:dyDescent="0.25">
      <c r="B263" s="199"/>
      <c r="C263" s="199"/>
      <c r="D263" s="199"/>
      <c r="E263" s="199"/>
      <c r="F263" s="199"/>
      <c r="G263" s="199"/>
      <c r="H263" s="199"/>
      <c r="I263" s="198"/>
    </row>
    <row r="264" spans="2:9" ht="14.25" x14ac:dyDescent="0.25">
      <c r="B264" s="199"/>
      <c r="C264" s="199"/>
      <c r="D264" s="199"/>
      <c r="E264" s="199"/>
      <c r="F264" s="199"/>
      <c r="G264" s="199"/>
      <c r="H264" s="199"/>
      <c r="I264" s="198"/>
    </row>
    <row r="265" spans="2:9" ht="14.25" x14ac:dyDescent="0.25">
      <c r="B265" s="199"/>
      <c r="C265" s="199"/>
      <c r="D265" s="199"/>
      <c r="E265" s="199"/>
      <c r="F265" s="199"/>
      <c r="G265" s="199"/>
      <c r="H265" s="199"/>
      <c r="I265" s="198"/>
    </row>
    <row r="266" spans="2:9" ht="14.25" x14ac:dyDescent="0.25">
      <c r="B266" s="199"/>
      <c r="C266" s="199"/>
      <c r="D266" s="199"/>
      <c r="E266" s="199"/>
      <c r="F266" s="199"/>
      <c r="G266" s="199"/>
      <c r="H266" s="199"/>
      <c r="I266" s="198"/>
    </row>
    <row r="267" spans="2:9" ht="14.25" x14ac:dyDescent="0.25">
      <c r="B267" s="199"/>
      <c r="C267" s="199"/>
      <c r="D267" s="199"/>
      <c r="E267" s="199"/>
      <c r="F267" s="199"/>
      <c r="G267" s="199"/>
      <c r="H267" s="199"/>
      <c r="I267" s="198"/>
    </row>
    <row r="268" spans="2:9" ht="14.25" x14ac:dyDescent="0.25">
      <c r="B268" s="199"/>
      <c r="C268" s="199"/>
      <c r="D268" s="199"/>
      <c r="E268" s="199"/>
      <c r="F268" s="199"/>
      <c r="G268" s="199"/>
      <c r="H268" s="199"/>
      <c r="I268" s="198"/>
    </row>
    <row r="269" spans="2:9" ht="14.25" x14ac:dyDescent="0.25">
      <c r="B269" s="199"/>
      <c r="C269" s="199"/>
      <c r="D269" s="199"/>
      <c r="E269" s="199"/>
      <c r="F269" s="199"/>
      <c r="G269" s="199"/>
      <c r="H269" s="199"/>
      <c r="I269" s="198"/>
    </row>
    <row r="270" spans="2:9" ht="14.25" x14ac:dyDescent="0.25">
      <c r="B270" s="199"/>
      <c r="C270" s="199"/>
      <c r="D270" s="199"/>
      <c r="E270" s="199"/>
      <c r="F270" s="199"/>
      <c r="G270" s="199"/>
      <c r="H270" s="199"/>
      <c r="I270" s="198"/>
    </row>
    <row r="271" spans="2:9" ht="14.25" x14ac:dyDescent="0.25">
      <c r="B271" s="199"/>
      <c r="C271" s="199"/>
      <c r="D271" s="199"/>
      <c r="E271" s="199"/>
      <c r="F271" s="199"/>
      <c r="G271" s="199"/>
      <c r="H271" s="199"/>
      <c r="I271" s="198"/>
    </row>
    <row r="272" spans="2:9" ht="14.25" x14ac:dyDescent="0.25">
      <c r="B272" s="199"/>
      <c r="C272" s="199"/>
      <c r="D272" s="199"/>
      <c r="E272" s="199"/>
      <c r="F272" s="199"/>
      <c r="G272" s="199"/>
      <c r="H272" s="199"/>
      <c r="I272" s="198"/>
    </row>
    <row r="273" spans="2:9" ht="14.25" x14ac:dyDescent="0.25">
      <c r="B273" s="199"/>
      <c r="C273" s="199"/>
      <c r="D273" s="199"/>
      <c r="E273" s="199"/>
      <c r="F273" s="199"/>
      <c r="G273" s="199"/>
      <c r="H273" s="199"/>
      <c r="I273" s="198"/>
    </row>
    <row r="274" spans="2:9" ht="14.25" x14ac:dyDescent="0.25">
      <c r="B274" s="199"/>
      <c r="C274" s="199"/>
      <c r="D274" s="199"/>
      <c r="E274" s="199"/>
      <c r="F274" s="199"/>
      <c r="G274" s="199"/>
      <c r="H274" s="199"/>
      <c r="I274" s="198"/>
    </row>
    <row r="275" spans="2:9" ht="14.25" x14ac:dyDescent="0.25">
      <c r="B275" s="199"/>
      <c r="C275" s="199"/>
      <c r="D275" s="199"/>
      <c r="E275" s="199"/>
      <c r="F275" s="199"/>
      <c r="G275" s="199"/>
      <c r="H275" s="199"/>
      <c r="I275" s="198"/>
    </row>
    <row r="276" spans="2:9" ht="14.25" x14ac:dyDescent="0.25">
      <c r="B276" s="199"/>
      <c r="C276" s="199"/>
      <c r="D276" s="199"/>
      <c r="E276" s="199"/>
      <c r="F276" s="199"/>
      <c r="G276" s="199"/>
      <c r="H276" s="199"/>
      <c r="I276" s="198"/>
    </row>
    <row r="277" spans="2:9" ht="14.25" x14ac:dyDescent="0.25">
      <c r="B277" s="199"/>
      <c r="C277" s="199"/>
      <c r="D277" s="199"/>
      <c r="E277" s="199"/>
      <c r="F277" s="199"/>
      <c r="G277" s="199"/>
      <c r="H277" s="199"/>
      <c r="I277" s="198"/>
    </row>
    <row r="278" spans="2:9" ht="14.25" x14ac:dyDescent="0.25">
      <c r="B278" s="199"/>
      <c r="C278" s="199"/>
      <c r="D278" s="199"/>
      <c r="E278" s="199"/>
      <c r="F278" s="199"/>
      <c r="G278" s="199"/>
      <c r="H278" s="199"/>
      <c r="I278" s="198"/>
    </row>
    <row r="279" spans="2:9" ht="14.25" x14ac:dyDescent="0.25">
      <c r="B279" s="199"/>
      <c r="C279" s="199"/>
      <c r="D279" s="199"/>
      <c r="E279" s="199"/>
      <c r="F279" s="199"/>
      <c r="G279" s="199"/>
      <c r="H279" s="199"/>
      <c r="I279" s="198"/>
    </row>
    <row r="280" spans="2:9" ht="14.25" x14ac:dyDescent="0.25">
      <c r="B280" s="199"/>
      <c r="C280" s="199"/>
      <c r="D280" s="199"/>
      <c r="E280" s="199"/>
      <c r="F280" s="199"/>
      <c r="G280" s="199"/>
      <c r="H280" s="199"/>
      <c r="I280" s="198"/>
    </row>
    <row r="281" spans="2:9" ht="14.25" x14ac:dyDescent="0.25">
      <c r="B281" s="199"/>
      <c r="C281" s="199"/>
      <c r="D281" s="199"/>
      <c r="E281" s="199"/>
      <c r="F281" s="199"/>
      <c r="G281" s="199"/>
      <c r="H281" s="199"/>
      <c r="I281" s="198"/>
    </row>
    <row r="282" spans="2:9" ht="14.25" x14ac:dyDescent="0.25">
      <c r="B282" s="199"/>
      <c r="C282" s="199"/>
      <c r="D282" s="199"/>
      <c r="E282" s="199"/>
      <c r="F282" s="199"/>
      <c r="G282" s="199"/>
      <c r="H282" s="199"/>
      <c r="I282" s="198"/>
    </row>
    <row r="283" spans="2:9" ht="14.25" x14ac:dyDescent="0.25">
      <c r="B283" s="199"/>
      <c r="C283" s="199"/>
      <c r="D283" s="199"/>
      <c r="E283" s="199"/>
      <c r="F283" s="199"/>
      <c r="G283" s="199"/>
      <c r="H283" s="199"/>
      <c r="I283" s="198"/>
    </row>
    <row r="284" spans="2:9" ht="14.25" x14ac:dyDescent="0.25">
      <c r="B284" s="199"/>
      <c r="C284" s="199"/>
      <c r="D284" s="199"/>
      <c r="E284" s="199"/>
      <c r="F284" s="199"/>
      <c r="G284" s="199"/>
      <c r="H284" s="199"/>
      <c r="I284" s="198"/>
    </row>
    <row r="285" spans="2:9" ht="14.25" x14ac:dyDescent="0.25">
      <c r="B285" s="199"/>
      <c r="C285" s="199"/>
      <c r="D285" s="199"/>
      <c r="E285" s="199"/>
      <c r="F285" s="199"/>
      <c r="G285" s="199"/>
      <c r="H285" s="199"/>
      <c r="I285" s="198"/>
    </row>
    <row r="286" spans="2:9" ht="14.25" x14ac:dyDescent="0.25">
      <c r="B286" s="199"/>
      <c r="C286" s="199"/>
      <c r="D286" s="199"/>
      <c r="E286" s="199"/>
      <c r="F286" s="199"/>
      <c r="G286" s="199"/>
      <c r="H286" s="199"/>
      <c r="I286" s="198"/>
    </row>
    <row r="287" spans="2:9" ht="14.25" x14ac:dyDescent="0.25">
      <c r="B287" s="199"/>
      <c r="C287" s="199"/>
      <c r="D287" s="199"/>
      <c r="E287" s="199"/>
      <c r="F287" s="199"/>
      <c r="G287" s="199"/>
      <c r="H287" s="199"/>
      <c r="I287" s="198"/>
    </row>
    <row r="288" spans="2:9" ht="14.25" x14ac:dyDescent="0.25">
      <c r="B288" s="199"/>
      <c r="C288" s="199"/>
      <c r="D288" s="199"/>
      <c r="E288" s="199"/>
      <c r="F288" s="199"/>
      <c r="G288" s="199"/>
      <c r="H288" s="199"/>
      <c r="I288" s="198"/>
    </row>
    <row r="289" spans="2:9" ht="14.25" x14ac:dyDescent="0.25">
      <c r="B289" s="199"/>
      <c r="C289" s="199"/>
      <c r="D289" s="199"/>
      <c r="E289" s="199"/>
      <c r="F289" s="199"/>
      <c r="G289" s="199"/>
      <c r="H289" s="199"/>
      <c r="I289" s="198"/>
    </row>
    <row r="290" spans="2:9" ht="14.25" x14ac:dyDescent="0.25">
      <c r="B290" s="199"/>
      <c r="C290" s="199"/>
      <c r="D290" s="199"/>
      <c r="E290" s="199"/>
      <c r="F290" s="199"/>
      <c r="G290" s="199"/>
      <c r="H290" s="199"/>
      <c r="I290" s="198"/>
    </row>
    <row r="291" spans="2:9" ht="14.25" x14ac:dyDescent="0.25">
      <c r="B291" s="199"/>
      <c r="C291" s="199"/>
      <c r="D291" s="199"/>
      <c r="E291" s="199"/>
      <c r="F291" s="199"/>
      <c r="G291" s="199"/>
      <c r="H291" s="199"/>
      <c r="I291" s="198"/>
    </row>
    <row r="292" spans="2:9" ht="14.25" x14ac:dyDescent="0.25">
      <c r="B292" s="199"/>
      <c r="C292" s="199"/>
      <c r="D292" s="199"/>
      <c r="E292" s="199"/>
      <c r="F292" s="199"/>
      <c r="G292" s="199"/>
      <c r="H292" s="199"/>
      <c r="I292" s="198"/>
    </row>
    <row r="293" spans="2:9" ht="14.25" x14ac:dyDescent="0.25">
      <c r="B293" s="199"/>
      <c r="C293" s="199"/>
      <c r="D293" s="199"/>
      <c r="E293" s="199"/>
      <c r="F293" s="199"/>
      <c r="G293" s="199"/>
      <c r="H293" s="199"/>
      <c r="I293" s="198"/>
    </row>
    <row r="294" spans="2:9" ht="14.25" x14ac:dyDescent="0.25">
      <c r="B294" s="199"/>
      <c r="C294" s="199"/>
      <c r="D294" s="199"/>
      <c r="E294" s="199"/>
      <c r="F294" s="199"/>
      <c r="G294" s="199"/>
      <c r="H294" s="199"/>
      <c r="I294" s="198"/>
    </row>
    <row r="295" spans="2:9" ht="14.25" x14ac:dyDescent="0.25">
      <c r="B295" s="199"/>
      <c r="C295" s="199"/>
      <c r="D295" s="199"/>
      <c r="E295" s="199"/>
      <c r="F295" s="199"/>
      <c r="G295" s="199"/>
      <c r="H295" s="199"/>
      <c r="I295" s="198"/>
    </row>
    <row r="296" spans="2:9" ht="14.25" x14ac:dyDescent="0.25">
      <c r="B296" s="199"/>
      <c r="C296" s="199"/>
      <c r="D296" s="199"/>
      <c r="E296" s="199"/>
      <c r="F296" s="199"/>
      <c r="G296" s="199"/>
      <c r="H296" s="199"/>
      <c r="I296" s="198"/>
    </row>
    <row r="297" spans="2:9" ht="14.25" x14ac:dyDescent="0.25">
      <c r="B297" s="199"/>
      <c r="C297" s="199"/>
      <c r="D297" s="199"/>
      <c r="E297" s="199"/>
      <c r="F297" s="199"/>
      <c r="G297" s="199"/>
      <c r="H297" s="199"/>
      <c r="I297" s="198"/>
    </row>
    <row r="298" spans="2:9" ht="14.25" x14ac:dyDescent="0.25">
      <c r="B298" s="199"/>
      <c r="C298" s="199"/>
      <c r="D298" s="199"/>
      <c r="E298" s="199"/>
      <c r="F298" s="199"/>
      <c r="G298" s="199"/>
      <c r="H298" s="199"/>
      <c r="I298" s="198"/>
    </row>
    <row r="299" spans="2:9" ht="14.25" x14ac:dyDescent="0.25">
      <c r="B299" s="199"/>
      <c r="C299" s="199"/>
      <c r="D299" s="199"/>
      <c r="E299" s="199"/>
      <c r="F299" s="199"/>
      <c r="G299" s="199"/>
      <c r="H299" s="199"/>
      <c r="I299" s="198"/>
    </row>
    <row r="300" spans="2:9" ht="14.25" x14ac:dyDescent="0.25">
      <c r="B300" s="199"/>
      <c r="C300" s="199"/>
      <c r="D300" s="199"/>
      <c r="E300" s="199"/>
      <c r="F300" s="199"/>
      <c r="G300" s="199"/>
      <c r="H300" s="199"/>
      <c r="I300" s="198"/>
    </row>
    <row r="301" spans="2:9" ht="14.25" x14ac:dyDescent="0.25">
      <c r="B301" s="199"/>
      <c r="C301" s="199"/>
      <c r="D301" s="199"/>
      <c r="E301" s="199"/>
      <c r="F301" s="199"/>
      <c r="G301" s="199"/>
      <c r="H301" s="199"/>
      <c r="I301" s="198"/>
    </row>
    <row r="302" spans="2:9" ht="14.25" x14ac:dyDescent="0.25">
      <c r="B302" s="199"/>
      <c r="C302" s="199"/>
      <c r="D302" s="199"/>
      <c r="E302" s="199"/>
      <c r="F302" s="199"/>
      <c r="G302" s="199"/>
      <c r="H302" s="199"/>
      <c r="I302" s="198"/>
    </row>
    <row r="303" spans="2:9" ht="14.25" x14ac:dyDescent="0.25">
      <c r="B303" s="199"/>
      <c r="C303" s="199"/>
      <c r="D303" s="199"/>
      <c r="E303" s="199"/>
      <c r="F303" s="199"/>
      <c r="G303" s="199"/>
      <c r="H303" s="199"/>
      <c r="I303" s="198"/>
    </row>
    <row r="304" spans="2:9" ht="14.25" x14ac:dyDescent="0.25">
      <c r="B304" s="199"/>
      <c r="C304" s="199"/>
      <c r="D304" s="199"/>
      <c r="E304" s="199"/>
      <c r="F304" s="199"/>
      <c r="G304" s="199"/>
      <c r="H304" s="199"/>
      <c r="I304" s="198"/>
    </row>
    <row r="305" spans="2:9" ht="14.25" x14ac:dyDescent="0.25">
      <c r="B305" s="199"/>
      <c r="C305" s="199"/>
      <c r="D305" s="199"/>
      <c r="E305" s="199"/>
      <c r="F305" s="199"/>
      <c r="G305" s="199"/>
      <c r="H305" s="199"/>
      <c r="I305" s="198"/>
    </row>
    <row r="306" spans="2:9" ht="14.25" x14ac:dyDescent="0.25">
      <c r="B306" s="199"/>
      <c r="C306" s="199"/>
      <c r="D306" s="199"/>
      <c r="E306" s="199"/>
      <c r="F306" s="199"/>
      <c r="G306" s="199"/>
      <c r="H306" s="199"/>
      <c r="I306" s="198"/>
    </row>
    <row r="307" spans="2:9" ht="14.25" x14ac:dyDescent="0.25">
      <c r="B307" s="199"/>
      <c r="C307" s="199"/>
      <c r="D307" s="199"/>
      <c r="E307" s="199"/>
      <c r="F307" s="199"/>
      <c r="G307" s="199"/>
      <c r="H307" s="199"/>
      <c r="I307" s="198"/>
    </row>
    <row r="308" spans="2:9" ht="14.25" x14ac:dyDescent="0.25">
      <c r="B308" s="199"/>
      <c r="C308" s="199"/>
      <c r="D308" s="199"/>
      <c r="E308" s="199"/>
      <c r="F308" s="199"/>
      <c r="G308" s="199"/>
      <c r="H308" s="199"/>
      <c r="I308" s="198"/>
    </row>
    <row r="309" spans="2:9" ht="14.25" x14ac:dyDescent="0.25">
      <c r="B309" s="199"/>
      <c r="C309" s="199"/>
      <c r="D309" s="199"/>
      <c r="E309" s="199"/>
      <c r="F309" s="199"/>
      <c r="G309" s="199"/>
      <c r="H309" s="199"/>
      <c r="I309" s="198"/>
    </row>
    <row r="310" spans="2:9" ht="14.25" x14ac:dyDescent="0.25">
      <c r="B310" s="199"/>
      <c r="C310" s="199"/>
      <c r="D310" s="199"/>
      <c r="E310" s="199"/>
      <c r="F310" s="199"/>
      <c r="G310" s="199"/>
      <c r="H310" s="199"/>
      <c r="I310" s="198"/>
    </row>
    <row r="311" spans="2:9" ht="14.25" x14ac:dyDescent="0.25">
      <c r="B311" s="199"/>
      <c r="C311" s="199"/>
      <c r="D311" s="199"/>
      <c r="E311" s="199"/>
      <c r="F311" s="199"/>
      <c r="G311" s="199"/>
      <c r="H311" s="199"/>
      <c r="I311" s="198"/>
    </row>
    <row r="312" spans="2:9" ht="14.25" x14ac:dyDescent="0.25">
      <c r="B312" s="199"/>
      <c r="C312" s="199"/>
      <c r="D312" s="199"/>
      <c r="E312" s="199"/>
      <c r="F312" s="199"/>
      <c r="G312" s="199"/>
      <c r="H312" s="199"/>
      <c r="I312" s="198"/>
    </row>
    <row r="313" spans="2:9" ht="14.25" x14ac:dyDescent="0.25">
      <c r="B313" s="199"/>
      <c r="C313" s="199"/>
      <c r="D313" s="199"/>
      <c r="E313" s="199"/>
      <c r="F313" s="199"/>
      <c r="G313" s="199"/>
      <c r="H313" s="199"/>
      <c r="I313" s="198"/>
    </row>
    <row r="314" spans="2:9" ht="14.25" x14ac:dyDescent="0.25">
      <c r="B314" s="199"/>
      <c r="C314" s="199"/>
      <c r="D314" s="199"/>
      <c r="E314" s="199"/>
      <c r="F314" s="199"/>
      <c r="G314" s="199"/>
      <c r="H314" s="199"/>
      <c r="I314" s="198"/>
    </row>
    <row r="315" spans="2:9" ht="14.25" x14ac:dyDescent="0.25">
      <c r="B315" s="199"/>
      <c r="C315" s="199"/>
      <c r="D315" s="199"/>
      <c r="E315" s="199"/>
      <c r="F315" s="199"/>
      <c r="G315" s="199"/>
      <c r="H315" s="199"/>
      <c r="I315" s="198"/>
    </row>
    <row r="316" spans="2:9" ht="14.25" x14ac:dyDescent="0.25">
      <c r="B316" s="199"/>
      <c r="C316" s="199"/>
      <c r="D316" s="199"/>
      <c r="E316" s="199"/>
      <c r="F316" s="199"/>
      <c r="G316" s="199"/>
      <c r="H316" s="199"/>
      <c r="I316" s="198"/>
    </row>
    <row r="317" spans="2:9" ht="14.25" x14ac:dyDescent="0.25">
      <c r="B317" s="199"/>
      <c r="C317" s="199"/>
      <c r="D317" s="199"/>
      <c r="E317" s="199"/>
      <c r="F317" s="199"/>
      <c r="G317" s="199"/>
      <c r="H317" s="199"/>
      <c r="I317" s="198"/>
    </row>
    <row r="318" spans="2:9" ht="14.25" x14ac:dyDescent="0.25">
      <c r="B318" s="199"/>
      <c r="C318" s="199"/>
      <c r="D318" s="199"/>
      <c r="E318" s="199"/>
      <c r="F318" s="199"/>
      <c r="G318" s="199"/>
      <c r="H318" s="199"/>
      <c r="I318" s="198"/>
    </row>
    <row r="319" spans="2:9" ht="14.25" x14ac:dyDescent="0.25">
      <c r="B319" s="199"/>
      <c r="C319" s="199"/>
      <c r="D319" s="199"/>
      <c r="E319" s="199"/>
      <c r="F319" s="199"/>
      <c r="G319" s="199"/>
      <c r="H319" s="199"/>
      <c r="I319" s="198"/>
    </row>
    <row r="320" spans="2:9" ht="14.25" x14ac:dyDescent="0.25">
      <c r="B320" s="199"/>
      <c r="C320" s="199"/>
      <c r="D320" s="199"/>
      <c r="E320" s="199"/>
      <c r="F320" s="199"/>
      <c r="G320" s="199"/>
      <c r="H320" s="199"/>
      <c r="I320" s="198"/>
    </row>
    <row r="321" spans="2:9" ht="14.25" x14ac:dyDescent="0.25">
      <c r="B321" s="199"/>
      <c r="C321" s="199"/>
      <c r="D321" s="199"/>
      <c r="E321" s="199"/>
      <c r="F321" s="199"/>
      <c r="G321" s="199"/>
      <c r="H321" s="199"/>
      <c r="I321" s="198"/>
    </row>
    <row r="322" spans="2:9" ht="14.25" x14ac:dyDescent="0.25">
      <c r="B322" s="199"/>
      <c r="C322" s="199"/>
      <c r="D322" s="199"/>
      <c r="E322" s="199"/>
      <c r="F322" s="199"/>
      <c r="G322" s="199"/>
      <c r="H322" s="199"/>
      <c r="I322" s="198"/>
    </row>
    <row r="323" spans="2:9" ht="14.25" x14ac:dyDescent="0.25">
      <c r="B323" s="199"/>
      <c r="C323" s="199"/>
      <c r="D323" s="199"/>
      <c r="E323" s="199"/>
      <c r="F323" s="199"/>
      <c r="G323" s="199"/>
      <c r="H323" s="199"/>
      <c r="I323" s="198"/>
    </row>
    <row r="324" spans="2:9" ht="14.25" x14ac:dyDescent="0.25">
      <c r="B324" s="199"/>
      <c r="C324" s="199"/>
      <c r="D324" s="199"/>
      <c r="E324" s="199"/>
      <c r="F324" s="199"/>
      <c r="G324" s="199"/>
      <c r="H324" s="199"/>
      <c r="I324" s="198"/>
    </row>
    <row r="325" spans="2:9" ht="14.25" x14ac:dyDescent="0.25">
      <c r="B325" s="199"/>
      <c r="C325" s="199"/>
      <c r="D325" s="199"/>
      <c r="E325" s="199"/>
      <c r="F325" s="199"/>
      <c r="G325" s="199"/>
      <c r="H325" s="199"/>
      <c r="I325" s="198"/>
    </row>
    <row r="326" spans="2:9" ht="14.25" x14ac:dyDescent="0.25">
      <c r="B326" s="199"/>
      <c r="C326" s="199"/>
      <c r="D326" s="199"/>
      <c r="E326" s="199"/>
      <c r="F326" s="199"/>
      <c r="G326" s="199"/>
      <c r="H326" s="199"/>
      <c r="I326" s="198"/>
    </row>
    <row r="327" spans="2:9" ht="14.25" x14ac:dyDescent="0.25">
      <c r="B327" s="199"/>
      <c r="C327" s="199"/>
      <c r="D327" s="199"/>
      <c r="E327" s="199"/>
      <c r="F327" s="199"/>
      <c r="G327" s="199"/>
      <c r="H327" s="199"/>
      <c r="I327" s="198"/>
    </row>
    <row r="328" spans="2:9" ht="14.25" x14ac:dyDescent="0.25">
      <c r="B328" s="199"/>
      <c r="C328" s="199"/>
      <c r="D328" s="199"/>
      <c r="E328" s="199"/>
      <c r="F328" s="199"/>
      <c r="G328" s="199"/>
      <c r="H328" s="199"/>
      <c r="I328" s="198"/>
    </row>
    <row r="329" spans="2:9" ht="14.25" x14ac:dyDescent="0.25">
      <c r="B329" s="199"/>
      <c r="C329" s="199"/>
      <c r="D329" s="199"/>
      <c r="E329" s="199"/>
      <c r="F329" s="199"/>
      <c r="G329" s="199"/>
      <c r="H329" s="199"/>
      <c r="I329" s="198"/>
    </row>
    <row r="330" spans="2:9" ht="14.25" x14ac:dyDescent="0.25">
      <c r="B330" s="199"/>
      <c r="C330" s="199"/>
      <c r="D330" s="199"/>
      <c r="E330" s="199"/>
      <c r="F330" s="199"/>
      <c r="G330" s="199"/>
      <c r="H330" s="199"/>
      <c r="I330" s="198"/>
    </row>
    <row r="331" spans="2:9" ht="14.25" x14ac:dyDescent="0.25">
      <c r="B331" s="199"/>
      <c r="C331" s="199"/>
      <c r="D331" s="199"/>
      <c r="E331" s="199"/>
      <c r="F331" s="199"/>
      <c r="G331" s="199"/>
      <c r="H331" s="199"/>
      <c r="I331" s="198"/>
    </row>
    <row r="332" spans="2:9" ht="14.25" x14ac:dyDescent="0.25">
      <c r="B332" s="199"/>
      <c r="C332" s="199"/>
      <c r="D332" s="199"/>
      <c r="E332" s="199"/>
      <c r="F332" s="199"/>
      <c r="G332" s="199"/>
      <c r="H332" s="199"/>
      <c r="I332" s="198"/>
    </row>
    <row r="333" spans="2:9" ht="14.25" x14ac:dyDescent="0.25">
      <c r="B333" s="199"/>
      <c r="C333" s="199"/>
      <c r="D333" s="199"/>
      <c r="E333" s="199"/>
      <c r="F333" s="199"/>
      <c r="G333" s="199"/>
      <c r="H333" s="199"/>
      <c r="I333" s="198"/>
    </row>
    <row r="334" spans="2:9" ht="14.25" x14ac:dyDescent="0.25">
      <c r="B334" s="199"/>
      <c r="C334" s="199"/>
      <c r="D334" s="199"/>
      <c r="E334" s="199"/>
      <c r="F334" s="199"/>
      <c r="G334" s="199"/>
      <c r="H334" s="199"/>
      <c r="I334" s="198"/>
    </row>
    <row r="335" spans="2:9" ht="14.25" x14ac:dyDescent="0.25">
      <c r="B335" s="199"/>
      <c r="C335" s="199"/>
      <c r="D335" s="199"/>
      <c r="E335" s="199"/>
      <c r="F335" s="199"/>
      <c r="G335" s="199"/>
      <c r="H335" s="199"/>
      <c r="I335" s="198"/>
    </row>
    <row r="336" spans="2:9" ht="14.25" x14ac:dyDescent="0.25">
      <c r="B336" s="199"/>
      <c r="C336" s="199"/>
      <c r="D336" s="199"/>
      <c r="E336" s="199"/>
      <c r="F336" s="199"/>
      <c r="G336" s="199"/>
      <c r="H336" s="199"/>
      <c r="I336" s="198"/>
    </row>
    <row r="337" spans="2:9" ht="14.25" x14ac:dyDescent="0.25">
      <c r="B337" s="199"/>
      <c r="C337" s="199"/>
      <c r="D337" s="199"/>
      <c r="E337" s="199"/>
      <c r="F337" s="199"/>
      <c r="G337" s="199"/>
      <c r="H337" s="199"/>
      <c r="I337" s="198"/>
    </row>
    <row r="338" spans="2:9" ht="14.25" x14ac:dyDescent="0.25">
      <c r="B338" s="199"/>
      <c r="C338" s="199"/>
      <c r="D338" s="199"/>
      <c r="E338" s="199"/>
      <c r="F338" s="199"/>
      <c r="G338" s="199"/>
      <c r="H338" s="199"/>
      <c r="I338" s="198"/>
    </row>
    <row r="339" spans="2:9" ht="14.25" x14ac:dyDescent="0.25">
      <c r="B339" s="199"/>
      <c r="C339" s="199"/>
      <c r="D339" s="199"/>
      <c r="E339" s="199"/>
      <c r="F339" s="199"/>
      <c r="G339" s="199"/>
      <c r="H339" s="199"/>
      <c r="I339" s="198"/>
    </row>
    <row r="340" spans="2:9" ht="14.25" x14ac:dyDescent="0.25">
      <c r="B340" s="199"/>
      <c r="C340" s="199"/>
      <c r="D340" s="199"/>
      <c r="E340" s="199"/>
      <c r="F340" s="199"/>
      <c r="G340" s="199"/>
      <c r="H340" s="199"/>
      <c r="I340" s="198"/>
    </row>
    <row r="341" spans="2:9" ht="14.25" x14ac:dyDescent="0.25">
      <c r="B341" s="199"/>
      <c r="C341" s="199"/>
      <c r="D341" s="199"/>
      <c r="E341" s="199"/>
      <c r="F341" s="199"/>
      <c r="G341" s="199"/>
      <c r="H341" s="199"/>
      <c r="I341" s="198"/>
    </row>
    <row r="342" spans="2:9" ht="14.25" x14ac:dyDescent="0.25">
      <c r="B342" s="199"/>
      <c r="C342" s="199"/>
      <c r="D342" s="199"/>
      <c r="E342" s="199"/>
      <c r="F342" s="199"/>
      <c r="G342" s="199"/>
      <c r="H342" s="199"/>
      <c r="I342" s="198"/>
    </row>
    <row r="343" spans="2:9" ht="14.25" x14ac:dyDescent="0.25">
      <c r="B343" s="199"/>
      <c r="C343" s="199"/>
      <c r="D343" s="199"/>
      <c r="E343" s="199"/>
      <c r="F343" s="199"/>
      <c r="G343" s="199"/>
      <c r="H343" s="199"/>
      <c r="I343" s="198"/>
    </row>
    <row r="344" spans="2:9" ht="14.25" x14ac:dyDescent="0.25">
      <c r="B344" s="199"/>
      <c r="C344" s="199"/>
      <c r="D344" s="199"/>
      <c r="E344" s="199"/>
      <c r="F344" s="199"/>
      <c r="G344" s="199"/>
      <c r="H344" s="199"/>
      <c r="I344" s="198"/>
    </row>
    <row r="345" spans="2:9" ht="14.25" x14ac:dyDescent="0.25">
      <c r="B345" s="199"/>
      <c r="C345" s="199"/>
      <c r="D345" s="199"/>
      <c r="E345" s="199"/>
      <c r="F345" s="199"/>
      <c r="G345" s="199"/>
      <c r="H345" s="199"/>
      <c r="I345" s="198"/>
    </row>
    <row r="346" spans="2:9" ht="14.25" x14ac:dyDescent="0.25">
      <c r="B346" s="199"/>
      <c r="C346" s="199"/>
      <c r="D346" s="199"/>
      <c r="E346" s="199"/>
      <c r="F346" s="199"/>
      <c r="G346" s="199"/>
      <c r="H346" s="199"/>
      <c r="I346" s="198"/>
    </row>
    <row r="347" spans="2:9" ht="14.25" x14ac:dyDescent="0.25">
      <c r="B347" s="199"/>
      <c r="C347" s="199"/>
      <c r="D347" s="199"/>
      <c r="E347" s="199"/>
      <c r="F347" s="199"/>
      <c r="G347" s="199"/>
      <c r="H347" s="199"/>
      <c r="I347" s="198"/>
    </row>
    <row r="348" spans="2:9" ht="14.25" x14ac:dyDescent="0.25">
      <c r="B348" s="199"/>
      <c r="C348" s="199"/>
      <c r="D348" s="199"/>
      <c r="E348" s="199"/>
      <c r="F348" s="199"/>
      <c r="G348" s="199"/>
      <c r="H348" s="199"/>
      <c r="I348" s="198"/>
    </row>
    <row r="349" spans="2:9" ht="14.25" x14ac:dyDescent="0.25">
      <c r="B349" s="199"/>
      <c r="C349" s="199"/>
      <c r="D349" s="199"/>
      <c r="E349" s="199"/>
      <c r="F349" s="199"/>
      <c r="G349" s="199"/>
      <c r="H349" s="199"/>
      <c r="I349" s="198"/>
    </row>
    <row r="350" spans="2:9" ht="14.25" x14ac:dyDescent="0.25">
      <c r="B350" s="199"/>
      <c r="C350" s="199"/>
      <c r="D350" s="199"/>
      <c r="E350" s="199"/>
      <c r="F350" s="199"/>
      <c r="G350" s="199"/>
      <c r="H350" s="199"/>
      <c r="I350" s="198"/>
    </row>
    <row r="351" spans="2:9" ht="14.25" x14ac:dyDescent="0.25">
      <c r="B351" s="199"/>
      <c r="C351" s="199"/>
      <c r="D351" s="199"/>
      <c r="E351" s="199"/>
      <c r="F351" s="199"/>
      <c r="G351" s="199"/>
      <c r="H351" s="199"/>
      <c r="I351" s="198"/>
    </row>
    <row r="352" spans="2:9" ht="14.25" x14ac:dyDescent="0.25">
      <c r="B352" s="199"/>
      <c r="C352" s="199"/>
      <c r="D352" s="199"/>
      <c r="E352" s="199"/>
      <c r="F352" s="199"/>
      <c r="G352" s="199"/>
      <c r="H352" s="199"/>
      <c r="I352" s="198"/>
    </row>
    <row r="353" spans="2:9" ht="14.25" x14ac:dyDescent="0.25">
      <c r="B353" s="199"/>
      <c r="C353" s="199"/>
      <c r="D353" s="199"/>
      <c r="E353" s="199"/>
      <c r="F353" s="199"/>
      <c r="G353" s="199"/>
      <c r="H353" s="199"/>
      <c r="I353" s="198"/>
    </row>
    <row r="354" spans="2:9" ht="14.25" x14ac:dyDescent="0.25">
      <c r="B354" s="199"/>
      <c r="C354" s="199"/>
      <c r="D354" s="199"/>
      <c r="E354" s="199"/>
      <c r="F354" s="199"/>
      <c r="G354" s="199"/>
      <c r="H354" s="199"/>
      <c r="I354" s="198"/>
    </row>
    <row r="355" spans="2:9" ht="14.25" x14ac:dyDescent="0.25">
      <c r="B355" s="199"/>
      <c r="C355" s="199"/>
      <c r="D355" s="199"/>
      <c r="E355" s="199"/>
      <c r="F355" s="199"/>
      <c r="G355" s="199"/>
      <c r="H355" s="199"/>
      <c r="I355" s="198"/>
    </row>
    <row r="356" spans="2:9" ht="14.25" x14ac:dyDescent="0.25">
      <c r="B356" s="199"/>
      <c r="C356" s="199"/>
      <c r="D356" s="199"/>
      <c r="E356" s="199"/>
      <c r="F356" s="199"/>
      <c r="G356" s="199"/>
      <c r="H356" s="199"/>
      <c r="I356" s="198"/>
    </row>
    <row r="357" spans="2:9" ht="14.25" x14ac:dyDescent="0.25">
      <c r="B357" s="199"/>
      <c r="C357" s="199"/>
      <c r="D357" s="199"/>
      <c r="E357" s="199"/>
      <c r="F357" s="199"/>
      <c r="G357" s="199"/>
      <c r="H357" s="199"/>
      <c r="I357" s="198"/>
    </row>
    <row r="358" spans="2:9" ht="14.25" x14ac:dyDescent="0.25">
      <c r="B358" s="199"/>
      <c r="C358" s="199"/>
      <c r="D358" s="199"/>
      <c r="E358" s="199"/>
      <c r="F358" s="199"/>
      <c r="G358" s="199"/>
      <c r="H358" s="199"/>
      <c r="I358" s="198"/>
    </row>
    <row r="359" spans="2:9" ht="14.25" x14ac:dyDescent="0.25">
      <c r="B359" s="199"/>
      <c r="C359" s="199"/>
      <c r="D359" s="199"/>
      <c r="E359" s="199"/>
      <c r="F359" s="199"/>
      <c r="G359" s="199"/>
      <c r="H359" s="199"/>
      <c r="I359" s="198"/>
    </row>
    <row r="360" spans="2:9" ht="14.25" x14ac:dyDescent="0.25">
      <c r="B360" s="199"/>
      <c r="C360" s="199"/>
      <c r="D360" s="199"/>
      <c r="E360" s="199"/>
      <c r="F360" s="199"/>
      <c r="G360" s="199"/>
      <c r="H360" s="199"/>
      <c r="I360" s="198"/>
    </row>
    <row r="361" spans="2:9" ht="14.25" x14ac:dyDescent="0.25">
      <c r="B361" s="199"/>
      <c r="C361" s="199"/>
      <c r="D361" s="199"/>
      <c r="E361" s="199"/>
      <c r="F361" s="199"/>
      <c r="G361" s="199"/>
      <c r="H361" s="199"/>
      <c r="I361" s="198"/>
    </row>
    <row r="362" spans="2:9" ht="14.25" x14ac:dyDescent="0.25">
      <c r="B362" s="199"/>
      <c r="C362" s="199"/>
      <c r="D362" s="199"/>
      <c r="E362" s="199"/>
      <c r="F362" s="199"/>
      <c r="G362" s="199"/>
      <c r="H362" s="199"/>
      <c r="I362" s="198"/>
    </row>
    <row r="363" spans="2:9" ht="14.25" x14ac:dyDescent="0.25">
      <c r="B363" s="199"/>
      <c r="C363" s="199"/>
      <c r="D363" s="199"/>
      <c r="E363" s="199"/>
      <c r="F363" s="199"/>
      <c r="G363" s="199"/>
      <c r="H363" s="199"/>
      <c r="I363" s="198"/>
    </row>
    <row r="364" spans="2:9" ht="14.25" x14ac:dyDescent="0.25">
      <c r="B364" s="199"/>
      <c r="C364" s="199"/>
      <c r="D364" s="199"/>
      <c r="E364" s="199"/>
      <c r="F364" s="199"/>
      <c r="G364" s="199"/>
      <c r="H364" s="199"/>
      <c r="I364" s="198"/>
    </row>
    <row r="365" spans="2:9" ht="14.25" x14ac:dyDescent="0.25">
      <c r="B365" s="199"/>
      <c r="C365" s="199"/>
      <c r="D365" s="199"/>
      <c r="E365" s="199"/>
      <c r="F365" s="199"/>
      <c r="G365" s="199"/>
      <c r="H365" s="199"/>
      <c r="I365" s="198"/>
    </row>
    <row r="366" spans="2:9" ht="14.25" x14ac:dyDescent="0.25">
      <c r="B366" s="199"/>
      <c r="C366" s="199"/>
      <c r="D366" s="199"/>
      <c r="E366" s="199"/>
      <c r="F366" s="199"/>
      <c r="G366" s="199"/>
      <c r="H366" s="199"/>
      <c r="I366" s="198"/>
    </row>
    <row r="367" spans="2:9" ht="14.25" x14ac:dyDescent="0.25">
      <c r="B367" s="199"/>
      <c r="C367" s="199"/>
      <c r="D367" s="199"/>
      <c r="E367" s="199"/>
      <c r="F367" s="199"/>
      <c r="G367" s="199"/>
      <c r="H367" s="199"/>
      <c r="I367" s="198"/>
    </row>
    <row r="368" spans="2:9" ht="14.25" x14ac:dyDescent="0.25">
      <c r="B368" s="199"/>
      <c r="C368" s="199"/>
      <c r="D368" s="199"/>
      <c r="E368" s="199"/>
      <c r="F368" s="199"/>
      <c r="G368" s="199"/>
      <c r="H368" s="199"/>
      <c r="I368" s="198"/>
    </row>
    <row r="369" spans="2:9" ht="14.25" x14ac:dyDescent="0.25">
      <c r="B369" s="199"/>
      <c r="C369" s="199"/>
      <c r="D369" s="199"/>
      <c r="E369" s="199"/>
      <c r="F369" s="199"/>
      <c r="G369" s="199"/>
      <c r="H369" s="199"/>
      <c r="I369" s="198"/>
    </row>
    <row r="370" spans="2:9" ht="14.25" x14ac:dyDescent="0.25">
      <c r="B370" s="199"/>
      <c r="C370" s="199"/>
      <c r="D370" s="199"/>
      <c r="E370" s="199"/>
      <c r="F370" s="199"/>
      <c r="G370" s="199"/>
      <c r="H370" s="199"/>
      <c r="I370" s="198"/>
    </row>
    <row r="371" spans="2:9" ht="14.25" x14ac:dyDescent="0.25">
      <c r="B371" s="199"/>
      <c r="C371" s="199"/>
      <c r="D371" s="199"/>
      <c r="E371" s="199"/>
      <c r="F371" s="199"/>
      <c r="G371" s="199"/>
      <c r="H371" s="199"/>
      <c r="I371" s="198"/>
    </row>
    <row r="372" spans="2:9" ht="14.25" x14ac:dyDescent="0.25">
      <c r="B372" s="199"/>
      <c r="C372" s="199"/>
      <c r="D372" s="199"/>
      <c r="E372" s="199"/>
      <c r="F372" s="199"/>
      <c r="G372" s="199"/>
      <c r="H372" s="199"/>
      <c r="I372" s="198"/>
    </row>
    <row r="373" spans="2:9" ht="14.25" x14ac:dyDescent="0.25">
      <c r="B373" s="199"/>
      <c r="C373" s="199"/>
      <c r="D373" s="199"/>
      <c r="E373" s="199"/>
      <c r="F373" s="199"/>
      <c r="G373" s="199"/>
      <c r="H373" s="199"/>
      <c r="I373" s="198"/>
    </row>
    <row r="374" spans="2:9" ht="14.25" x14ac:dyDescent="0.25">
      <c r="B374" s="199"/>
      <c r="C374" s="199"/>
      <c r="D374" s="199"/>
      <c r="E374" s="199"/>
      <c r="F374" s="199"/>
      <c r="G374" s="199"/>
      <c r="H374" s="199"/>
      <c r="I374" s="198"/>
    </row>
    <row r="375" spans="2:9" ht="14.25" x14ac:dyDescent="0.25">
      <c r="B375" s="199"/>
      <c r="C375" s="199"/>
      <c r="D375" s="199"/>
      <c r="E375" s="199"/>
      <c r="F375" s="199"/>
      <c r="G375" s="199"/>
      <c r="H375" s="199"/>
      <c r="I375" s="198"/>
    </row>
    <row r="376" spans="2:9" ht="14.25" x14ac:dyDescent="0.25">
      <c r="B376" s="199"/>
      <c r="C376" s="199"/>
      <c r="D376" s="199"/>
      <c r="E376" s="199"/>
      <c r="F376" s="199"/>
      <c r="G376" s="199"/>
      <c r="H376" s="199"/>
      <c r="I376" s="198"/>
    </row>
    <row r="377" spans="2:9" ht="14.25" x14ac:dyDescent="0.25">
      <c r="B377" s="199"/>
      <c r="C377" s="199"/>
      <c r="D377" s="199"/>
      <c r="E377" s="199"/>
      <c r="F377" s="199"/>
      <c r="G377" s="199"/>
      <c r="H377" s="199"/>
      <c r="I377" s="198"/>
    </row>
    <row r="378" spans="2:9" ht="14.25" x14ac:dyDescent="0.25">
      <c r="B378" s="199"/>
      <c r="C378" s="199"/>
      <c r="D378" s="199"/>
      <c r="E378" s="199"/>
      <c r="F378" s="199"/>
      <c r="G378" s="199"/>
      <c r="H378" s="199"/>
      <c r="I378" s="198"/>
    </row>
    <row r="379" spans="2:9" ht="14.25" x14ac:dyDescent="0.25">
      <c r="B379" s="199"/>
      <c r="C379" s="199"/>
      <c r="D379" s="199"/>
      <c r="E379" s="199"/>
      <c r="F379" s="199"/>
      <c r="G379" s="199"/>
      <c r="H379" s="199"/>
      <c r="I379" s="198"/>
    </row>
    <row r="380" spans="2:9" ht="14.25" x14ac:dyDescent="0.25">
      <c r="B380" s="199"/>
      <c r="C380" s="199"/>
      <c r="D380" s="199"/>
      <c r="E380" s="199"/>
      <c r="F380" s="199"/>
      <c r="G380" s="199"/>
      <c r="H380" s="199"/>
      <c r="I380" s="198"/>
    </row>
    <row r="381" spans="2:9" ht="14.25" x14ac:dyDescent="0.25">
      <c r="B381" s="199"/>
      <c r="C381" s="199"/>
      <c r="D381" s="199"/>
      <c r="E381" s="199"/>
      <c r="F381" s="199"/>
      <c r="G381" s="199"/>
      <c r="H381" s="199"/>
      <c r="I381" s="198"/>
    </row>
    <row r="382" spans="2:9" ht="14.25" x14ac:dyDescent="0.25">
      <c r="B382" s="199"/>
      <c r="C382" s="199"/>
      <c r="D382" s="199"/>
      <c r="E382" s="199"/>
      <c r="F382" s="199"/>
      <c r="G382" s="199"/>
      <c r="H382" s="199"/>
      <c r="I382" s="198"/>
    </row>
    <row r="383" spans="2:9" ht="14.25" x14ac:dyDescent="0.25">
      <c r="B383" s="199"/>
      <c r="C383" s="199"/>
      <c r="D383" s="199"/>
      <c r="E383" s="199"/>
      <c r="F383" s="199"/>
      <c r="G383" s="199"/>
      <c r="H383" s="199"/>
      <c r="I383" s="198"/>
    </row>
    <row r="384" spans="2:9" ht="14.25" x14ac:dyDescent="0.25">
      <c r="B384" s="199"/>
      <c r="C384" s="199"/>
      <c r="D384" s="199"/>
      <c r="E384" s="199"/>
      <c r="F384" s="199"/>
      <c r="G384" s="199"/>
      <c r="H384" s="199"/>
      <c r="I384" s="198"/>
    </row>
    <row r="385" spans="2:9" ht="14.25" x14ac:dyDescent="0.25">
      <c r="B385" s="199"/>
      <c r="C385" s="199"/>
      <c r="D385" s="199"/>
      <c r="E385" s="199"/>
      <c r="F385" s="199"/>
      <c r="G385" s="199"/>
      <c r="H385" s="199"/>
      <c r="I385" s="198"/>
    </row>
    <row r="386" spans="2:9" ht="14.25" x14ac:dyDescent="0.25">
      <c r="B386" s="199"/>
      <c r="C386" s="199"/>
      <c r="D386" s="199"/>
      <c r="E386" s="199"/>
      <c r="F386" s="199"/>
      <c r="G386" s="199"/>
      <c r="H386" s="199"/>
      <c r="I386" s="198"/>
    </row>
    <row r="387" spans="2:9" ht="14.25" x14ac:dyDescent="0.25">
      <c r="B387" s="199"/>
      <c r="C387" s="199"/>
      <c r="D387" s="199"/>
      <c r="E387" s="199"/>
      <c r="F387" s="199"/>
      <c r="G387" s="199"/>
      <c r="H387" s="199"/>
      <c r="I387" s="198"/>
    </row>
    <row r="388" spans="2:9" ht="14.25" x14ac:dyDescent="0.25">
      <c r="B388" s="199"/>
      <c r="C388" s="199"/>
      <c r="D388" s="199"/>
      <c r="E388" s="199"/>
      <c r="F388" s="199"/>
      <c r="G388" s="199"/>
      <c r="H388" s="199"/>
      <c r="I388" s="198"/>
    </row>
    <row r="389" spans="2:9" ht="14.25" x14ac:dyDescent="0.25">
      <c r="B389" s="199"/>
      <c r="C389" s="199"/>
      <c r="D389" s="199"/>
      <c r="E389" s="199"/>
      <c r="F389" s="199"/>
      <c r="G389" s="199"/>
      <c r="H389" s="199"/>
      <c r="I389" s="198"/>
    </row>
    <row r="390" spans="2:9" ht="14.25" x14ac:dyDescent="0.25">
      <c r="B390" s="199"/>
      <c r="C390" s="199"/>
      <c r="D390" s="199"/>
      <c r="E390" s="199"/>
      <c r="F390" s="199"/>
      <c r="G390" s="199"/>
      <c r="H390" s="199"/>
      <c r="I390" s="198"/>
    </row>
    <row r="391" spans="2:9" ht="14.25" x14ac:dyDescent="0.25">
      <c r="B391" s="199"/>
      <c r="C391" s="199"/>
      <c r="D391" s="199"/>
      <c r="E391" s="199"/>
      <c r="F391" s="199"/>
      <c r="G391" s="199"/>
      <c r="H391" s="199"/>
      <c r="I391" s="198"/>
    </row>
    <row r="392" spans="2:9" ht="14.25" x14ac:dyDescent="0.25">
      <c r="B392" s="199"/>
      <c r="C392" s="199"/>
      <c r="D392" s="199"/>
      <c r="E392" s="199"/>
      <c r="F392" s="199"/>
      <c r="G392" s="199"/>
      <c r="H392" s="199"/>
      <c r="I392" s="198"/>
    </row>
    <row r="393" spans="2:9" ht="14.25" x14ac:dyDescent="0.25">
      <c r="B393" s="199"/>
      <c r="C393" s="199"/>
      <c r="D393" s="199"/>
      <c r="E393" s="199"/>
      <c r="F393" s="199"/>
      <c r="G393" s="199"/>
      <c r="H393" s="199"/>
      <c r="I393" s="198"/>
    </row>
    <row r="394" spans="2:9" ht="14.25" x14ac:dyDescent="0.25">
      <c r="B394" s="199"/>
      <c r="C394" s="199"/>
      <c r="D394" s="199"/>
      <c r="E394" s="199"/>
      <c r="F394" s="199"/>
      <c r="G394" s="199"/>
      <c r="H394" s="199"/>
      <c r="I394" s="198"/>
    </row>
    <row r="395" spans="2:9" ht="14.25" x14ac:dyDescent="0.25">
      <c r="B395" s="199"/>
      <c r="C395" s="199"/>
      <c r="D395" s="199"/>
      <c r="E395" s="199"/>
      <c r="F395" s="199"/>
      <c r="G395" s="199"/>
      <c r="H395" s="199"/>
      <c r="I395" s="198"/>
    </row>
    <row r="396" spans="2:9" ht="14.25" x14ac:dyDescent="0.25">
      <c r="B396" s="199"/>
      <c r="C396" s="199"/>
      <c r="D396" s="199"/>
      <c r="E396" s="199"/>
      <c r="F396" s="199"/>
      <c r="G396" s="199"/>
      <c r="H396" s="199"/>
      <c r="I396" s="198"/>
    </row>
    <row r="397" spans="2:9" ht="14.25" x14ac:dyDescent="0.25">
      <c r="B397" s="199"/>
      <c r="C397" s="199"/>
      <c r="D397" s="199"/>
      <c r="E397" s="199"/>
      <c r="F397" s="199"/>
      <c r="G397" s="199"/>
      <c r="H397" s="199"/>
      <c r="I397" s="198"/>
    </row>
    <row r="398" spans="2:9" ht="14.25" x14ac:dyDescent="0.25">
      <c r="B398" s="199"/>
      <c r="C398" s="199"/>
      <c r="D398" s="199"/>
      <c r="E398" s="199"/>
      <c r="F398" s="199"/>
      <c r="G398" s="199"/>
      <c r="H398" s="199"/>
      <c r="I398" s="198"/>
    </row>
    <row r="399" spans="2:9" ht="14.25" x14ac:dyDescent="0.25">
      <c r="B399" s="199"/>
      <c r="C399" s="199"/>
      <c r="D399" s="199"/>
      <c r="E399" s="199"/>
      <c r="F399" s="199"/>
      <c r="G399" s="199"/>
      <c r="H399" s="199"/>
      <c r="I399" s="198"/>
    </row>
    <row r="400" spans="2:9" ht="14.25" x14ac:dyDescent="0.25">
      <c r="B400" s="199"/>
      <c r="C400" s="199"/>
      <c r="D400" s="199"/>
      <c r="E400" s="199"/>
      <c r="F400" s="199"/>
      <c r="G400" s="199"/>
      <c r="H400" s="199"/>
      <c r="I400" s="198"/>
    </row>
    <row r="401" spans="2:9" ht="14.25" x14ac:dyDescent="0.25">
      <c r="B401" s="199"/>
      <c r="C401" s="199"/>
      <c r="D401" s="199"/>
      <c r="E401" s="199"/>
      <c r="F401" s="199"/>
      <c r="G401" s="199"/>
      <c r="H401" s="199"/>
      <c r="I401" s="198"/>
    </row>
    <row r="402" spans="2:9" ht="14.25" x14ac:dyDescent="0.25">
      <c r="B402" s="199"/>
      <c r="C402" s="199"/>
      <c r="D402" s="199"/>
      <c r="E402" s="199"/>
      <c r="F402" s="199"/>
      <c r="G402" s="199"/>
      <c r="H402" s="199"/>
      <c r="I402" s="198"/>
    </row>
    <row r="403" spans="2:9" ht="14.25" x14ac:dyDescent="0.25">
      <c r="B403" s="199"/>
      <c r="C403" s="199"/>
      <c r="D403" s="199"/>
      <c r="E403" s="199"/>
      <c r="F403" s="199"/>
      <c r="G403" s="199"/>
      <c r="H403" s="199"/>
      <c r="I403" s="198"/>
    </row>
    <row r="404" spans="2:9" ht="14.25" x14ac:dyDescent="0.25">
      <c r="B404" s="199"/>
      <c r="C404" s="199"/>
      <c r="D404" s="199"/>
      <c r="E404" s="199"/>
      <c r="F404" s="199"/>
      <c r="G404" s="199"/>
      <c r="H404" s="199"/>
      <c r="I404" s="198"/>
    </row>
    <row r="405" spans="2:9" ht="14.25" x14ac:dyDescent="0.25">
      <c r="B405" s="199"/>
      <c r="C405" s="199"/>
      <c r="D405" s="199"/>
      <c r="E405" s="199"/>
      <c r="F405" s="199"/>
      <c r="G405" s="199"/>
      <c r="H405" s="199"/>
      <c r="I405" s="198"/>
    </row>
    <row r="406" spans="2:9" ht="14.25" x14ac:dyDescent="0.25">
      <c r="B406" s="199"/>
      <c r="C406" s="199"/>
      <c r="D406" s="199"/>
      <c r="E406" s="199"/>
      <c r="F406" s="199"/>
      <c r="G406" s="199"/>
      <c r="H406" s="199"/>
      <c r="I406" s="198"/>
    </row>
    <row r="407" spans="2:9" ht="14.25" x14ac:dyDescent="0.25">
      <c r="B407" s="199"/>
      <c r="C407" s="199"/>
      <c r="D407" s="199"/>
      <c r="E407" s="199"/>
      <c r="F407" s="199"/>
      <c r="G407" s="199"/>
      <c r="H407" s="199"/>
      <c r="I407" s="198"/>
    </row>
    <row r="408" spans="2:9" ht="14.25" x14ac:dyDescent="0.25">
      <c r="B408" s="199"/>
      <c r="C408" s="199"/>
      <c r="D408" s="199"/>
      <c r="E408" s="199"/>
      <c r="F408" s="199"/>
      <c r="G408" s="199"/>
      <c r="H408" s="199"/>
      <c r="I408" s="198"/>
    </row>
    <row r="409" spans="2:9" ht="14.25" x14ac:dyDescent="0.25">
      <c r="B409" s="199"/>
      <c r="C409" s="199"/>
      <c r="D409" s="199"/>
      <c r="E409" s="199"/>
      <c r="F409" s="199"/>
      <c r="G409" s="199"/>
      <c r="H409" s="199"/>
      <c r="I409" s="198"/>
    </row>
    <row r="410" spans="2:9" ht="14.25" x14ac:dyDescent="0.25">
      <c r="B410" s="199"/>
      <c r="C410" s="199"/>
      <c r="D410" s="199"/>
      <c r="E410" s="199"/>
      <c r="F410" s="199"/>
      <c r="G410" s="199"/>
      <c r="H410" s="199"/>
      <c r="I410" s="198"/>
    </row>
    <row r="411" spans="2:9" ht="14.25" x14ac:dyDescent="0.25">
      <c r="B411" s="199"/>
      <c r="C411" s="199"/>
      <c r="D411" s="199"/>
      <c r="E411" s="199"/>
      <c r="F411" s="199"/>
      <c r="G411" s="199"/>
      <c r="H411" s="199"/>
      <c r="I411" s="198"/>
    </row>
    <row r="412" spans="2:9" ht="14.25" x14ac:dyDescent="0.25">
      <c r="B412" s="199"/>
      <c r="C412" s="199"/>
      <c r="D412" s="199"/>
      <c r="E412" s="199"/>
      <c r="F412" s="199"/>
      <c r="G412" s="199"/>
      <c r="H412" s="199"/>
      <c r="I412" s="198"/>
    </row>
    <row r="413" spans="2:9" ht="14.25" x14ac:dyDescent="0.25">
      <c r="B413" s="199"/>
      <c r="C413" s="199"/>
      <c r="D413" s="199"/>
      <c r="E413" s="199"/>
      <c r="F413" s="199"/>
      <c r="G413" s="199"/>
      <c r="H413" s="199"/>
      <c r="I413" s="198"/>
    </row>
    <row r="414" spans="2:9" ht="14.25" x14ac:dyDescent="0.25">
      <c r="B414" s="199"/>
      <c r="C414" s="199"/>
      <c r="D414" s="199"/>
      <c r="E414" s="199"/>
      <c r="F414" s="199"/>
      <c r="G414" s="199"/>
      <c r="H414" s="199"/>
      <c r="I414" s="198"/>
    </row>
    <row r="415" spans="2:9" ht="14.25" x14ac:dyDescent="0.25">
      <c r="B415" s="199"/>
      <c r="C415" s="199"/>
      <c r="D415" s="199"/>
      <c r="E415" s="199"/>
      <c r="F415" s="199"/>
      <c r="G415" s="199"/>
      <c r="H415" s="199"/>
      <c r="I415" s="198"/>
    </row>
    <row r="416" spans="2:9" ht="14.25" x14ac:dyDescent="0.25">
      <c r="B416" s="199"/>
      <c r="C416" s="199"/>
      <c r="D416" s="199"/>
      <c r="E416" s="199"/>
      <c r="F416" s="199"/>
      <c r="G416" s="199"/>
      <c r="H416" s="199"/>
      <c r="I416" s="198"/>
    </row>
    <row r="417" spans="2:9" ht="14.25" x14ac:dyDescent="0.25">
      <c r="B417" s="199"/>
      <c r="C417" s="199"/>
      <c r="D417" s="199"/>
      <c r="E417" s="199"/>
      <c r="F417" s="199"/>
      <c r="G417" s="199"/>
      <c r="H417" s="199"/>
      <c r="I417" s="198"/>
    </row>
    <row r="418" spans="2:9" ht="14.25" x14ac:dyDescent="0.25">
      <c r="B418" s="199"/>
      <c r="C418" s="199"/>
      <c r="D418" s="199"/>
      <c r="E418" s="199"/>
      <c r="F418" s="199"/>
      <c r="G418" s="199"/>
      <c r="H418" s="199"/>
      <c r="I418" s="198"/>
    </row>
    <row r="419" spans="2:9" ht="14.25" x14ac:dyDescent="0.25">
      <c r="B419" s="199"/>
      <c r="C419" s="199"/>
      <c r="D419" s="199"/>
      <c r="E419" s="199"/>
      <c r="F419" s="199"/>
      <c r="G419" s="199"/>
      <c r="H419" s="199"/>
      <c r="I419" s="198"/>
    </row>
    <row r="420" spans="2:9" ht="14.25" x14ac:dyDescent="0.25">
      <c r="B420" s="199"/>
      <c r="C420" s="199"/>
      <c r="D420" s="199"/>
      <c r="E420" s="199"/>
      <c r="F420" s="199"/>
      <c r="G420" s="199"/>
      <c r="H420" s="199"/>
      <c r="I420" s="198"/>
    </row>
    <row r="421" spans="2:9" x14ac:dyDescent="0.25">
      <c r="B421" s="198"/>
      <c r="C421" s="198"/>
      <c r="D421" s="198"/>
      <c r="E421" s="198"/>
      <c r="F421" s="198"/>
      <c r="G421" s="198"/>
      <c r="H421" s="198"/>
      <c r="I421" s="198"/>
    </row>
    <row r="422" spans="2:9" x14ac:dyDescent="0.25">
      <c r="B422" s="198"/>
      <c r="C422" s="198"/>
      <c r="D422" s="198"/>
      <c r="E422" s="198"/>
      <c r="F422" s="198"/>
      <c r="G422" s="198"/>
      <c r="H422" s="198"/>
      <c r="I422" s="198"/>
    </row>
    <row r="423" spans="2:9" x14ac:dyDescent="0.25">
      <c r="B423" s="198"/>
      <c r="C423" s="198"/>
      <c r="D423" s="198"/>
      <c r="E423" s="198"/>
      <c r="F423" s="198"/>
      <c r="G423" s="198"/>
      <c r="H423" s="198"/>
      <c r="I423" s="198"/>
    </row>
    <row r="424" spans="2:9" x14ac:dyDescent="0.25">
      <c r="B424" s="198"/>
      <c r="C424" s="198"/>
      <c r="D424" s="198"/>
      <c r="E424" s="198"/>
      <c r="F424" s="198"/>
      <c r="G424" s="198"/>
      <c r="H424" s="198"/>
      <c r="I424" s="198"/>
    </row>
    <row r="425" spans="2:9" x14ac:dyDescent="0.25">
      <c r="B425" s="198"/>
      <c r="C425" s="198"/>
      <c r="D425" s="198"/>
      <c r="E425" s="198"/>
      <c r="F425" s="198"/>
      <c r="G425" s="198"/>
      <c r="H425" s="198"/>
      <c r="I425" s="198"/>
    </row>
    <row r="426" spans="2:9" x14ac:dyDescent="0.25">
      <c r="B426" s="198"/>
      <c r="C426" s="198"/>
      <c r="D426" s="198"/>
      <c r="E426" s="198"/>
      <c r="F426" s="198"/>
      <c r="G426" s="198"/>
      <c r="H426" s="198"/>
      <c r="I426" s="198"/>
    </row>
    <row r="427" spans="2:9" x14ac:dyDescent="0.25">
      <c r="B427" s="198"/>
      <c r="C427" s="198"/>
      <c r="D427" s="198"/>
      <c r="E427" s="198"/>
      <c r="F427" s="198"/>
      <c r="G427" s="198"/>
      <c r="H427" s="198"/>
      <c r="I427" s="198"/>
    </row>
    <row r="428" spans="2:9" x14ac:dyDescent="0.25">
      <c r="B428" s="198"/>
      <c r="C428" s="198"/>
      <c r="D428" s="198"/>
      <c r="E428" s="198"/>
      <c r="F428" s="198"/>
      <c r="G428" s="198"/>
      <c r="H428" s="198"/>
      <c r="I428" s="198"/>
    </row>
    <row r="429" spans="2:9" x14ac:dyDescent="0.25">
      <c r="B429" s="198"/>
      <c r="C429" s="198"/>
      <c r="D429" s="198"/>
      <c r="E429" s="198"/>
      <c r="F429" s="198"/>
      <c r="G429" s="198"/>
      <c r="H429" s="198"/>
      <c r="I429" s="198"/>
    </row>
    <row r="430" spans="2:9" x14ac:dyDescent="0.25">
      <c r="B430" s="198"/>
      <c r="C430" s="198"/>
      <c r="D430" s="198"/>
      <c r="E430" s="198"/>
      <c r="F430" s="198"/>
      <c r="G430" s="198"/>
      <c r="H430" s="198"/>
      <c r="I430" s="198"/>
    </row>
    <row r="431" spans="2:9" x14ac:dyDescent="0.25">
      <c r="B431" s="198"/>
      <c r="C431" s="198"/>
      <c r="D431" s="198"/>
      <c r="E431" s="198"/>
      <c r="F431" s="198"/>
      <c r="G431" s="198"/>
      <c r="H431" s="198"/>
      <c r="I431" s="198"/>
    </row>
    <row r="432" spans="2:9" x14ac:dyDescent="0.25">
      <c r="B432" s="198"/>
      <c r="C432" s="198"/>
      <c r="D432" s="198"/>
      <c r="E432" s="198"/>
      <c r="F432" s="198"/>
      <c r="G432" s="198"/>
      <c r="H432" s="198"/>
      <c r="I432" s="198"/>
    </row>
    <row r="433" spans="2:9" x14ac:dyDescent="0.25">
      <c r="B433" s="198"/>
      <c r="C433" s="198"/>
      <c r="D433" s="198"/>
      <c r="E433" s="198"/>
      <c r="F433" s="198"/>
      <c r="G433" s="198"/>
      <c r="H433" s="198"/>
      <c r="I433" s="198"/>
    </row>
    <row r="434" spans="2:9" x14ac:dyDescent="0.25">
      <c r="B434" s="198"/>
      <c r="C434" s="198"/>
      <c r="D434" s="198"/>
      <c r="E434" s="198"/>
      <c r="F434" s="198"/>
      <c r="G434" s="198"/>
      <c r="H434" s="198"/>
      <c r="I434" s="198"/>
    </row>
    <row r="435" spans="2:9" x14ac:dyDescent="0.25">
      <c r="B435" s="198"/>
      <c r="C435" s="198"/>
      <c r="D435" s="198"/>
      <c r="E435" s="198"/>
      <c r="F435" s="198"/>
      <c r="G435" s="198"/>
      <c r="H435" s="198"/>
      <c r="I435" s="198"/>
    </row>
    <row r="436" spans="2:9" x14ac:dyDescent="0.25">
      <c r="B436" s="198"/>
      <c r="C436" s="198"/>
      <c r="D436" s="198"/>
      <c r="E436" s="198"/>
      <c r="F436" s="198"/>
      <c r="G436" s="198"/>
      <c r="H436" s="198"/>
      <c r="I436" s="198"/>
    </row>
    <row r="437" spans="2:9" x14ac:dyDescent="0.25">
      <c r="B437" s="198"/>
      <c r="C437" s="198"/>
      <c r="D437" s="198"/>
      <c r="E437" s="198"/>
      <c r="F437" s="198"/>
      <c r="G437" s="198"/>
      <c r="H437" s="198"/>
      <c r="I437" s="198"/>
    </row>
    <row r="438" spans="2:9" x14ac:dyDescent="0.25">
      <c r="B438" s="198"/>
      <c r="C438" s="198"/>
      <c r="D438" s="198"/>
      <c r="E438" s="198"/>
      <c r="F438" s="198"/>
      <c r="G438" s="198"/>
      <c r="H438" s="198"/>
      <c r="I438" s="198"/>
    </row>
    <row r="439" spans="2:9" x14ac:dyDescent="0.25">
      <c r="B439" s="198"/>
      <c r="C439" s="198"/>
      <c r="D439" s="198"/>
      <c r="E439" s="198"/>
      <c r="F439" s="198"/>
      <c r="G439" s="198"/>
      <c r="H439" s="198"/>
      <c r="I439" s="198"/>
    </row>
    <row r="440" spans="2:9" x14ac:dyDescent="0.25">
      <c r="B440" s="198"/>
      <c r="C440" s="198"/>
      <c r="D440" s="198"/>
      <c r="E440" s="198"/>
      <c r="F440" s="198"/>
      <c r="G440" s="198"/>
      <c r="H440" s="198"/>
      <c r="I440" s="198"/>
    </row>
    <row r="441" spans="2:9" x14ac:dyDescent="0.25">
      <c r="B441" s="198"/>
      <c r="C441" s="198"/>
      <c r="D441" s="198"/>
      <c r="E441" s="198"/>
      <c r="F441" s="198"/>
      <c r="G441" s="198"/>
      <c r="H441" s="198"/>
      <c r="I441" s="198"/>
    </row>
    <row r="442" spans="2:9" x14ac:dyDescent="0.25">
      <c r="B442" s="198"/>
      <c r="C442" s="198"/>
      <c r="D442" s="198"/>
      <c r="E442" s="198"/>
      <c r="F442" s="198"/>
      <c r="G442" s="198"/>
      <c r="H442" s="198"/>
      <c r="I442" s="198"/>
    </row>
    <row r="443" spans="2:9" x14ac:dyDescent="0.25">
      <c r="B443" s="198"/>
      <c r="C443" s="198"/>
      <c r="D443" s="198"/>
      <c r="E443" s="198"/>
      <c r="F443" s="198"/>
      <c r="G443" s="198"/>
      <c r="H443" s="198"/>
      <c r="I443" s="198"/>
    </row>
    <row r="444" spans="2:9" x14ac:dyDescent="0.25">
      <c r="B444" s="198"/>
      <c r="C444" s="198"/>
      <c r="D444" s="198"/>
      <c r="E444" s="198"/>
      <c r="F444" s="198"/>
      <c r="G444" s="198"/>
      <c r="H444" s="198"/>
      <c r="I444" s="198"/>
    </row>
    <row r="445" spans="2:9" x14ac:dyDescent="0.25">
      <c r="B445" s="198"/>
      <c r="C445" s="198"/>
      <c r="D445" s="198"/>
      <c r="E445" s="198"/>
      <c r="F445" s="198"/>
      <c r="G445" s="198"/>
      <c r="H445" s="198"/>
      <c r="I445" s="198"/>
    </row>
    <row r="446" spans="2:9" x14ac:dyDescent="0.25">
      <c r="B446" s="198"/>
      <c r="C446" s="198"/>
      <c r="D446" s="198"/>
      <c r="E446" s="198"/>
      <c r="F446" s="198"/>
      <c r="G446" s="198"/>
      <c r="H446" s="198"/>
      <c r="I446" s="198"/>
    </row>
    <row r="447" spans="2:9" x14ac:dyDescent="0.25">
      <c r="B447" s="198"/>
      <c r="C447" s="198"/>
      <c r="D447" s="198"/>
      <c r="E447" s="198"/>
      <c r="F447" s="198"/>
      <c r="G447" s="198"/>
      <c r="H447" s="198"/>
      <c r="I447" s="198"/>
    </row>
    <row r="448" spans="2:9" x14ac:dyDescent="0.25">
      <c r="B448" s="198"/>
      <c r="C448" s="198"/>
      <c r="D448" s="198"/>
      <c r="E448" s="198"/>
      <c r="F448" s="198"/>
      <c r="G448" s="198"/>
      <c r="H448" s="198"/>
      <c r="I448" s="198"/>
    </row>
    <row r="449" spans="2:9" x14ac:dyDescent="0.25">
      <c r="B449" s="198"/>
      <c r="C449" s="198"/>
      <c r="D449" s="198"/>
      <c r="E449" s="198"/>
      <c r="F449" s="198"/>
      <c r="G449" s="198"/>
      <c r="H449" s="198"/>
      <c r="I449" s="198"/>
    </row>
    <row r="450" spans="2:9" x14ac:dyDescent="0.25">
      <c r="B450" s="198"/>
      <c r="C450" s="198"/>
      <c r="D450" s="198"/>
      <c r="E450" s="198"/>
      <c r="F450" s="198"/>
      <c r="G450" s="198"/>
      <c r="H450" s="198"/>
      <c r="I450" s="198"/>
    </row>
    <row r="451" spans="2:9" x14ac:dyDescent="0.25">
      <c r="B451" s="198"/>
      <c r="C451" s="198"/>
      <c r="D451" s="198"/>
      <c r="E451" s="198"/>
      <c r="F451" s="198"/>
      <c r="G451" s="198"/>
      <c r="H451" s="198"/>
      <c r="I451" s="198"/>
    </row>
    <row r="452" spans="2:9" x14ac:dyDescent="0.25">
      <c r="B452" s="198"/>
      <c r="C452" s="198"/>
      <c r="D452" s="198"/>
      <c r="E452" s="198"/>
      <c r="F452" s="198"/>
      <c r="G452" s="198"/>
      <c r="H452" s="198"/>
      <c r="I452" s="198"/>
    </row>
    <row r="453" spans="2:9" x14ac:dyDescent="0.25">
      <c r="B453" s="198"/>
      <c r="C453" s="198"/>
      <c r="D453" s="198"/>
      <c r="E453" s="198"/>
      <c r="F453" s="198"/>
      <c r="G453" s="198"/>
      <c r="H453" s="198"/>
      <c r="I453" s="198"/>
    </row>
    <row r="454" spans="2:9" x14ac:dyDescent="0.25">
      <c r="B454" s="198"/>
      <c r="C454" s="198"/>
      <c r="D454" s="198"/>
      <c r="E454" s="198"/>
      <c r="F454" s="198"/>
      <c r="G454" s="198"/>
      <c r="H454" s="198"/>
      <c r="I454" s="198"/>
    </row>
    <row r="455" spans="2:9" x14ac:dyDescent="0.25">
      <c r="B455" s="198"/>
      <c r="C455" s="198"/>
      <c r="D455" s="198"/>
      <c r="E455" s="198"/>
      <c r="F455" s="198"/>
      <c r="G455" s="198"/>
      <c r="H455" s="198"/>
      <c r="I455" s="198"/>
    </row>
    <row r="456" spans="2:9" x14ac:dyDescent="0.25">
      <c r="B456" s="198"/>
      <c r="C456" s="198"/>
      <c r="D456" s="198"/>
      <c r="E456" s="198"/>
      <c r="F456" s="198"/>
      <c r="G456" s="198"/>
      <c r="H456" s="198"/>
      <c r="I456" s="198"/>
    </row>
    <row r="457" spans="2:9" x14ac:dyDescent="0.25">
      <c r="B457" s="198"/>
      <c r="C457" s="198"/>
      <c r="D457" s="198"/>
      <c r="E457" s="198"/>
      <c r="F457" s="198"/>
      <c r="G457" s="198"/>
      <c r="H457" s="198"/>
      <c r="I457" s="198"/>
    </row>
    <row r="458" spans="2:9" x14ac:dyDescent="0.25">
      <c r="B458" s="198"/>
      <c r="C458" s="198"/>
      <c r="D458" s="198"/>
      <c r="E458" s="198"/>
      <c r="F458" s="198"/>
      <c r="G458" s="198"/>
      <c r="H458" s="198"/>
      <c r="I458" s="198"/>
    </row>
    <row r="459" spans="2:9" x14ac:dyDescent="0.25">
      <c r="B459" s="198"/>
      <c r="C459" s="198"/>
      <c r="D459" s="198"/>
      <c r="E459" s="198"/>
      <c r="F459" s="198"/>
      <c r="G459" s="198"/>
      <c r="H459" s="198"/>
      <c r="I459" s="198"/>
    </row>
    <row r="460" spans="2:9" x14ac:dyDescent="0.25">
      <c r="B460" s="198"/>
      <c r="C460" s="198"/>
      <c r="D460" s="198"/>
      <c r="E460" s="198"/>
      <c r="F460" s="198"/>
      <c r="G460" s="198"/>
      <c r="H460" s="198"/>
      <c r="I460" s="198"/>
    </row>
    <row r="461" spans="2:9" x14ac:dyDescent="0.25">
      <c r="B461" s="198"/>
      <c r="C461" s="198"/>
      <c r="D461" s="198"/>
      <c r="E461" s="198"/>
      <c r="F461" s="198"/>
      <c r="G461" s="198"/>
      <c r="H461" s="198"/>
      <c r="I461" s="198"/>
    </row>
    <row r="462" spans="2:9" x14ac:dyDescent="0.25">
      <c r="B462" s="198"/>
      <c r="C462" s="198"/>
      <c r="D462" s="198"/>
      <c r="E462" s="198"/>
      <c r="F462" s="198"/>
      <c r="G462" s="198"/>
      <c r="H462" s="198"/>
      <c r="I462" s="198"/>
    </row>
    <row r="463" spans="2:9" x14ac:dyDescent="0.25">
      <c r="B463" s="198"/>
      <c r="C463" s="198"/>
      <c r="D463" s="198"/>
      <c r="E463" s="198"/>
      <c r="F463" s="198"/>
      <c r="G463" s="198"/>
      <c r="H463" s="198"/>
      <c r="I463" s="198"/>
    </row>
    <row r="464" spans="2:9" x14ac:dyDescent="0.25">
      <c r="B464" s="198"/>
      <c r="C464" s="198"/>
      <c r="D464" s="198"/>
      <c r="E464" s="198"/>
      <c r="F464" s="198"/>
      <c r="G464" s="198"/>
      <c r="H464" s="198"/>
      <c r="I464" s="198"/>
    </row>
    <row r="465" spans="2:9" x14ac:dyDescent="0.25">
      <c r="B465" s="198"/>
      <c r="C465" s="198"/>
      <c r="D465" s="198"/>
      <c r="E465" s="198"/>
      <c r="F465" s="198"/>
      <c r="G465" s="198"/>
      <c r="H465" s="198"/>
      <c r="I465" s="198"/>
    </row>
    <row r="466" spans="2:9" x14ac:dyDescent="0.25">
      <c r="B466" s="198"/>
      <c r="C466" s="198"/>
      <c r="D466" s="198"/>
      <c r="E466" s="198"/>
      <c r="F466" s="198"/>
      <c r="G466" s="198"/>
      <c r="H466" s="198"/>
      <c r="I466" s="198"/>
    </row>
    <row r="467" spans="2:9" x14ac:dyDescent="0.25">
      <c r="B467" s="198"/>
      <c r="C467" s="198"/>
      <c r="D467" s="198"/>
      <c r="E467" s="198"/>
      <c r="F467" s="198"/>
      <c r="G467" s="198"/>
      <c r="H467" s="198"/>
      <c r="I467" s="198"/>
    </row>
    <row r="468" spans="2:9" x14ac:dyDescent="0.25">
      <c r="B468" s="198"/>
      <c r="C468" s="198"/>
      <c r="D468" s="198"/>
      <c r="E468" s="198"/>
      <c r="F468" s="198"/>
      <c r="G468" s="198"/>
      <c r="H468" s="198"/>
      <c r="I468" s="198"/>
    </row>
    <row r="469" spans="2:9" x14ac:dyDescent="0.25">
      <c r="B469" s="198"/>
      <c r="C469" s="198"/>
      <c r="D469" s="198"/>
      <c r="E469" s="198"/>
      <c r="F469" s="198"/>
      <c r="G469" s="198"/>
      <c r="H469" s="198"/>
      <c r="I469" s="198"/>
    </row>
    <row r="470" spans="2:9" x14ac:dyDescent="0.25">
      <c r="B470" s="198"/>
      <c r="C470" s="198"/>
      <c r="D470" s="198"/>
      <c r="E470" s="198"/>
      <c r="F470" s="198"/>
      <c r="G470" s="198"/>
      <c r="H470" s="198"/>
      <c r="I470" s="198"/>
    </row>
    <row r="471" spans="2:9" x14ac:dyDescent="0.25">
      <c r="B471" s="198"/>
      <c r="C471" s="198"/>
      <c r="D471" s="198"/>
      <c r="E471" s="198"/>
      <c r="F471" s="198"/>
      <c r="G471" s="198"/>
      <c r="H471" s="198"/>
      <c r="I471" s="198"/>
    </row>
    <row r="472" spans="2:9" x14ac:dyDescent="0.25">
      <c r="B472" s="198"/>
      <c r="C472" s="198"/>
      <c r="D472" s="198"/>
      <c r="E472" s="198"/>
      <c r="F472" s="198"/>
      <c r="G472" s="198"/>
      <c r="H472" s="198"/>
      <c r="I472" s="198"/>
    </row>
    <row r="473" spans="2:9" x14ac:dyDescent="0.25">
      <c r="B473" s="198"/>
      <c r="C473" s="198"/>
      <c r="D473" s="198"/>
      <c r="E473" s="198"/>
      <c r="F473" s="198"/>
      <c r="G473" s="198"/>
      <c r="H473" s="198"/>
      <c r="I473" s="198"/>
    </row>
    <row r="474" spans="2:9" x14ac:dyDescent="0.25">
      <c r="B474" s="198"/>
      <c r="C474" s="198"/>
      <c r="D474" s="198"/>
      <c r="E474" s="198"/>
      <c r="F474" s="198"/>
      <c r="G474" s="198"/>
      <c r="H474" s="198"/>
      <c r="I474" s="198"/>
    </row>
    <row r="475" spans="2:9" x14ac:dyDescent="0.25">
      <c r="B475" s="198"/>
      <c r="C475" s="198"/>
      <c r="D475" s="198"/>
      <c r="E475" s="198"/>
      <c r="F475" s="198"/>
      <c r="G475" s="198"/>
      <c r="H475" s="198"/>
      <c r="I475" s="198"/>
    </row>
    <row r="476" spans="2:9" x14ac:dyDescent="0.25">
      <c r="B476" s="198"/>
      <c r="C476" s="198"/>
      <c r="D476" s="198"/>
      <c r="E476" s="198"/>
      <c r="F476" s="198"/>
      <c r="G476" s="198"/>
      <c r="H476" s="198"/>
      <c r="I476" s="198"/>
    </row>
    <row r="477" spans="2:9" x14ac:dyDescent="0.25">
      <c r="B477" s="198"/>
      <c r="C477" s="198"/>
      <c r="D477" s="198"/>
      <c r="E477" s="198"/>
      <c r="F477" s="198"/>
      <c r="G477" s="198"/>
      <c r="H477" s="198"/>
      <c r="I477" s="198"/>
    </row>
    <row r="478" spans="2:9" x14ac:dyDescent="0.25">
      <c r="B478" s="198"/>
      <c r="C478" s="198"/>
      <c r="D478" s="198"/>
      <c r="E478" s="198"/>
      <c r="F478" s="198"/>
      <c r="G478" s="198"/>
      <c r="H478" s="198"/>
      <c r="I478" s="198"/>
    </row>
    <row r="479" spans="2:9" x14ac:dyDescent="0.25">
      <c r="B479" s="198"/>
      <c r="C479" s="198"/>
      <c r="D479" s="198"/>
      <c r="E479" s="198"/>
      <c r="F479" s="198"/>
      <c r="G479" s="198"/>
      <c r="H479" s="198"/>
      <c r="I479" s="198"/>
    </row>
    <row r="480" spans="2:9" x14ac:dyDescent="0.25">
      <c r="B480" s="198"/>
      <c r="C480" s="198"/>
      <c r="D480" s="198"/>
      <c r="E480" s="198"/>
      <c r="F480" s="198"/>
      <c r="G480" s="198"/>
      <c r="H480" s="198"/>
      <c r="I480" s="198"/>
    </row>
    <row r="481" spans="2:9" x14ac:dyDescent="0.25">
      <c r="B481" s="198"/>
      <c r="C481" s="198"/>
      <c r="D481" s="198"/>
      <c r="E481" s="198"/>
      <c r="F481" s="198"/>
      <c r="G481" s="198"/>
      <c r="H481" s="198"/>
      <c r="I481" s="198"/>
    </row>
    <row r="482" spans="2:9" x14ac:dyDescent="0.25">
      <c r="B482" s="198"/>
      <c r="C482" s="198"/>
      <c r="D482" s="198"/>
      <c r="E482" s="198"/>
      <c r="F482" s="198"/>
      <c r="G482" s="198"/>
      <c r="H482" s="198"/>
      <c r="I482" s="198"/>
    </row>
    <row r="483" spans="2:9" x14ac:dyDescent="0.25">
      <c r="B483" s="198"/>
      <c r="C483" s="198"/>
      <c r="D483" s="198"/>
      <c r="E483" s="198"/>
      <c r="F483" s="198"/>
      <c r="G483" s="198"/>
      <c r="H483" s="198"/>
      <c r="I483" s="198"/>
    </row>
    <row r="484" spans="2:9" x14ac:dyDescent="0.25">
      <c r="B484" s="198"/>
      <c r="C484" s="198"/>
      <c r="D484" s="198"/>
      <c r="E484" s="198"/>
      <c r="F484" s="198"/>
      <c r="G484" s="198"/>
      <c r="H484" s="198"/>
      <c r="I484" s="198"/>
    </row>
    <row r="485" spans="2:9" x14ac:dyDescent="0.25">
      <c r="B485" s="198"/>
      <c r="C485" s="198"/>
      <c r="D485" s="198"/>
      <c r="E485" s="198"/>
      <c r="F485" s="198"/>
      <c r="G485" s="198"/>
      <c r="H485" s="198"/>
      <c r="I485" s="198"/>
    </row>
    <row r="486" spans="2:9" x14ac:dyDescent="0.25">
      <c r="B486" s="198"/>
      <c r="C486" s="198"/>
      <c r="D486" s="198"/>
      <c r="E486" s="198"/>
      <c r="F486" s="198"/>
      <c r="G486" s="198"/>
      <c r="H486" s="198"/>
      <c r="I486" s="198"/>
    </row>
    <row r="487" spans="2:9" x14ac:dyDescent="0.25">
      <c r="B487" s="198"/>
      <c r="C487" s="198"/>
      <c r="D487" s="198"/>
      <c r="E487" s="198"/>
      <c r="F487" s="198"/>
      <c r="G487" s="198"/>
      <c r="H487" s="198"/>
      <c r="I487" s="198"/>
    </row>
    <row r="488" spans="2:9" x14ac:dyDescent="0.25">
      <c r="B488" s="198"/>
      <c r="C488" s="198"/>
      <c r="D488" s="198"/>
      <c r="E488" s="198"/>
      <c r="F488" s="198"/>
      <c r="G488" s="198"/>
      <c r="H488" s="198"/>
      <c r="I488" s="198"/>
    </row>
    <row r="489" spans="2:9" x14ac:dyDescent="0.25">
      <c r="B489" s="198"/>
      <c r="C489" s="198"/>
      <c r="D489" s="198"/>
      <c r="E489" s="198"/>
      <c r="F489" s="198"/>
      <c r="G489" s="198"/>
      <c r="H489" s="198"/>
      <c r="I489" s="198"/>
    </row>
    <row r="490" spans="2:9" x14ac:dyDescent="0.25">
      <c r="B490" s="198"/>
      <c r="C490" s="198"/>
      <c r="D490" s="198"/>
      <c r="E490" s="198"/>
      <c r="F490" s="198"/>
      <c r="G490" s="198"/>
      <c r="H490" s="198"/>
      <c r="I490" s="198"/>
    </row>
    <row r="491" spans="2:9" x14ac:dyDescent="0.25">
      <c r="B491" s="198"/>
      <c r="C491" s="198"/>
      <c r="D491" s="198"/>
      <c r="E491" s="198"/>
      <c r="F491" s="198"/>
      <c r="G491" s="198"/>
      <c r="H491" s="198"/>
      <c r="I491" s="198"/>
    </row>
    <row r="492" spans="2:9" x14ac:dyDescent="0.25">
      <c r="B492" s="198"/>
      <c r="C492" s="198"/>
      <c r="D492" s="198"/>
      <c r="E492" s="198"/>
      <c r="F492" s="198"/>
      <c r="G492" s="198"/>
      <c r="H492" s="198"/>
      <c r="I492" s="198"/>
    </row>
    <row r="493" spans="2:9" x14ac:dyDescent="0.25">
      <c r="B493" s="198"/>
      <c r="C493" s="198"/>
      <c r="D493" s="198"/>
      <c r="E493" s="198"/>
      <c r="F493" s="198"/>
      <c r="G493" s="198"/>
      <c r="H493" s="198"/>
      <c r="I493" s="198"/>
    </row>
    <row r="494" spans="2:9" x14ac:dyDescent="0.25">
      <c r="B494" s="198"/>
      <c r="C494" s="198"/>
      <c r="D494" s="198"/>
      <c r="E494" s="198"/>
      <c r="F494" s="198"/>
      <c r="G494" s="198"/>
      <c r="H494" s="198"/>
      <c r="I494" s="198"/>
    </row>
    <row r="495" spans="2:9" x14ac:dyDescent="0.25">
      <c r="B495" s="198"/>
      <c r="C495" s="198"/>
      <c r="D495" s="198"/>
      <c r="E495" s="198"/>
      <c r="F495" s="198"/>
      <c r="G495" s="198"/>
      <c r="H495" s="198"/>
      <c r="I495" s="198"/>
    </row>
    <row r="496" spans="2:9" x14ac:dyDescent="0.25">
      <c r="B496" s="198"/>
      <c r="C496" s="198"/>
      <c r="D496" s="198"/>
      <c r="E496" s="198"/>
      <c r="F496" s="198"/>
      <c r="G496" s="198"/>
      <c r="H496" s="198"/>
      <c r="I496" s="198"/>
    </row>
    <row r="497" spans="2:9" x14ac:dyDescent="0.25">
      <c r="B497" s="198"/>
      <c r="C497" s="198"/>
      <c r="D497" s="198"/>
      <c r="E497" s="198"/>
      <c r="F497" s="198"/>
      <c r="G497" s="198"/>
      <c r="H497" s="198"/>
      <c r="I497" s="198"/>
    </row>
    <row r="498" spans="2:9" x14ac:dyDescent="0.25">
      <c r="B498" s="198"/>
      <c r="C498" s="198"/>
      <c r="D498" s="198"/>
      <c r="E498" s="198"/>
      <c r="F498" s="198"/>
      <c r="G498" s="198"/>
      <c r="H498" s="198"/>
      <c r="I498" s="198"/>
    </row>
    <row r="499" spans="2:9" x14ac:dyDescent="0.25">
      <c r="B499" s="198"/>
      <c r="C499" s="198"/>
      <c r="D499" s="198"/>
      <c r="E499" s="198"/>
      <c r="F499" s="198"/>
      <c r="G499" s="198"/>
      <c r="H499" s="198"/>
      <c r="I499" s="198"/>
    </row>
    <row r="500" spans="2:9" x14ac:dyDescent="0.25">
      <c r="B500" s="198"/>
      <c r="C500" s="198"/>
      <c r="D500" s="198"/>
      <c r="E500" s="198"/>
      <c r="F500" s="198"/>
      <c r="G500" s="198"/>
      <c r="H500" s="198"/>
      <c r="I500" s="198"/>
    </row>
    <row r="501" spans="2:9" x14ac:dyDescent="0.25">
      <c r="B501" s="198"/>
      <c r="C501" s="198"/>
      <c r="D501" s="198"/>
      <c r="E501" s="198"/>
      <c r="F501" s="198"/>
      <c r="G501" s="198"/>
      <c r="H501" s="198"/>
      <c r="I501" s="198"/>
    </row>
    <row r="502" spans="2:9" x14ac:dyDescent="0.25">
      <c r="B502" s="198"/>
      <c r="C502" s="198"/>
      <c r="D502" s="198"/>
      <c r="E502" s="198"/>
      <c r="F502" s="198"/>
      <c r="G502" s="198"/>
      <c r="H502" s="198"/>
      <c r="I502" s="198"/>
    </row>
    <row r="503" spans="2:9" x14ac:dyDescent="0.25">
      <c r="B503" s="198"/>
      <c r="C503" s="198"/>
      <c r="D503" s="198"/>
      <c r="E503" s="198"/>
      <c r="F503" s="198"/>
      <c r="G503" s="198"/>
      <c r="H503" s="198"/>
      <c r="I503" s="198"/>
    </row>
    <row r="504" spans="2:9" x14ac:dyDescent="0.25">
      <c r="B504" s="198"/>
      <c r="C504" s="198"/>
      <c r="D504" s="198"/>
      <c r="E504" s="198"/>
      <c r="F504" s="198"/>
      <c r="G504" s="198"/>
      <c r="H504" s="198"/>
      <c r="I504" s="198"/>
    </row>
    <row r="505" spans="2:9" x14ac:dyDescent="0.25">
      <c r="B505" s="198"/>
      <c r="C505" s="198"/>
      <c r="D505" s="198"/>
      <c r="E505" s="198"/>
      <c r="F505" s="198"/>
      <c r="G505" s="198"/>
      <c r="H505" s="198"/>
      <c r="I505" s="198"/>
    </row>
    <row r="506" spans="2:9" x14ac:dyDescent="0.25">
      <c r="B506" s="198"/>
      <c r="C506" s="198"/>
      <c r="D506" s="198"/>
      <c r="E506" s="198"/>
      <c r="F506" s="198"/>
      <c r="G506" s="198"/>
      <c r="H506" s="198"/>
      <c r="I506" s="198"/>
    </row>
    <row r="507" spans="2:9" x14ac:dyDescent="0.25">
      <c r="B507" s="198"/>
      <c r="C507" s="198"/>
      <c r="D507" s="198"/>
      <c r="E507" s="198"/>
      <c r="F507" s="198"/>
      <c r="G507" s="198"/>
      <c r="H507" s="198"/>
      <c r="I507" s="198"/>
    </row>
    <row r="508" spans="2:9" x14ac:dyDescent="0.25">
      <c r="B508" s="198"/>
      <c r="C508" s="198"/>
      <c r="D508" s="198"/>
      <c r="E508" s="198"/>
      <c r="F508" s="198"/>
      <c r="G508" s="198"/>
      <c r="H508" s="198"/>
      <c r="I508" s="198"/>
    </row>
    <row r="509" spans="2:9" x14ac:dyDescent="0.25">
      <c r="B509" s="198"/>
      <c r="C509" s="198"/>
      <c r="D509" s="198"/>
      <c r="E509" s="198"/>
      <c r="F509" s="198"/>
      <c r="G509" s="198"/>
      <c r="H509" s="198"/>
      <c r="I509" s="198"/>
    </row>
    <row r="510" spans="2:9" x14ac:dyDescent="0.25">
      <c r="B510" s="198"/>
      <c r="C510" s="198"/>
      <c r="D510" s="198"/>
      <c r="E510" s="198"/>
      <c r="F510" s="198"/>
      <c r="G510" s="198"/>
      <c r="H510" s="198"/>
      <c r="I510" s="198"/>
    </row>
    <row r="511" spans="2:9" x14ac:dyDescent="0.25">
      <c r="B511" s="198"/>
      <c r="C511" s="198"/>
      <c r="D511" s="198"/>
      <c r="E511" s="198"/>
      <c r="F511" s="198"/>
      <c r="G511" s="198"/>
      <c r="H511" s="198"/>
      <c r="I511" s="198"/>
    </row>
    <row r="512" spans="2:9" x14ac:dyDescent="0.25">
      <c r="B512" s="198"/>
      <c r="C512" s="198"/>
      <c r="D512" s="198"/>
      <c r="E512" s="198"/>
      <c r="F512" s="198"/>
      <c r="G512" s="198"/>
      <c r="H512" s="198"/>
      <c r="I512" s="198"/>
    </row>
    <row r="513" spans="2:9" x14ac:dyDescent="0.25">
      <c r="B513" s="198"/>
      <c r="C513" s="198"/>
      <c r="D513" s="198"/>
      <c r="E513" s="198"/>
      <c r="F513" s="198"/>
      <c r="G513" s="198"/>
      <c r="H513" s="198"/>
      <c r="I513" s="198"/>
    </row>
    <row r="514" spans="2:9" x14ac:dyDescent="0.25">
      <c r="B514" s="198"/>
      <c r="C514" s="198"/>
      <c r="D514" s="198"/>
      <c r="E514" s="198"/>
      <c r="F514" s="198"/>
      <c r="G514" s="198"/>
      <c r="H514" s="198"/>
      <c r="I514" s="198"/>
    </row>
    <row r="515" spans="2:9" x14ac:dyDescent="0.25">
      <c r="B515" s="198"/>
      <c r="C515" s="198"/>
      <c r="D515" s="198"/>
      <c r="E515" s="198"/>
      <c r="F515" s="198"/>
      <c r="G515" s="198"/>
      <c r="H515" s="198"/>
      <c r="I515" s="198"/>
    </row>
    <row r="516" spans="2:9" x14ac:dyDescent="0.25">
      <c r="B516" s="198"/>
      <c r="C516" s="198"/>
      <c r="D516" s="198"/>
      <c r="E516" s="198"/>
      <c r="F516" s="198"/>
      <c r="G516" s="198"/>
      <c r="H516" s="198"/>
      <c r="I516" s="198"/>
    </row>
    <row r="517" spans="2:9" x14ac:dyDescent="0.25">
      <c r="B517" s="198"/>
      <c r="C517" s="198"/>
      <c r="D517" s="198"/>
      <c r="E517" s="198"/>
      <c r="F517" s="198"/>
      <c r="G517" s="198"/>
      <c r="H517" s="198"/>
      <c r="I517" s="198"/>
    </row>
    <row r="518" spans="2:9" x14ac:dyDescent="0.25">
      <c r="B518" s="198"/>
      <c r="C518" s="198"/>
      <c r="D518" s="198"/>
      <c r="E518" s="198"/>
      <c r="F518" s="198"/>
      <c r="G518" s="198"/>
      <c r="H518" s="198"/>
      <c r="I518" s="198"/>
    </row>
    <row r="519" spans="2:9" x14ac:dyDescent="0.25">
      <c r="B519" s="198"/>
      <c r="C519" s="198"/>
      <c r="D519" s="198"/>
      <c r="E519" s="198"/>
      <c r="F519" s="198"/>
      <c r="G519" s="198"/>
      <c r="H519" s="198"/>
      <c r="I519" s="198"/>
    </row>
    <row r="520" spans="2:9" x14ac:dyDescent="0.25">
      <c r="B520" s="198"/>
      <c r="C520" s="198"/>
      <c r="D520" s="198"/>
      <c r="E520" s="198"/>
      <c r="F520" s="198"/>
      <c r="G520" s="198"/>
      <c r="H520" s="198"/>
      <c r="I520" s="198"/>
    </row>
    <row r="521" spans="2:9" x14ac:dyDescent="0.25">
      <c r="B521" s="198"/>
      <c r="C521" s="198"/>
      <c r="D521" s="198"/>
      <c r="E521" s="198"/>
      <c r="F521" s="198"/>
      <c r="G521" s="198"/>
      <c r="H521" s="198"/>
      <c r="I521" s="198"/>
    </row>
    <row r="522" spans="2:9" x14ac:dyDescent="0.25">
      <c r="B522" s="198"/>
      <c r="C522" s="198"/>
      <c r="D522" s="198"/>
      <c r="E522" s="198"/>
      <c r="F522" s="198"/>
      <c r="G522" s="198"/>
      <c r="H522" s="198"/>
      <c r="I522" s="198"/>
    </row>
    <row r="523" spans="2:9" x14ac:dyDescent="0.25">
      <c r="B523" s="198"/>
      <c r="C523" s="198"/>
      <c r="D523" s="198"/>
      <c r="E523" s="198"/>
      <c r="F523" s="198"/>
      <c r="G523" s="198"/>
      <c r="H523" s="198"/>
      <c r="I523" s="198"/>
    </row>
    <row r="524" spans="2:9" x14ac:dyDescent="0.25">
      <c r="B524" s="198"/>
      <c r="C524" s="198"/>
      <c r="D524" s="198"/>
      <c r="E524" s="198"/>
      <c r="F524" s="198"/>
      <c r="G524" s="198"/>
      <c r="H524" s="198"/>
      <c r="I524" s="198"/>
    </row>
    <row r="525" spans="2:9" x14ac:dyDescent="0.25">
      <c r="B525" s="198"/>
      <c r="C525" s="198"/>
      <c r="D525" s="198"/>
      <c r="E525" s="198"/>
      <c r="F525" s="198"/>
      <c r="G525" s="198"/>
      <c r="H525" s="198"/>
      <c r="I525" s="198"/>
    </row>
    <row r="526" spans="2:9" x14ac:dyDescent="0.25">
      <c r="B526" s="198"/>
      <c r="C526" s="198"/>
      <c r="D526" s="198"/>
      <c r="E526" s="198"/>
      <c r="F526" s="198"/>
      <c r="G526" s="198"/>
      <c r="H526" s="198"/>
      <c r="I526" s="198"/>
    </row>
    <row r="527" spans="2:9" x14ac:dyDescent="0.25">
      <c r="B527" s="198"/>
      <c r="C527" s="198"/>
      <c r="D527" s="198"/>
      <c r="E527" s="198"/>
      <c r="F527" s="198"/>
      <c r="G527" s="198"/>
      <c r="H527" s="198"/>
      <c r="I527" s="198"/>
    </row>
    <row r="528" spans="2:9" x14ac:dyDescent="0.25">
      <c r="B528" s="198"/>
      <c r="C528" s="198"/>
      <c r="D528" s="198"/>
      <c r="E528" s="198"/>
      <c r="F528" s="198"/>
      <c r="G528" s="198"/>
      <c r="H528" s="198"/>
      <c r="I528" s="198"/>
    </row>
    <row r="529" spans="2:9" x14ac:dyDescent="0.25">
      <c r="B529" s="198"/>
      <c r="C529" s="198"/>
      <c r="D529" s="198"/>
      <c r="E529" s="198"/>
      <c r="F529" s="198"/>
      <c r="G529" s="198"/>
      <c r="H529" s="198"/>
      <c r="I529" s="198"/>
    </row>
    <row r="530" spans="2:9" x14ac:dyDescent="0.25">
      <c r="B530" s="198"/>
      <c r="C530" s="198"/>
      <c r="D530" s="198"/>
      <c r="E530" s="198"/>
      <c r="F530" s="198"/>
      <c r="G530" s="198"/>
      <c r="H530" s="198"/>
      <c r="I530" s="198"/>
    </row>
    <row r="531" spans="2:9" x14ac:dyDescent="0.25">
      <c r="B531" s="198"/>
      <c r="C531" s="198"/>
      <c r="D531" s="198"/>
      <c r="E531" s="198"/>
      <c r="F531" s="198"/>
      <c r="G531" s="198"/>
      <c r="H531" s="198"/>
      <c r="I531" s="198"/>
    </row>
    <row r="532" spans="2:9" x14ac:dyDescent="0.25">
      <c r="B532" s="198"/>
      <c r="C532" s="198"/>
      <c r="D532" s="198"/>
      <c r="E532" s="198"/>
      <c r="F532" s="198"/>
      <c r="G532" s="198"/>
      <c r="H532" s="198"/>
      <c r="I532" s="198"/>
    </row>
    <row r="533" spans="2:9" x14ac:dyDescent="0.25">
      <c r="B533" s="198"/>
      <c r="C533" s="198"/>
      <c r="D533" s="198"/>
      <c r="E533" s="198"/>
      <c r="F533" s="198"/>
      <c r="G533" s="198"/>
      <c r="H533" s="198"/>
      <c r="I533" s="198"/>
    </row>
    <row r="534" spans="2:9" x14ac:dyDescent="0.25">
      <c r="B534" s="198"/>
      <c r="C534" s="198"/>
      <c r="D534" s="198"/>
      <c r="E534" s="198"/>
      <c r="F534" s="198"/>
      <c r="G534" s="198"/>
      <c r="H534" s="198"/>
      <c r="I534" s="198"/>
    </row>
    <row r="535" spans="2:9" x14ac:dyDescent="0.25">
      <c r="B535" s="198"/>
      <c r="C535" s="198"/>
      <c r="D535" s="198"/>
      <c r="E535" s="198"/>
      <c r="F535" s="198"/>
      <c r="G535" s="198"/>
      <c r="H535" s="198"/>
      <c r="I535" s="198"/>
    </row>
    <row r="536" spans="2:9" x14ac:dyDescent="0.25">
      <c r="B536" s="198"/>
      <c r="C536" s="198"/>
      <c r="D536" s="198"/>
      <c r="E536" s="198"/>
      <c r="F536" s="198"/>
      <c r="G536" s="198"/>
      <c r="H536" s="198"/>
      <c r="I536" s="198"/>
    </row>
    <row r="537" spans="2:9" x14ac:dyDescent="0.25">
      <c r="B537" s="198"/>
      <c r="C537" s="198"/>
      <c r="D537" s="198"/>
      <c r="E537" s="198"/>
      <c r="F537" s="198"/>
      <c r="G537" s="198"/>
      <c r="H537" s="198"/>
      <c r="I537" s="198"/>
    </row>
    <row r="538" spans="2:9" x14ac:dyDescent="0.25">
      <c r="B538" s="198"/>
      <c r="C538" s="198"/>
      <c r="D538" s="198"/>
      <c r="E538" s="198"/>
      <c r="F538" s="198"/>
      <c r="G538" s="198"/>
      <c r="H538" s="198"/>
      <c r="I538" s="198"/>
    </row>
    <row r="539" spans="2:9" x14ac:dyDescent="0.25">
      <c r="B539" s="198"/>
      <c r="C539" s="198"/>
      <c r="D539" s="198"/>
      <c r="E539" s="198"/>
      <c r="F539" s="198"/>
      <c r="G539" s="198"/>
      <c r="H539" s="198"/>
      <c r="I539" s="198"/>
    </row>
    <row r="540" spans="2:9" x14ac:dyDescent="0.25">
      <c r="B540" s="198"/>
      <c r="C540" s="198"/>
      <c r="D540" s="198"/>
      <c r="E540" s="198"/>
      <c r="F540" s="198"/>
      <c r="G540" s="198"/>
      <c r="H540" s="198"/>
      <c r="I540" s="198"/>
    </row>
    <row r="541" spans="2:9" x14ac:dyDescent="0.25">
      <c r="B541" s="198"/>
      <c r="C541" s="198"/>
      <c r="D541" s="198"/>
      <c r="E541" s="198"/>
      <c r="F541" s="198"/>
      <c r="G541" s="198"/>
      <c r="H541" s="198"/>
      <c r="I541" s="198"/>
    </row>
    <row r="542" spans="2:9" x14ac:dyDescent="0.25">
      <c r="B542" s="198"/>
      <c r="C542" s="198"/>
      <c r="D542" s="198"/>
      <c r="E542" s="198"/>
      <c r="F542" s="198"/>
      <c r="G542" s="198"/>
      <c r="H542" s="198"/>
      <c r="I542" s="198"/>
    </row>
    <row r="543" spans="2:9" x14ac:dyDescent="0.25">
      <c r="B543" s="198"/>
      <c r="C543" s="198"/>
      <c r="D543" s="198"/>
      <c r="E543" s="198"/>
      <c r="F543" s="198"/>
      <c r="G543" s="198"/>
      <c r="H543" s="198"/>
      <c r="I543" s="198"/>
    </row>
    <row r="544" spans="2:9" x14ac:dyDescent="0.25">
      <c r="B544" s="198"/>
      <c r="C544" s="198"/>
      <c r="D544" s="198"/>
      <c r="E544" s="198"/>
      <c r="F544" s="198"/>
      <c r="G544" s="198"/>
      <c r="H544" s="198"/>
      <c r="I544" s="198"/>
    </row>
    <row r="545" spans="2:9" x14ac:dyDescent="0.25">
      <c r="B545" s="198"/>
      <c r="C545" s="198"/>
      <c r="D545" s="198"/>
      <c r="E545" s="198"/>
      <c r="F545" s="198"/>
      <c r="G545" s="198"/>
      <c r="H545" s="198"/>
      <c r="I545" s="198"/>
    </row>
    <row r="546" spans="2:9" x14ac:dyDescent="0.25">
      <c r="B546" s="198"/>
      <c r="C546" s="198"/>
      <c r="D546" s="198"/>
      <c r="E546" s="198"/>
      <c r="F546" s="198"/>
      <c r="G546" s="198"/>
      <c r="H546" s="198"/>
      <c r="I546" s="198"/>
    </row>
    <row r="547" spans="2:9" x14ac:dyDescent="0.25">
      <c r="B547" s="198"/>
      <c r="C547" s="198"/>
      <c r="D547" s="198"/>
      <c r="E547" s="198"/>
      <c r="F547" s="198"/>
      <c r="G547" s="198"/>
      <c r="H547" s="198"/>
      <c r="I547" s="198"/>
    </row>
    <row r="548" spans="2:9" x14ac:dyDescent="0.25">
      <c r="B548" s="198"/>
      <c r="C548" s="198"/>
      <c r="D548" s="198"/>
      <c r="E548" s="198"/>
      <c r="F548" s="198"/>
      <c r="G548" s="198"/>
      <c r="H548" s="198"/>
      <c r="I548" s="198"/>
    </row>
    <row r="549" spans="2:9" x14ac:dyDescent="0.25">
      <c r="B549" s="198"/>
      <c r="C549" s="198"/>
      <c r="D549" s="198"/>
      <c r="E549" s="198"/>
      <c r="F549" s="198"/>
      <c r="G549" s="198"/>
      <c r="H549" s="198"/>
      <c r="I549" s="198"/>
    </row>
    <row r="550" spans="2:9" x14ac:dyDescent="0.25">
      <c r="B550" s="198"/>
      <c r="C550" s="198"/>
      <c r="D550" s="198"/>
      <c r="E550" s="198"/>
      <c r="F550" s="198"/>
      <c r="G550" s="198"/>
      <c r="H550" s="198"/>
      <c r="I550" s="198"/>
    </row>
    <row r="551" spans="2:9" x14ac:dyDescent="0.25">
      <c r="B551" s="198"/>
      <c r="C551" s="198"/>
      <c r="D551" s="198"/>
      <c r="E551" s="198"/>
      <c r="F551" s="198"/>
      <c r="G551" s="198"/>
      <c r="H551" s="198"/>
      <c r="I551" s="198"/>
    </row>
    <row r="552" spans="2:9" x14ac:dyDescent="0.25">
      <c r="B552" s="198"/>
      <c r="C552" s="198"/>
      <c r="D552" s="198"/>
      <c r="E552" s="198"/>
      <c r="F552" s="198"/>
      <c r="G552" s="198"/>
      <c r="H552" s="198"/>
      <c r="I552" s="198"/>
    </row>
    <row r="553" spans="2:9" x14ac:dyDescent="0.25">
      <c r="B553" s="198"/>
      <c r="C553" s="198"/>
      <c r="D553" s="198"/>
      <c r="E553" s="198"/>
      <c r="F553" s="198"/>
      <c r="G553" s="198"/>
      <c r="H553" s="198"/>
      <c r="I553" s="198"/>
    </row>
    <row r="554" spans="2:9" x14ac:dyDescent="0.25">
      <c r="B554" s="198"/>
      <c r="C554" s="198"/>
      <c r="D554" s="198"/>
      <c r="E554" s="198"/>
      <c r="F554" s="198"/>
      <c r="G554" s="198"/>
      <c r="H554" s="198"/>
      <c r="I554" s="198"/>
    </row>
    <row r="555" spans="2:9" x14ac:dyDescent="0.25">
      <c r="B555" s="198"/>
      <c r="C555" s="198"/>
      <c r="D555" s="198"/>
      <c r="E555" s="198"/>
      <c r="F555" s="198"/>
      <c r="G555" s="198"/>
      <c r="H555" s="198"/>
      <c r="I555" s="198"/>
    </row>
    <row r="556" spans="2:9" x14ac:dyDescent="0.25">
      <c r="B556" s="198"/>
      <c r="C556" s="198"/>
      <c r="D556" s="198"/>
      <c r="E556" s="198"/>
      <c r="F556" s="198"/>
      <c r="G556" s="198"/>
      <c r="H556" s="198"/>
      <c r="I556" s="198"/>
    </row>
    <row r="557" spans="2:9" x14ac:dyDescent="0.25">
      <c r="B557" s="198"/>
      <c r="C557" s="198"/>
      <c r="D557" s="198"/>
      <c r="E557" s="198"/>
      <c r="F557" s="198"/>
      <c r="G557" s="198"/>
      <c r="H557" s="198"/>
      <c r="I557" s="198"/>
    </row>
    <row r="558" spans="2:9" x14ac:dyDescent="0.25">
      <c r="B558" s="198"/>
      <c r="C558" s="198"/>
      <c r="D558" s="198"/>
      <c r="E558" s="198"/>
      <c r="F558" s="198"/>
      <c r="G558" s="198"/>
      <c r="H558" s="198"/>
      <c r="I558" s="198"/>
    </row>
    <row r="559" spans="2:9" x14ac:dyDescent="0.25">
      <c r="B559" s="198"/>
      <c r="C559" s="198"/>
      <c r="D559" s="198"/>
      <c r="E559" s="198"/>
      <c r="F559" s="198"/>
      <c r="G559" s="198"/>
      <c r="H559" s="198"/>
      <c r="I559" s="198"/>
    </row>
    <row r="560" spans="2:9" x14ac:dyDescent="0.25">
      <c r="B560" s="198"/>
      <c r="C560" s="198"/>
      <c r="D560" s="198"/>
      <c r="E560" s="198"/>
      <c r="F560" s="198"/>
      <c r="G560" s="198"/>
      <c r="H560" s="198"/>
      <c r="I560" s="198"/>
    </row>
    <row r="561" spans="2:9" x14ac:dyDescent="0.25">
      <c r="B561" s="198"/>
      <c r="C561" s="198"/>
      <c r="D561" s="198"/>
      <c r="E561" s="198"/>
      <c r="F561" s="198"/>
      <c r="G561" s="198"/>
      <c r="H561" s="198"/>
      <c r="I561" s="198"/>
    </row>
    <row r="562" spans="2:9" x14ac:dyDescent="0.25">
      <c r="B562" s="198"/>
      <c r="C562" s="198"/>
      <c r="D562" s="198"/>
      <c r="E562" s="198"/>
      <c r="F562" s="198"/>
      <c r="G562" s="198"/>
      <c r="H562" s="198"/>
      <c r="I562" s="198"/>
    </row>
    <row r="563" spans="2:9" x14ac:dyDescent="0.25">
      <c r="B563" s="198"/>
      <c r="C563" s="198"/>
      <c r="D563" s="198"/>
      <c r="E563" s="198"/>
      <c r="F563" s="198"/>
      <c r="G563" s="198"/>
      <c r="H563" s="198"/>
      <c r="I563" s="198"/>
    </row>
    <row r="564" spans="2:9" x14ac:dyDescent="0.25">
      <c r="B564" s="198"/>
      <c r="C564" s="198"/>
      <c r="D564" s="198"/>
      <c r="E564" s="198"/>
      <c r="F564" s="198"/>
      <c r="G564" s="198"/>
      <c r="H564" s="198"/>
      <c r="I564" s="198"/>
    </row>
    <row r="565" spans="2:9" x14ac:dyDescent="0.25">
      <c r="B565" s="198"/>
      <c r="C565" s="198"/>
      <c r="D565" s="198"/>
      <c r="E565" s="198"/>
      <c r="F565" s="198"/>
      <c r="G565" s="198"/>
      <c r="H565" s="198"/>
      <c r="I565" s="198"/>
    </row>
    <row r="566" spans="2:9" x14ac:dyDescent="0.25">
      <c r="B566" s="198"/>
      <c r="C566" s="198"/>
      <c r="D566" s="198"/>
      <c r="E566" s="198"/>
      <c r="F566" s="198"/>
      <c r="G566" s="198"/>
      <c r="H566" s="198"/>
      <c r="I566" s="198"/>
    </row>
    <row r="567" spans="2:9" x14ac:dyDescent="0.25">
      <c r="B567" s="198"/>
      <c r="C567" s="198"/>
      <c r="D567" s="198"/>
      <c r="E567" s="198"/>
      <c r="F567" s="198"/>
      <c r="G567" s="198"/>
      <c r="H567" s="198"/>
      <c r="I567" s="198"/>
    </row>
    <row r="568" spans="2:9" x14ac:dyDescent="0.25">
      <c r="B568" s="198"/>
      <c r="C568" s="198"/>
      <c r="D568" s="198"/>
      <c r="E568" s="198"/>
      <c r="F568" s="198"/>
      <c r="G568" s="198"/>
      <c r="H568" s="198"/>
      <c r="I568" s="198"/>
    </row>
    <row r="569" spans="2:9" x14ac:dyDescent="0.25">
      <c r="B569" s="198"/>
      <c r="C569" s="198"/>
      <c r="D569" s="198"/>
      <c r="E569" s="198"/>
      <c r="F569" s="198"/>
      <c r="G569" s="198"/>
      <c r="H569" s="198"/>
      <c r="I569" s="198"/>
    </row>
    <row r="570" spans="2:9" x14ac:dyDescent="0.25">
      <c r="B570" s="198"/>
      <c r="C570" s="198"/>
      <c r="D570" s="198"/>
      <c r="E570" s="198"/>
      <c r="F570" s="198"/>
      <c r="G570" s="198"/>
      <c r="H570" s="198"/>
      <c r="I570" s="198"/>
    </row>
    <row r="571" spans="2:9" x14ac:dyDescent="0.25">
      <c r="B571" s="198"/>
      <c r="C571" s="198"/>
      <c r="D571" s="198"/>
      <c r="E571" s="198"/>
      <c r="F571" s="198"/>
      <c r="G571" s="198"/>
      <c r="H571" s="198"/>
      <c r="I571" s="198"/>
    </row>
    <row r="572" spans="2:9" x14ac:dyDescent="0.25">
      <c r="B572" s="198"/>
      <c r="C572" s="198"/>
      <c r="D572" s="198"/>
      <c r="E572" s="198"/>
      <c r="F572" s="198"/>
      <c r="G572" s="198"/>
      <c r="H572" s="198"/>
      <c r="I572" s="198"/>
    </row>
    <row r="573" spans="2:9" x14ac:dyDescent="0.25">
      <c r="B573" s="198"/>
      <c r="C573" s="198"/>
      <c r="D573" s="198"/>
      <c r="E573" s="198"/>
      <c r="F573" s="198"/>
      <c r="G573" s="198"/>
      <c r="H573" s="198"/>
      <c r="I573" s="198"/>
    </row>
    <row r="574" spans="2:9" x14ac:dyDescent="0.25">
      <c r="B574" s="198"/>
      <c r="C574" s="198"/>
      <c r="D574" s="198"/>
      <c r="E574" s="198"/>
      <c r="F574" s="198"/>
      <c r="G574" s="198"/>
      <c r="H574" s="198"/>
      <c r="I574" s="198"/>
    </row>
    <row r="575" spans="2:9" x14ac:dyDescent="0.25">
      <c r="B575" s="198"/>
      <c r="C575" s="198"/>
      <c r="D575" s="198"/>
      <c r="E575" s="198"/>
      <c r="F575" s="198"/>
      <c r="G575" s="198"/>
      <c r="H575" s="198"/>
      <c r="I575" s="198"/>
    </row>
    <row r="576" spans="2:9" x14ac:dyDescent="0.25">
      <c r="B576" s="198"/>
      <c r="C576" s="198"/>
      <c r="D576" s="198"/>
      <c r="E576" s="198"/>
      <c r="F576" s="198"/>
      <c r="G576" s="198"/>
      <c r="H576" s="198"/>
      <c r="I576" s="198"/>
    </row>
    <row r="577" spans="2:9" x14ac:dyDescent="0.25">
      <c r="B577" s="198"/>
      <c r="C577" s="198"/>
      <c r="D577" s="198"/>
      <c r="E577" s="198"/>
      <c r="F577" s="198"/>
      <c r="G577" s="198"/>
      <c r="H577" s="198"/>
      <c r="I577" s="198"/>
    </row>
    <row r="578" spans="2:9" x14ac:dyDescent="0.25">
      <c r="B578" s="198"/>
      <c r="C578" s="198"/>
      <c r="D578" s="198"/>
      <c r="E578" s="198"/>
      <c r="F578" s="198"/>
      <c r="G578" s="198"/>
      <c r="H578" s="198"/>
      <c r="I578" s="198"/>
    </row>
    <row r="579" spans="2:9" x14ac:dyDescent="0.25">
      <c r="B579" s="198"/>
      <c r="C579" s="198"/>
      <c r="D579" s="198"/>
      <c r="E579" s="198"/>
      <c r="F579" s="198"/>
      <c r="G579" s="198"/>
      <c r="H579" s="198"/>
      <c r="I579" s="198"/>
    </row>
    <row r="580" spans="2:9" x14ac:dyDescent="0.25">
      <c r="B580" s="198"/>
      <c r="C580" s="198"/>
      <c r="D580" s="198"/>
      <c r="E580" s="198"/>
      <c r="F580" s="198"/>
      <c r="G580" s="198"/>
      <c r="H580" s="198"/>
      <c r="I580" s="198"/>
    </row>
    <row r="581" spans="2:9" x14ac:dyDescent="0.25">
      <c r="B581" s="198"/>
      <c r="C581" s="198"/>
      <c r="D581" s="198"/>
      <c r="E581" s="198"/>
      <c r="F581" s="198"/>
      <c r="G581" s="198"/>
      <c r="H581" s="198"/>
      <c r="I581" s="198"/>
    </row>
    <row r="582" spans="2:9" x14ac:dyDescent="0.25">
      <c r="B582" s="198"/>
      <c r="C582" s="198"/>
      <c r="D582" s="198"/>
      <c r="E582" s="198"/>
      <c r="F582" s="198"/>
      <c r="G582" s="198"/>
      <c r="H582" s="198"/>
      <c r="I582" s="198"/>
    </row>
    <row r="583" spans="2:9" x14ac:dyDescent="0.25">
      <c r="B583" s="198"/>
      <c r="C583" s="198"/>
      <c r="D583" s="198"/>
      <c r="E583" s="198"/>
      <c r="F583" s="198"/>
      <c r="G583" s="198"/>
      <c r="H583" s="198"/>
      <c r="I583" s="198"/>
    </row>
    <row r="584" spans="2:9" x14ac:dyDescent="0.25">
      <c r="B584" s="198"/>
      <c r="C584" s="198"/>
      <c r="D584" s="198"/>
      <c r="E584" s="198"/>
      <c r="F584" s="198"/>
      <c r="G584" s="198"/>
      <c r="H584" s="198"/>
      <c r="I584" s="198"/>
    </row>
    <row r="585" spans="2:9" x14ac:dyDescent="0.25">
      <c r="B585" s="198"/>
      <c r="C585" s="198"/>
      <c r="D585" s="198"/>
      <c r="E585" s="198"/>
      <c r="F585" s="198"/>
      <c r="G585" s="198"/>
      <c r="H585" s="198"/>
      <c r="I585" s="198"/>
    </row>
    <row r="586" spans="2:9" x14ac:dyDescent="0.25">
      <c r="B586" s="198"/>
      <c r="C586" s="198"/>
      <c r="D586" s="198"/>
      <c r="E586" s="198"/>
      <c r="F586" s="198"/>
      <c r="G586" s="198"/>
      <c r="H586" s="198"/>
      <c r="I586" s="198"/>
    </row>
    <row r="587" spans="2:9" x14ac:dyDescent="0.25">
      <c r="B587" s="198"/>
      <c r="C587" s="198"/>
      <c r="D587" s="198"/>
      <c r="E587" s="198"/>
      <c r="F587" s="198"/>
      <c r="G587" s="198"/>
      <c r="H587" s="198"/>
      <c r="I587" s="198"/>
    </row>
    <row r="588" spans="2:9" x14ac:dyDescent="0.25">
      <c r="B588" s="198"/>
      <c r="C588" s="198"/>
      <c r="D588" s="198"/>
      <c r="E588" s="198"/>
      <c r="F588" s="198"/>
      <c r="G588" s="198"/>
      <c r="H588" s="198"/>
      <c r="I588" s="198"/>
    </row>
    <row r="589" spans="2:9" x14ac:dyDescent="0.25">
      <c r="B589" s="198"/>
      <c r="C589" s="198"/>
      <c r="D589" s="198"/>
      <c r="E589" s="198"/>
      <c r="F589" s="198"/>
      <c r="G589" s="198"/>
      <c r="H589" s="198"/>
      <c r="I589" s="198"/>
    </row>
    <row r="590" spans="2:9" x14ac:dyDescent="0.25">
      <c r="B590" s="198"/>
      <c r="C590" s="198"/>
      <c r="D590" s="198"/>
      <c r="E590" s="198"/>
      <c r="F590" s="198"/>
      <c r="G590" s="198"/>
      <c r="H590" s="198"/>
      <c r="I590" s="198"/>
    </row>
    <row r="591" spans="2:9" x14ac:dyDescent="0.25">
      <c r="B591" s="198"/>
      <c r="C591" s="198"/>
      <c r="D591" s="198"/>
      <c r="E591" s="198"/>
      <c r="F591" s="198"/>
      <c r="G591" s="198"/>
      <c r="H591" s="198"/>
      <c r="I591" s="198"/>
    </row>
    <row r="592" spans="2:9" x14ac:dyDescent="0.25">
      <c r="B592" s="198"/>
      <c r="C592" s="198"/>
      <c r="D592" s="198"/>
      <c r="E592" s="198"/>
      <c r="F592" s="198"/>
      <c r="G592" s="198"/>
      <c r="H592" s="198"/>
      <c r="I592" s="198"/>
    </row>
    <row r="593" spans="2:9" x14ac:dyDescent="0.25">
      <c r="B593" s="198"/>
      <c r="C593" s="198"/>
      <c r="D593" s="198"/>
      <c r="E593" s="198"/>
      <c r="F593" s="198"/>
      <c r="G593" s="198"/>
      <c r="H593" s="198"/>
      <c r="I593" s="198"/>
    </row>
    <row r="594" spans="2:9" x14ac:dyDescent="0.25">
      <c r="B594" s="198"/>
      <c r="C594" s="198"/>
      <c r="D594" s="198"/>
      <c r="E594" s="198"/>
      <c r="F594" s="198"/>
      <c r="G594" s="198"/>
      <c r="H594" s="198"/>
      <c r="I594" s="198"/>
    </row>
    <row r="595" spans="2:9" x14ac:dyDescent="0.25">
      <c r="B595" s="198"/>
      <c r="C595" s="198"/>
      <c r="D595" s="198"/>
      <c r="E595" s="198"/>
      <c r="F595" s="198"/>
      <c r="G595" s="198"/>
      <c r="H595" s="198"/>
      <c r="I595" s="198"/>
    </row>
    <row r="596" spans="2:9" x14ac:dyDescent="0.25">
      <c r="B596" s="198"/>
      <c r="C596" s="198"/>
      <c r="D596" s="198"/>
      <c r="E596" s="198"/>
      <c r="F596" s="198"/>
      <c r="G596" s="198"/>
      <c r="H596" s="198"/>
      <c r="I596" s="198"/>
    </row>
    <row r="597" spans="2:9" x14ac:dyDescent="0.25">
      <c r="B597" s="198"/>
      <c r="C597" s="198"/>
      <c r="D597" s="198"/>
      <c r="E597" s="198"/>
      <c r="F597" s="198"/>
      <c r="G597" s="198"/>
      <c r="H597" s="198"/>
      <c r="I597" s="198"/>
    </row>
    <row r="598" spans="2:9" x14ac:dyDescent="0.25">
      <c r="B598" s="198"/>
      <c r="C598" s="198"/>
      <c r="D598" s="198"/>
      <c r="E598" s="198"/>
      <c r="F598" s="198"/>
      <c r="G598" s="198"/>
      <c r="H598" s="198"/>
      <c r="I598" s="198"/>
    </row>
    <row r="599" spans="2:9" x14ac:dyDescent="0.25">
      <c r="B599" s="198"/>
      <c r="C599" s="198"/>
      <c r="D599" s="198"/>
      <c r="E599" s="198"/>
      <c r="F599" s="198"/>
      <c r="G599" s="198"/>
      <c r="H599" s="198"/>
      <c r="I599" s="198"/>
    </row>
    <row r="600" spans="2:9" x14ac:dyDescent="0.25">
      <c r="B600" s="198"/>
      <c r="C600" s="198"/>
      <c r="D600" s="198"/>
      <c r="E600" s="198"/>
      <c r="F600" s="198"/>
      <c r="G600" s="198"/>
      <c r="H600" s="198"/>
      <c r="I600" s="198"/>
    </row>
    <row r="601" spans="2:9" x14ac:dyDescent="0.25">
      <c r="B601" s="198"/>
      <c r="C601" s="198"/>
      <c r="D601" s="198"/>
      <c r="E601" s="198"/>
      <c r="F601" s="198"/>
      <c r="G601" s="198"/>
      <c r="H601" s="198"/>
      <c r="I601" s="198"/>
    </row>
    <row r="602" spans="2:9" x14ac:dyDescent="0.25">
      <c r="B602" s="198"/>
      <c r="C602" s="198"/>
      <c r="D602" s="198"/>
      <c r="E602" s="198"/>
      <c r="F602" s="198"/>
      <c r="G602" s="198"/>
      <c r="H602" s="198"/>
      <c r="I602" s="198"/>
    </row>
    <row r="603" spans="2:9" x14ac:dyDescent="0.25">
      <c r="B603" s="198"/>
      <c r="C603" s="198"/>
      <c r="D603" s="198"/>
      <c r="E603" s="198"/>
      <c r="F603" s="198"/>
      <c r="G603" s="198"/>
      <c r="H603" s="198"/>
      <c r="I603" s="198"/>
    </row>
    <row r="604" spans="2:9" x14ac:dyDescent="0.25">
      <c r="B604" s="198"/>
      <c r="C604" s="198"/>
      <c r="D604" s="198"/>
      <c r="E604" s="198"/>
      <c r="F604" s="198"/>
      <c r="G604" s="198"/>
      <c r="H604" s="198"/>
      <c r="I604" s="198"/>
    </row>
    <row r="605" spans="2:9" x14ac:dyDescent="0.25">
      <c r="B605" s="198"/>
      <c r="C605" s="198"/>
      <c r="D605" s="198"/>
      <c r="E605" s="198"/>
      <c r="F605" s="198"/>
      <c r="G605" s="198"/>
      <c r="H605" s="198"/>
      <c r="I605" s="198"/>
    </row>
    <row r="606" spans="2:9" x14ac:dyDescent="0.25">
      <c r="B606" s="198"/>
      <c r="C606" s="198"/>
      <c r="D606" s="198"/>
      <c r="E606" s="198"/>
      <c r="F606" s="198"/>
      <c r="G606" s="198"/>
      <c r="H606" s="198"/>
      <c r="I606" s="198"/>
    </row>
    <row r="607" spans="2:9" x14ac:dyDescent="0.25">
      <c r="B607" s="198"/>
      <c r="C607" s="198"/>
      <c r="D607" s="198"/>
      <c r="E607" s="198"/>
      <c r="F607" s="198"/>
      <c r="G607" s="198"/>
      <c r="H607" s="198"/>
      <c r="I607" s="198"/>
    </row>
    <row r="608" spans="2:9" x14ac:dyDescent="0.25">
      <c r="B608" s="198"/>
      <c r="C608" s="198"/>
      <c r="D608" s="198"/>
      <c r="E608" s="198"/>
      <c r="F608" s="198"/>
      <c r="G608" s="198"/>
      <c r="H608" s="198"/>
      <c r="I608" s="198"/>
    </row>
    <row r="609" spans="2:9" x14ac:dyDescent="0.25">
      <c r="B609" s="198"/>
      <c r="C609" s="198"/>
      <c r="D609" s="198"/>
      <c r="E609" s="198"/>
      <c r="F609" s="198"/>
      <c r="G609" s="198"/>
      <c r="H609" s="198"/>
      <c r="I609" s="198"/>
    </row>
    <row r="610" spans="2:9" x14ac:dyDescent="0.25">
      <c r="B610" s="198"/>
      <c r="C610" s="198"/>
      <c r="D610" s="198"/>
      <c r="E610" s="198"/>
      <c r="F610" s="198"/>
      <c r="G610" s="198"/>
      <c r="H610" s="198"/>
      <c r="I610" s="198"/>
    </row>
    <row r="611" spans="2:9" x14ac:dyDescent="0.25">
      <c r="B611" s="198"/>
      <c r="C611" s="198"/>
      <c r="D611" s="198"/>
      <c r="E611" s="198"/>
      <c r="F611" s="198"/>
      <c r="G611" s="198"/>
      <c r="H611" s="198"/>
      <c r="I611" s="198"/>
    </row>
    <row r="612" spans="2:9" x14ac:dyDescent="0.25">
      <c r="B612" s="198"/>
      <c r="C612" s="198"/>
      <c r="D612" s="198"/>
      <c r="E612" s="198"/>
      <c r="F612" s="198"/>
      <c r="G612" s="198"/>
      <c r="H612" s="198"/>
      <c r="I612" s="198"/>
    </row>
    <row r="613" spans="2:9" x14ac:dyDescent="0.25">
      <c r="B613" s="198"/>
      <c r="C613" s="198"/>
      <c r="D613" s="198"/>
      <c r="E613" s="198"/>
      <c r="F613" s="198"/>
      <c r="G613" s="198"/>
      <c r="H613" s="198"/>
      <c r="I613" s="198"/>
    </row>
    <row r="614" spans="2:9" x14ac:dyDescent="0.25">
      <c r="B614" s="198"/>
      <c r="C614" s="198"/>
      <c r="D614" s="198"/>
      <c r="E614" s="198"/>
      <c r="F614" s="198"/>
      <c r="G614" s="198"/>
      <c r="H614" s="198"/>
      <c r="I614" s="198"/>
    </row>
    <row r="615" spans="2:9" x14ac:dyDescent="0.25">
      <c r="B615" s="198"/>
      <c r="C615" s="198"/>
      <c r="D615" s="198"/>
      <c r="E615" s="198"/>
      <c r="F615" s="198"/>
      <c r="G615" s="198"/>
      <c r="H615" s="198"/>
      <c r="I615" s="198"/>
    </row>
    <row r="616" spans="2:9" x14ac:dyDescent="0.25">
      <c r="B616" s="198"/>
      <c r="C616" s="198"/>
      <c r="D616" s="198"/>
      <c r="E616" s="198"/>
      <c r="F616" s="198"/>
      <c r="G616" s="198"/>
      <c r="H616" s="198"/>
      <c r="I616" s="198"/>
    </row>
    <row r="617" spans="2:9" x14ac:dyDescent="0.25">
      <c r="B617" s="198"/>
      <c r="C617" s="198"/>
      <c r="D617" s="198"/>
      <c r="E617" s="198"/>
      <c r="F617" s="198"/>
      <c r="G617" s="198"/>
      <c r="H617" s="198"/>
      <c r="I617" s="198"/>
    </row>
    <row r="618" spans="2:9" x14ac:dyDescent="0.25">
      <c r="B618" s="198"/>
      <c r="C618" s="198"/>
      <c r="D618" s="198"/>
      <c r="E618" s="198"/>
      <c r="F618" s="198"/>
      <c r="G618" s="198"/>
      <c r="H618" s="198"/>
      <c r="I618" s="198"/>
    </row>
    <row r="619" spans="2:9" x14ac:dyDescent="0.25">
      <c r="B619" s="198"/>
      <c r="C619" s="198"/>
      <c r="D619" s="198"/>
      <c r="E619" s="198"/>
      <c r="F619" s="198"/>
      <c r="G619" s="198"/>
      <c r="H619" s="198"/>
      <c r="I619" s="198"/>
    </row>
    <row r="620" spans="2:9" x14ac:dyDescent="0.25">
      <c r="B620" s="198"/>
      <c r="C620" s="198"/>
      <c r="D620" s="198"/>
      <c r="E620" s="198"/>
      <c r="F620" s="198"/>
      <c r="G620" s="198"/>
      <c r="H620" s="198"/>
      <c r="I620" s="198"/>
    </row>
    <row r="621" spans="2:9" x14ac:dyDescent="0.25">
      <c r="B621" s="198"/>
      <c r="C621" s="198"/>
      <c r="D621" s="198"/>
      <c r="E621" s="198"/>
      <c r="F621" s="198"/>
      <c r="G621" s="198"/>
      <c r="H621" s="198"/>
      <c r="I621" s="198"/>
    </row>
    <row r="622" spans="2:9" x14ac:dyDescent="0.25">
      <c r="B622" s="198"/>
      <c r="C622" s="198"/>
      <c r="D622" s="198"/>
      <c r="E622" s="198"/>
      <c r="F622" s="198"/>
      <c r="G622" s="198"/>
      <c r="H622" s="198"/>
      <c r="I622" s="198"/>
    </row>
    <row r="623" spans="2:9" x14ac:dyDescent="0.25">
      <c r="B623" s="198"/>
      <c r="C623" s="198"/>
      <c r="D623" s="198"/>
      <c r="E623" s="198"/>
      <c r="F623" s="198"/>
      <c r="G623" s="198"/>
      <c r="H623" s="198"/>
      <c r="I623" s="198"/>
    </row>
    <row r="624" spans="2:9" x14ac:dyDescent="0.25">
      <c r="B624" s="198"/>
      <c r="C624" s="198"/>
      <c r="D624" s="198"/>
      <c r="E624" s="198"/>
      <c r="F624" s="198"/>
      <c r="G624" s="198"/>
      <c r="H624" s="198"/>
      <c r="I624" s="198"/>
    </row>
    <row r="625" spans="2:9" x14ac:dyDescent="0.25">
      <c r="B625" s="198"/>
      <c r="C625" s="198"/>
      <c r="D625" s="198"/>
      <c r="E625" s="198"/>
      <c r="F625" s="198"/>
      <c r="G625" s="198"/>
      <c r="H625" s="198"/>
      <c r="I625" s="198"/>
    </row>
    <row r="626" spans="2:9" x14ac:dyDescent="0.25">
      <c r="B626" s="198"/>
      <c r="C626" s="198"/>
      <c r="D626" s="198"/>
      <c r="E626" s="198"/>
      <c r="F626" s="198"/>
      <c r="G626" s="198"/>
      <c r="H626" s="198"/>
      <c r="I626" s="198"/>
    </row>
    <row r="627" spans="2:9" x14ac:dyDescent="0.25">
      <c r="B627" s="198"/>
      <c r="C627" s="198"/>
      <c r="D627" s="198"/>
      <c r="E627" s="198"/>
      <c r="F627" s="198"/>
      <c r="G627" s="198"/>
      <c r="H627" s="198"/>
      <c r="I627" s="198"/>
    </row>
    <row r="628" spans="2:9" x14ac:dyDescent="0.25">
      <c r="B628" s="198"/>
      <c r="C628" s="198"/>
      <c r="D628" s="198"/>
      <c r="E628" s="198"/>
      <c r="F628" s="198"/>
      <c r="G628" s="198"/>
      <c r="H628" s="198"/>
      <c r="I628" s="198"/>
    </row>
    <row r="629" spans="2:9" x14ac:dyDescent="0.25">
      <c r="B629" s="198"/>
      <c r="C629" s="198"/>
      <c r="D629" s="198"/>
      <c r="E629" s="198"/>
      <c r="F629" s="198"/>
      <c r="G629" s="198"/>
      <c r="H629" s="198"/>
      <c r="I629" s="198"/>
    </row>
    <row r="630" spans="2:9" x14ac:dyDescent="0.25">
      <c r="B630" s="198"/>
      <c r="C630" s="198"/>
      <c r="D630" s="198"/>
      <c r="E630" s="198"/>
      <c r="F630" s="198"/>
      <c r="G630" s="198"/>
      <c r="H630" s="198"/>
      <c r="I630" s="198"/>
    </row>
    <row r="631" spans="2:9" x14ac:dyDescent="0.25">
      <c r="B631" s="198"/>
      <c r="C631" s="198"/>
      <c r="D631" s="198"/>
      <c r="E631" s="198"/>
      <c r="F631" s="198"/>
      <c r="G631" s="198"/>
      <c r="H631" s="198"/>
      <c r="I631" s="198"/>
    </row>
    <row r="632" spans="2:9" x14ac:dyDescent="0.25">
      <c r="B632" s="198"/>
      <c r="C632" s="198"/>
      <c r="D632" s="198"/>
      <c r="E632" s="198"/>
      <c r="F632" s="198"/>
      <c r="G632" s="198"/>
      <c r="H632" s="198"/>
      <c r="I632" s="198"/>
    </row>
    <row r="633" spans="2:9" x14ac:dyDescent="0.25">
      <c r="B633" s="198"/>
      <c r="C633" s="198"/>
      <c r="D633" s="198"/>
      <c r="E633" s="198"/>
      <c r="F633" s="198"/>
      <c r="G633" s="198"/>
      <c r="H633" s="198"/>
      <c r="I633" s="198"/>
    </row>
    <row r="634" spans="2:9" x14ac:dyDescent="0.25">
      <c r="B634" s="198"/>
      <c r="C634" s="198"/>
      <c r="D634" s="198"/>
      <c r="E634" s="198"/>
      <c r="F634" s="198"/>
      <c r="G634" s="198"/>
      <c r="H634" s="198"/>
      <c r="I634" s="198"/>
    </row>
    <row r="635" spans="2:9" x14ac:dyDescent="0.25">
      <c r="B635" s="198"/>
      <c r="C635" s="198"/>
      <c r="D635" s="198"/>
      <c r="E635" s="198"/>
      <c r="F635" s="198"/>
      <c r="G635" s="198"/>
      <c r="H635" s="198"/>
      <c r="I635" s="198"/>
    </row>
    <row r="636" spans="2:9" x14ac:dyDescent="0.25">
      <c r="B636" s="198"/>
      <c r="C636" s="198"/>
      <c r="D636" s="198"/>
      <c r="E636" s="198"/>
      <c r="F636" s="198"/>
      <c r="G636" s="198"/>
      <c r="H636" s="198"/>
      <c r="I636" s="198"/>
    </row>
    <row r="637" spans="2:9" x14ac:dyDescent="0.25">
      <c r="B637" s="198"/>
      <c r="C637" s="198"/>
      <c r="D637" s="198"/>
      <c r="E637" s="198"/>
      <c r="F637" s="198"/>
      <c r="G637" s="198"/>
      <c r="H637" s="198"/>
      <c r="I637" s="198"/>
    </row>
    <row r="638" spans="2:9" x14ac:dyDescent="0.25">
      <c r="B638" s="198"/>
      <c r="C638" s="198"/>
      <c r="D638" s="198"/>
      <c r="E638" s="198"/>
      <c r="F638" s="198"/>
      <c r="G638" s="198"/>
      <c r="H638" s="198"/>
      <c r="I638" s="198"/>
    </row>
    <row r="639" spans="2:9" x14ac:dyDescent="0.25">
      <c r="B639" s="198"/>
      <c r="C639" s="198"/>
      <c r="D639" s="198"/>
      <c r="E639" s="198"/>
      <c r="F639" s="198"/>
      <c r="G639" s="198"/>
      <c r="H639" s="198"/>
      <c r="I639" s="198"/>
    </row>
    <row r="640" spans="2:9" x14ac:dyDescent="0.25">
      <c r="B640" s="198"/>
      <c r="C640" s="198"/>
      <c r="D640" s="198"/>
      <c r="E640" s="198"/>
      <c r="F640" s="198"/>
      <c r="G640" s="198"/>
      <c r="H640" s="198"/>
      <c r="I640" s="198"/>
    </row>
    <row r="641" spans="2:9" x14ac:dyDescent="0.25">
      <c r="B641" s="198"/>
      <c r="C641" s="198"/>
      <c r="D641" s="198"/>
      <c r="E641" s="198"/>
      <c r="F641" s="198"/>
      <c r="G641" s="198"/>
      <c r="H641" s="198"/>
      <c r="I641" s="198"/>
    </row>
    <row r="642" spans="2:9" x14ac:dyDescent="0.25">
      <c r="B642" s="198"/>
      <c r="C642" s="198"/>
      <c r="D642" s="198"/>
      <c r="E642" s="198"/>
      <c r="F642" s="198"/>
      <c r="G642" s="198"/>
      <c r="H642" s="198"/>
      <c r="I642" s="198"/>
    </row>
    <row r="643" spans="2:9" x14ac:dyDescent="0.25">
      <c r="B643" s="198"/>
      <c r="C643" s="198"/>
      <c r="D643" s="198"/>
      <c r="E643" s="198"/>
      <c r="F643" s="198"/>
      <c r="G643" s="198"/>
      <c r="H643" s="198"/>
      <c r="I643" s="198"/>
    </row>
    <row r="644" spans="2:9" x14ac:dyDescent="0.25">
      <c r="B644" s="198"/>
      <c r="C644" s="198"/>
      <c r="D644" s="198"/>
      <c r="E644" s="198"/>
      <c r="F644" s="198"/>
      <c r="G644" s="198"/>
      <c r="H644" s="198"/>
      <c r="I644" s="198"/>
    </row>
    <row r="645" spans="2:9" x14ac:dyDescent="0.25">
      <c r="B645" s="198"/>
      <c r="C645" s="198"/>
      <c r="D645" s="198"/>
      <c r="E645" s="198"/>
      <c r="F645" s="198"/>
      <c r="G645" s="198"/>
      <c r="H645" s="198"/>
      <c r="I645" s="198"/>
    </row>
    <row r="646" spans="2:9" x14ac:dyDescent="0.25">
      <c r="B646" s="198"/>
      <c r="C646" s="198"/>
      <c r="D646" s="198"/>
      <c r="E646" s="198"/>
      <c r="F646" s="198"/>
      <c r="G646" s="198"/>
      <c r="H646" s="198"/>
      <c r="I646" s="198"/>
    </row>
    <row r="647" spans="2:9" x14ac:dyDescent="0.25">
      <c r="B647" s="198"/>
      <c r="C647" s="198"/>
      <c r="D647" s="198"/>
      <c r="E647" s="198"/>
      <c r="F647" s="198"/>
      <c r="G647" s="198"/>
      <c r="H647" s="198"/>
      <c r="I647" s="198"/>
    </row>
    <row r="648" spans="2:9" x14ac:dyDescent="0.25">
      <c r="B648" s="198"/>
      <c r="C648" s="198"/>
      <c r="D648" s="198"/>
      <c r="E648" s="198"/>
      <c r="F648" s="198"/>
      <c r="G648" s="198"/>
      <c r="H648" s="198"/>
      <c r="I648" s="198"/>
    </row>
    <row r="649" spans="2:9" x14ac:dyDescent="0.25">
      <c r="B649" s="198"/>
      <c r="C649" s="198"/>
      <c r="D649" s="198"/>
      <c r="E649" s="198"/>
      <c r="F649" s="198"/>
      <c r="G649" s="198"/>
      <c r="H649" s="198"/>
      <c r="I649" s="198"/>
    </row>
    <row r="650" spans="2:9" x14ac:dyDescent="0.25">
      <c r="B650" s="198"/>
      <c r="C650" s="198"/>
      <c r="D650" s="198"/>
      <c r="E650" s="198"/>
      <c r="F650" s="198"/>
      <c r="G650" s="198"/>
      <c r="H650" s="198"/>
      <c r="I650" s="198"/>
    </row>
    <row r="651" spans="2:9" x14ac:dyDescent="0.25">
      <c r="B651" s="198"/>
      <c r="C651" s="198"/>
      <c r="D651" s="198"/>
      <c r="E651" s="198"/>
      <c r="F651" s="198"/>
      <c r="G651" s="198"/>
      <c r="H651" s="198"/>
      <c r="I651" s="198"/>
    </row>
    <row r="652" spans="2:9" x14ac:dyDescent="0.25">
      <c r="B652" s="198"/>
      <c r="C652" s="198"/>
      <c r="D652" s="198"/>
      <c r="E652" s="198"/>
      <c r="F652" s="198"/>
      <c r="G652" s="198"/>
      <c r="H652" s="198"/>
      <c r="I652" s="198"/>
    </row>
    <row r="653" spans="2:9" x14ac:dyDescent="0.25">
      <c r="B653" s="198"/>
      <c r="C653" s="198"/>
      <c r="D653" s="198"/>
      <c r="E653" s="198"/>
      <c r="F653" s="198"/>
      <c r="G653" s="198"/>
      <c r="H653" s="198"/>
      <c r="I653" s="198"/>
    </row>
    <row r="654" spans="2:9" x14ac:dyDescent="0.25">
      <c r="B654" s="198"/>
      <c r="C654" s="198"/>
      <c r="D654" s="198"/>
      <c r="E654" s="198"/>
      <c r="F654" s="198"/>
      <c r="G654" s="198"/>
      <c r="H654" s="198"/>
      <c r="I654" s="198"/>
    </row>
    <row r="655" spans="2:9" x14ac:dyDescent="0.25">
      <c r="B655" s="198"/>
      <c r="C655" s="198"/>
      <c r="D655" s="198"/>
      <c r="E655" s="198"/>
      <c r="F655" s="198"/>
      <c r="G655" s="198"/>
      <c r="H655" s="198"/>
      <c r="I655" s="198"/>
    </row>
    <row r="656" spans="2:9" x14ac:dyDescent="0.25">
      <c r="B656" s="198"/>
      <c r="C656" s="198"/>
      <c r="D656" s="198"/>
      <c r="E656" s="198"/>
      <c r="F656" s="198"/>
      <c r="G656" s="198"/>
      <c r="H656" s="198"/>
      <c r="I656" s="198"/>
    </row>
    <row r="657" spans="2:9" x14ac:dyDescent="0.25">
      <c r="B657" s="198"/>
      <c r="C657" s="198"/>
      <c r="D657" s="198"/>
      <c r="E657" s="198"/>
      <c r="F657" s="198"/>
      <c r="G657" s="198"/>
      <c r="H657" s="198"/>
      <c r="I657" s="198"/>
    </row>
    <row r="658" spans="2:9" x14ac:dyDescent="0.25">
      <c r="B658" s="198"/>
      <c r="C658" s="198"/>
      <c r="D658" s="198"/>
      <c r="E658" s="198"/>
      <c r="F658" s="198"/>
      <c r="G658" s="198"/>
      <c r="H658" s="198"/>
      <c r="I658" s="198"/>
    </row>
    <row r="659" spans="2:9" x14ac:dyDescent="0.25">
      <c r="B659" s="198"/>
      <c r="C659" s="198"/>
      <c r="D659" s="198"/>
      <c r="E659" s="198"/>
      <c r="F659" s="198"/>
      <c r="G659" s="198"/>
      <c r="H659" s="198"/>
      <c r="I659" s="198"/>
    </row>
    <row r="660" spans="2:9" x14ac:dyDescent="0.25">
      <c r="B660" s="198"/>
      <c r="C660" s="198"/>
      <c r="D660" s="198"/>
      <c r="E660" s="198"/>
      <c r="F660" s="198"/>
      <c r="G660" s="198"/>
      <c r="H660" s="198"/>
      <c r="I660" s="198"/>
    </row>
    <row r="661" spans="2:9" x14ac:dyDescent="0.25">
      <c r="B661" s="198"/>
      <c r="C661" s="198"/>
      <c r="D661" s="198"/>
      <c r="E661" s="198"/>
      <c r="F661" s="198"/>
      <c r="G661" s="198"/>
      <c r="H661" s="198"/>
      <c r="I661" s="198"/>
    </row>
    <row r="662" spans="2:9" x14ac:dyDescent="0.25">
      <c r="B662" s="198"/>
      <c r="C662" s="198"/>
      <c r="D662" s="198"/>
      <c r="E662" s="198"/>
      <c r="F662" s="198"/>
      <c r="G662" s="198"/>
      <c r="H662" s="198"/>
      <c r="I662" s="198"/>
    </row>
    <row r="663" spans="2:9" x14ac:dyDescent="0.25">
      <c r="B663" s="198"/>
      <c r="C663" s="198"/>
      <c r="D663" s="198"/>
      <c r="E663" s="198"/>
      <c r="F663" s="198"/>
      <c r="G663" s="198"/>
      <c r="H663" s="198"/>
      <c r="I663" s="198"/>
    </row>
    <row r="664" spans="2:9" x14ac:dyDescent="0.25">
      <c r="B664" s="198"/>
      <c r="C664" s="198"/>
      <c r="D664" s="198"/>
      <c r="E664" s="198"/>
      <c r="F664" s="198"/>
      <c r="G664" s="198"/>
      <c r="H664" s="198"/>
      <c r="I664" s="198"/>
    </row>
    <row r="665" spans="2:9" x14ac:dyDescent="0.25">
      <c r="B665" s="198"/>
      <c r="C665" s="198"/>
      <c r="D665" s="198"/>
      <c r="E665" s="198"/>
      <c r="F665" s="198"/>
      <c r="G665" s="198"/>
      <c r="H665" s="198"/>
      <c r="I665" s="198"/>
    </row>
    <row r="666" spans="2:9" x14ac:dyDescent="0.25">
      <c r="B666" s="198"/>
      <c r="C666" s="198"/>
      <c r="D666" s="198"/>
      <c r="E666" s="198"/>
      <c r="F666" s="198"/>
      <c r="G666" s="198"/>
      <c r="H666" s="198"/>
      <c r="I666" s="198"/>
    </row>
    <row r="667" spans="2:9" x14ac:dyDescent="0.25">
      <c r="B667" s="198"/>
      <c r="C667" s="198"/>
      <c r="D667" s="198"/>
      <c r="E667" s="198"/>
      <c r="F667" s="198"/>
      <c r="G667" s="198"/>
      <c r="H667" s="198"/>
      <c r="I667" s="198"/>
    </row>
    <row r="668" spans="2:9" x14ac:dyDescent="0.25">
      <c r="B668" s="198"/>
      <c r="C668" s="198"/>
      <c r="D668" s="198"/>
      <c r="E668" s="198"/>
      <c r="F668" s="198"/>
      <c r="G668" s="198"/>
      <c r="H668" s="198"/>
      <c r="I668" s="198"/>
    </row>
    <row r="669" spans="2:9" x14ac:dyDescent="0.25">
      <c r="B669" s="198"/>
      <c r="C669" s="198"/>
      <c r="D669" s="198"/>
      <c r="E669" s="198"/>
      <c r="F669" s="198"/>
      <c r="G669" s="198"/>
      <c r="H669" s="198"/>
      <c r="I669" s="198"/>
    </row>
    <row r="670" spans="2:9" x14ac:dyDescent="0.25">
      <c r="B670" s="198"/>
      <c r="C670" s="198"/>
      <c r="D670" s="198"/>
      <c r="E670" s="198"/>
      <c r="F670" s="198"/>
      <c r="G670" s="198"/>
      <c r="H670" s="198"/>
      <c r="I670" s="198"/>
    </row>
    <row r="671" spans="2:9" x14ac:dyDescent="0.25">
      <c r="B671" s="198"/>
      <c r="C671" s="198"/>
      <c r="D671" s="198"/>
      <c r="E671" s="198"/>
      <c r="F671" s="198"/>
      <c r="G671" s="198"/>
      <c r="H671" s="198"/>
      <c r="I671" s="198"/>
    </row>
    <row r="672" spans="2:9" x14ac:dyDescent="0.25">
      <c r="B672" s="198"/>
      <c r="C672" s="198"/>
      <c r="D672" s="198"/>
      <c r="E672" s="198"/>
      <c r="F672" s="198"/>
      <c r="G672" s="198"/>
      <c r="H672" s="198"/>
      <c r="I672" s="198"/>
    </row>
    <row r="673" spans="2:9" x14ac:dyDescent="0.25">
      <c r="B673" s="198"/>
      <c r="C673" s="198"/>
      <c r="D673" s="198"/>
      <c r="E673" s="198"/>
      <c r="F673" s="198"/>
      <c r="G673" s="198"/>
      <c r="H673" s="198"/>
      <c r="I673" s="198"/>
    </row>
    <row r="674" spans="2:9" x14ac:dyDescent="0.25">
      <c r="B674" s="198"/>
      <c r="C674" s="198"/>
      <c r="D674" s="198"/>
      <c r="E674" s="198"/>
      <c r="F674" s="198"/>
      <c r="G674" s="198"/>
      <c r="H674" s="198"/>
      <c r="I674" s="198"/>
    </row>
    <row r="675" spans="2:9" x14ac:dyDescent="0.25">
      <c r="B675" s="198"/>
      <c r="C675" s="198"/>
      <c r="D675" s="198"/>
      <c r="E675" s="198"/>
      <c r="F675" s="198"/>
      <c r="G675" s="198"/>
      <c r="H675" s="198"/>
      <c r="I675" s="198"/>
    </row>
    <row r="676" spans="2:9" x14ac:dyDescent="0.25">
      <c r="B676" s="198"/>
      <c r="C676" s="198"/>
      <c r="D676" s="198"/>
      <c r="E676" s="198"/>
      <c r="F676" s="198"/>
      <c r="G676" s="198"/>
      <c r="H676" s="198"/>
      <c r="I676" s="198"/>
    </row>
    <row r="677" spans="2:9" x14ac:dyDescent="0.25">
      <c r="B677" s="198"/>
      <c r="C677" s="198"/>
      <c r="D677" s="198"/>
      <c r="E677" s="198"/>
      <c r="F677" s="198"/>
      <c r="G677" s="198"/>
      <c r="H677" s="198"/>
      <c r="I677" s="198"/>
    </row>
    <row r="678" spans="2:9" x14ac:dyDescent="0.25">
      <c r="B678" s="198"/>
      <c r="C678" s="198"/>
      <c r="D678" s="198"/>
      <c r="E678" s="198"/>
      <c r="F678" s="198"/>
      <c r="G678" s="198"/>
      <c r="H678" s="198"/>
      <c r="I678" s="198"/>
    </row>
    <row r="679" spans="2:9" x14ac:dyDescent="0.25">
      <c r="B679" s="198"/>
      <c r="C679" s="198"/>
      <c r="D679" s="198"/>
      <c r="E679" s="198"/>
      <c r="F679" s="198"/>
      <c r="G679" s="198"/>
      <c r="H679" s="198"/>
      <c r="I679" s="198"/>
    </row>
    <row r="680" spans="2:9" x14ac:dyDescent="0.25">
      <c r="B680" s="198"/>
      <c r="C680" s="198"/>
      <c r="D680" s="198"/>
      <c r="E680" s="198"/>
      <c r="F680" s="198"/>
      <c r="G680" s="198"/>
      <c r="H680" s="198"/>
      <c r="I680" s="198"/>
    </row>
    <row r="681" spans="2:9" x14ac:dyDescent="0.25">
      <c r="B681" s="198"/>
      <c r="C681" s="198"/>
      <c r="D681" s="198"/>
      <c r="E681" s="198"/>
      <c r="F681" s="198"/>
      <c r="G681" s="198"/>
      <c r="H681" s="198"/>
      <c r="I681" s="198"/>
    </row>
    <row r="682" spans="2:9" x14ac:dyDescent="0.25">
      <c r="B682" s="198"/>
      <c r="C682" s="198"/>
      <c r="D682" s="198"/>
      <c r="E682" s="198"/>
      <c r="F682" s="198"/>
      <c r="G682" s="198"/>
      <c r="H682" s="198"/>
      <c r="I682" s="198"/>
    </row>
    <row r="683" spans="2:9" x14ac:dyDescent="0.25">
      <c r="B683" s="198"/>
      <c r="C683" s="198"/>
      <c r="D683" s="198"/>
      <c r="E683" s="198"/>
      <c r="F683" s="198"/>
      <c r="G683" s="198"/>
      <c r="H683" s="198"/>
      <c r="I683" s="198"/>
    </row>
    <row r="684" spans="2:9" x14ac:dyDescent="0.25">
      <c r="B684" s="198"/>
      <c r="C684" s="198"/>
      <c r="D684" s="198"/>
      <c r="E684" s="198"/>
      <c r="F684" s="198"/>
      <c r="G684" s="198"/>
      <c r="H684" s="198"/>
      <c r="I684" s="198"/>
    </row>
    <row r="685" spans="2:9" x14ac:dyDescent="0.25">
      <c r="B685" s="198"/>
      <c r="C685" s="198"/>
      <c r="D685" s="198"/>
      <c r="E685" s="198"/>
      <c r="F685" s="198"/>
      <c r="G685" s="198"/>
      <c r="H685" s="198"/>
      <c r="I685" s="198"/>
    </row>
    <row r="686" spans="2:9" x14ac:dyDescent="0.25">
      <c r="B686" s="198"/>
      <c r="C686" s="198"/>
      <c r="D686" s="198"/>
      <c r="E686" s="198"/>
      <c r="F686" s="198"/>
      <c r="G686" s="198"/>
      <c r="H686" s="198"/>
      <c r="I686" s="198"/>
    </row>
    <row r="687" spans="2:9" x14ac:dyDescent="0.25">
      <c r="B687" s="198"/>
      <c r="C687" s="198"/>
      <c r="D687" s="198"/>
      <c r="E687" s="198"/>
      <c r="F687" s="198"/>
      <c r="G687" s="198"/>
      <c r="H687" s="198"/>
      <c r="I687" s="198"/>
    </row>
    <row r="688" spans="2:9" x14ac:dyDescent="0.25">
      <c r="B688" s="198"/>
      <c r="C688" s="198"/>
      <c r="D688" s="198"/>
      <c r="E688" s="198"/>
      <c r="F688" s="198"/>
      <c r="G688" s="198"/>
      <c r="H688" s="198"/>
      <c r="I688" s="198"/>
    </row>
    <row r="689" spans="2:9" x14ac:dyDescent="0.25">
      <c r="B689" s="198"/>
      <c r="C689" s="198"/>
      <c r="D689" s="198"/>
      <c r="E689" s="198"/>
      <c r="F689" s="198"/>
      <c r="G689" s="198"/>
      <c r="H689" s="198"/>
      <c r="I689" s="198"/>
    </row>
    <row r="690" spans="2:9" x14ac:dyDescent="0.25">
      <c r="B690" s="198"/>
      <c r="C690" s="198"/>
      <c r="D690" s="198"/>
      <c r="E690" s="198"/>
      <c r="F690" s="198"/>
      <c r="G690" s="198"/>
      <c r="H690" s="198"/>
      <c r="I690" s="198"/>
    </row>
    <row r="691" spans="2:9" x14ac:dyDescent="0.25">
      <c r="B691" s="198"/>
      <c r="C691" s="198"/>
      <c r="D691" s="198"/>
      <c r="E691" s="198"/>
      <c r="F691" s="198"/>
      <c r="G691" s="198"/>
      <c r="H691" s="198"/>
      <c r="I691" s="198"/>
    </row>
    <row r="692" spans="2:9" x14ac:dyDescent="0.25">
      <c r="B692" s="198"/>
      <c r="C692" s="198"/>
      <c r="D692" s="198"/>
      <c r="E692" s="198"/>
      <c r="F692" s="198"/>
      <c r="G692" s="198"/>
      <c r="H692" s="198"/>
      <c r="I692" s="198"/>
    </row>
    <row r="693" spans="2:9" x14ac:dyDescent="0.25">
      <c r="B693" s="198"/>
      <c r="C693" s="198"/>
      <c r="D693" s="198"/>
      <c r="E693" s="198"/>
      <c r="F693" s="198"/>
      <c r="G693" s="198"/>
      <c r="H693" s="198"/>
      <c r="I693" s="198"/>
    </row>
    <row r="694" spans="2:9" x14ac:dyDescent="0.25">
      <c r="B694" s="198"/>
      <c r="C694" s="198"/>
      <c r="D694" s="198"/>
      <c r="E694" s="198"/>
      <c r="F694" s="198"/>
      <c r="G694" s="198"/>
      <c r="H694" s="198"/>
      <c r="I694" s="198"/>
    </row>
    <row r="695" spans="2:9" x14ac:dyDescent="0.25">
      <c r="B695" s="198"/>
      <c r="C695" s="198"/>
      <c r="D695" s="198"/>
      <c r="E695" s="198"/>
      <c r="F695" s="198"/>
      <c r="G695" s="198"/>
      <c r="H695" s="198"/>
      <c r="I695" s="198"/>
    </row>
    <row r="696" spans="2:9" x14ac:dyDescent="0.25">
      <c r="B696" s="198"/>
      <c r="C696" s="198"/>
      <c r="D696" s="198"/>
      <c r="E696" s="198"/>
      <c r="F696" s="198"/>
      <c r="G696" s="198"/>
      <c r="H696" s="198"/>
      <c r="I696" s="198"/>
    </row>
    <row r="697" spans="2:9" x14ac:dyDescent="0.25">
      <c r="B697" s="198"/>
      <c r="C697" s="198"/>
      <c r="D697" s="198"/>
      <c r="E697" s="198"/>
      <c r="F697" s="198"/>
      <c r="G697" s="198"/>
      <c r="H697" s="198"/>
      <c r="I697" s="198"/>
    </row>
    <row r="698" spans="2:9" x14ac:dyDescent="0.25">
      <c r="B698" s="198"/>
      <c r="C698" s="198"/>
      <c r="D698" s="198"/>
      <c r="E698" s="198"/>
      <c r="F698" s="198"/>
      <c r="G698" s="198"/>
      <c r="H698" s="198"/>
      <c r="I698" s="198"/>
    </row>
    <row r="699" spans="2:9" x14ac:dyDescent="0.25">
      <c r="B699" s="198"/>
      <c r="C699" s="198"/>
      <c r="D699" s="198"/>
      <c r="E699" s="198"/>
      <c r="F699" s="198"/>
      <c r="G699" s="198"/>
      <c r="H699" s="198"/>
      <c r="I699" s="198"/>
    </row>
    <row r="700" spans="2:9" x14ac:dyDescent="0.25">
      <c r="B700" s="198"/>
      <c r="C700" s="198"/>
      <c r="D700" s="198"/>
      <c r="E700" s="198"/>
      <c r="F700" s="198"/>
      <c r="G700" s="198"/>
      <c r="H700" s="198"/>
      <c r="I700" s="198"/>
    </row>
    <row r="701" spans="2:9" x14ac:dyDescent="0.25">
      <c r="B701" s="198"/>
      <c r="C701" s="198"/>
      <c r="D701" s="198"/>
      <c r="E701" s="198"/>
      <c r="F701" s="198"/>
      <c r="G701" s="198"/>
      <c r="H701" s="198"/>
      <c r="I701" s="198"/>
    </row>
    <row r="702" spans="2:9" x14ac:dyDescent="0.25">
      <c r="B702" s="198"/>
      <c r="C702" s="198"/>
      <c r="D702" s="198"/>
      <c r="E702" s="198"/>
      <c r="F702" s="198"/>
      <c r="G702" s="198"/>
      <c r="H702" s="198"/>
      <c r="I702" s="198"/>
    </row>
    <row r="703" spans="2:9" x14ac:dyDescent="0.25">
      <c r="B703" s="198"/>
      <c r="C703" s="198"/>
      <c r="D703" s="198"/>
      <c r="E703" s="198"/>
      <c r="F703" s="198"/>
      <c r="G703" s="198"/>
      <c r="H703" s="198"/>
      <c r="I703" s="198"/>
    </row>
    <row r="704" spans="2:9" x14ac:dyDescent="0.25">
      <c r="B704" s="198"/>
      <c r="C704" s="198"/>
      <c r="D704" s="198"/>
      <c r="E704" s="198"/>
      <c r="F704" s="198"/>
      <c r="G704" s="198"/>
      <c r="H704" s="198"/>
      <c r="I704" s="198"/>
    </row>
    <row r="705" spans="2:9" x14ac:dyDescent="0.25">
      <c r="B705" s="198"/>
      <c r="C705" s="198"/>
      <c r="D705" s="198"/>
      <c r="E705" s="198"/>
      <c r="F705" s="198"/>
      <c r="G705" s="198"/>
      <c r="H705" s="198"/>
      <c r="I705" s="198"/>
    </row>
    <row r="706" spans="2:9" x14ac:dyDescent="0.25">
      <c r="B706" s="198"/>
      <c r="C706" s="198"/>
      <c r="D706" s="198"/>
      <c r="E706" s="198"/>
      <c r="F706" s="198"/>
      <c r="G706" s="198"/>
      <c r="H706" s="198"/>
      <c r="I706" s="198"/>
    </row>
    <row r="707" spans="2:9" x14ac:dyDescent="0.25">
      <c r="B707" s="198"/>
      <c r="C707" s="198"/>
      <c r="D707" s="198"/>
      <c r="E707" s="198"/>
      <c r="F707" s="198"/>
      <c r="G707" s="198"/>
      <c r="H707" s="198"/>
      <c r="I707" s="198"/>
    </row>
    <row r="708" spans="2:9" x14ac:dyDescent="0.25">
      <c r="B708" s="198"/>
      <c r="C708" s="198"/>
      <c r="D708" s="198"/>
      <c r="E708" s="198"/>
      <c r="F708" s="198"/>
      <c r="G708" s="198"/>
      <c r="H708" s="198"/>
      <c r="I708" s="198"/>
    </row>
    <row r="709" spans="2:9" x14ac:dyDescent="0.25">
      <c r="B709" s="198"/>
      <c r="C709" s="198"/>
      <c r="D709" s="198"/>
      <c r="E709" s="198"/>
      <c r="F709" s="198"/>
      <c r="G709" s="198"/>
      <c r="H709" s="198"/>
      <c r="I709" s="198"/>
    </row>
    <row r="710" spans="2:9" x14ac:dyDescent="0.25">
      <c r="B710" s="198"/>
      <c r="C710" s="198"/>
      <c r="D710" s="198"/>
      <c r="E710" s="198"/>
      <c r="F710" s="198"/>
      <c r="G710" s="198"/>
      <c r="H710" s="198"/>
      <c r="I710" s="198"/>
    </row>
    <row r="711" spans="2:9" x14ac:dyDescent="0.25">
      <c r="B711" s="198"/>
      <c r="C711" s="198"/>
      <c r="D711" s="198"/>
      <c r="E711" s="198"/>
      <c r="F711" s="198"/>
      <c r="G711" s="198"/>
      <c r="H711" s="198"/>
      <c r="I711" s="198"/>
    </row>
    <row r="712" spans="2:9" x14ac:dyDescent="0.25">
      <c r="B712" s="198"/>
      <c r="C712" s="198"/>
      <c r="D712" s="198"/>
      <c r="E712" s="198"/>
      <c r="F712" s="198"/>
      <c r="G712" s="198"/>
      <c r="H712" s="198"/>
      <c r="I712" s="198"/>
    </row>
    <row r="713" spans="2:9" x14ac:dyDescent="0.25">
      <c r="B713" s="198"/>
      <c r="C713" s="198"/>
      <c r="D713" s="198"/>
      <c r="E713" s="198"/>
      <c r="F713" s="198"/>
      <c r="G713" s="198"/>
      <c r="H713" s="198"/>
      <c r="I713" s="198"/>
    </row>
    <row r="714" spans="2:9" x14ac:dyDescent="0.25">
      <c r="B714" s="198"/>
      <c r="C714" s="198"/>
      <c r="D714" s="198"/>
      <c r="E714" s="198"/>
      <c r="F714" s="198"/>
      <c r="G714" s="198"/>
      <c r="H714" s="198"/>
      <c r="I714" s="198"/>
    </row>
    <row r="715" spans="2:9" x14ac:dyDescent="0.25">
      <c r="B715" s="198"/>
      <c r="C715" s="198"/>
      <c r="D715" s="198"/>
      <c r="E715" s="198"/>
      <c r="F715" s="198"/>
      <c r="G715" s="198"/>
      <c r="H715" s="198"/>
      <c r="I715" s="198"/>
    </row>
    <row r="716" spans="2:9" x14ac:dyDescent="0.25">
      <c r="B716" s="198"/>
      <c r="C716" s="198"/>
      <c r="D716" s="198"/>
      <c r="E716" s="198"/>
      <c r="F716" s="198"/>
      <c r="G716" s="198"/>
      <c r="H716" s="198"/>
      <c r="I716" s="198"/>
    </row>
    <row r="717" spans="2:9" x14ac:dyDescent="0.25">
      <c r="B717" s="198"/>
      <c r="C717" s="198"/>
      <c r="D717" s="198"/>
      <c r="E717" s="198"/>
      <c r="F717" s="198"/>
      <c r="G717" s="198"/>
      <c r="H717" s="198"/>
      <c r="I717" s="198"/>
    </row>
    <row r="718" spans="2:9" x14ac:dyDescent="0.25">
      <c r="B718" s="198"/>
      <c r="C718" s="198"/>
      <c r="D718" s="198"/>
      <c r="E718" s="198"/>
      <c r="F718" s="198"/>
      <c r="G718" s="198"/>
      <c r="H718" s="198"/>
      <c r="I718" s="198"/>
    </row>
    <row r="719" spans="2:9" x14ac:dyDescent="0.25">
      <c r="B719" s="198"/>
      <c r="C719" s="198"/>
      <c r="D719" s="198"/>
      <c r="E719" s="198"/>
      <c r="F719" s="198"/>
      <c r="G719" s="198"/>
      <c r="H719" s="198"/>
      <c r="I719" s="198"/>
    </row>
    <row r="720" spans="2:9" x14ac:dyDescent="0.25">
      <c r="B720" s="198"/>
      <c r="C720" s="198"/>
      <c r="D720" s="198"/>
      <c r="E720" s="198"/>
      <c r="F720" s="198"/>
      <c r="G720" s="198"/>
      <c r="H720" s="198"/>
      <c r="I720" s="198"/>
    </row>
    <row r="721" spans="2:9" x14ac:dyDescent="0.25">
      <c r="B721" s="198"/>
      <c r="C721" s="198"/>
      <c r="D721" s="198"/>
      <c r="E721" s="198"/>
      <c r="F721" s="198"/>
      <c r="G721" s="198"/>
      <c r="H721" s="198"/>
      <c r="I721" s="198"/>
    </row>
    <row r="722" spans="2:9" x14ac:dyDescent="0.25">
      <c r="B722" s="198"/>
      <c r="C722" s="198"/>
      <c r="D722" s="198"/>
      <c r="E722" s="198"/>
      <c r="F722" s="198"/>
      <c r="G722" s="198"/>
      <c r="H722" s="198"/>
      <c r="I722" s="198"/>
    </row>
    <row r="723" spans="2:9" x14ac:dyDescent="0.25">
      <c r="B723" s="198"/>
      <c r="C723" s="198"/>
      <c r="D723" s="198"/>
      <c r="E723" s="198"/>
      <c r="F723" s="198"/>
      <c r="G723" s="198"/>
      <c r="H723" s="198"/>
      <c r="I723" s="198"/>
    </row>
    <row r="724" spans="2:9" x14ac:dyDescent="0.25">
      <c r="B724" s="198"/>
      <c r="C724" s="198"/>
      <c r="D724" s="198"/>
      <c r="E724" s="198"/>
      <c r="F724" s="198"/>
      <c r="G724" s="198"/>
      <c r="H724" s="198"/>
      <c r="I724" s="198"/>
    </row>
    <row r="725" spans="2:9" x14ac:dyDescent="0.25">
      <c r="B725" s="198"/>
      <c r="C725" s="198"/>
      <c r="D725" s="198"/>
      <c r="E725" s="198"/>
      <c r="F725" s="198"/>
      <c r="G725" s="198"/>
      <c r="H725" s="198"/>
      <c r="I725" s="198"/>
    </row>
    <row r="726" spans="2:9" x14ac:dyDescent="0.25">
      <c r="B726" s="198"/>
      <c r="C726" s="198"/>
      <c r="D726" s="198"/>
      <c r="E726" s="198"/>
      <c r="F726" s="198"/>
      <c r="G726" s="198"/>
      <c r="H726" s="198"/>
      <c r="I726" s="198"/>
    </row>
    <row r="727" spans="2:9" x14ac:dyDescent="0.25">
      <c r="B727" s="198"/>
      <c r="C727" s="198"/>
      <c r="D727" s="198"/>
      <c r="E727" s="198"/>
      <c r="F727" s="198"/>
      <c r="G727" s="198"/>
      <c r="H727" s="198"/>
      <c r="I727" s="198"/>
    </row>
    <row r="728" spans="2:9" x14ac:dyDescent="0.25">
      <c r="B728" s="198"/>
      <c r="C728" s="198"/>
      <c r="D728" s="198"/>
      <c r="E728" s="198"/>
      <c r="F728" s="198"/>
      <c r="G728" s="198"/>
      <c r="H728" s="198"/>
      <c r="I728" s="198"/>
    </row>
    <row r="729" spans="2:9" x14ac:dyDescent="0.25">
      <c r="B729" s="198"/>
      <c r="C729" s="198"/>
      <c r="D729" s="198"/>
      <c r="E729" s="198"/>
      <c r="F729" s="198"/>
      <c r="G729" s="198"/>
      <c r="H729" s="198"/>
      <c r="I729" s="198"/>
    </row>
    <row r="730" spans="2:9" x14ac:dyDescent="0.25">
      <c r="B730" s="198"/>
      <c r="C730" s="198"/>
      <c r="D730" s="198"/>
      <c r="E730" s="198"/>
      <c r="F730" s="198"/>
      <c r="G730" s="198"/>
      <c r="H730" s="198"/>
      <c r="I730" s="198"/>
    </row>
    <row r="731" spans="2:9" x14ac:dyDescent="0.25">
      <c r="B731" s="198"/>
      <c r="C731" s="198"/>
      <c r="D731" s="198"/>
      <c r="E731" s="198"/>
      <c r="F731" s="198"/>
      <c r="G731" s="198"/>
      <c r="H731" s="198"/>
      <c r="I731" s="198"/>
    </row>
    <row r="732" spans="2:9" x14ac:dyDescent="0.25">
      <c r="B732" s="198"/>
      <c r="C732" s="198"/>
      <c r="D732" s="198"/>
      <c r="E732" s="198"/>
      <c r="F732" s="198"/>
      <c r="G732" s="198"/>
      <c r="H732" s="198"/>
      <c r="I732" s="198"/>
    </row>
    <row r="733" spans="2:9" x14ac:dyDescent="0.25">
      <c r="B733" s="198"/>
      <c r="C733" s="198"/>
      <c r="D733" s="198"/>
      <c r="E733" s="198"/>
      <c r="F733" s="198"/>
      <c r="G733" s="198"/>
      <c r="H733" s="198"/>
      <c r="I733" s="198"/>
    </row>
    <row r="734" spans="2:9" x14ac:dyDescent="0.25">
      <c r="B734" s="198"/>
      <c r="C734" s="198"/>
      <c r="D734" s="198"/>
      <c r="E734" s="198"/>
      <c r="F734" s="198"/>
      <c r="G734" s="198"/>
      <c r="H734" s="198"/>
      <c r="I734" s="198"/>
    </row>
    <row r="735" spans="2:9" x14ac:dyDescent="0.25">
      <c r="B735" s="198"/>
      <c r="C735" s="198"/>
      <c r="D735" s="198"/>
      <c r="E735" s="198"/>
      <c r="F735" s="198"/>
      <c r="G735" s="198"/>
      <c r="H735" s="198"/>
      <c r="I735" s="198"/>
    </row>
    <row r="736" spans="2:9" x14ac:dyDescent="0.25">
      <c r="B736" s="198"/>
      <c r="C736" s="198"/>
      <c r="D736" s="198"/>
      <c r="E736" s="198"/>
      <c r="F736" s="198"/>
      <c r="G736" s="198"/>
      <c r="H736" s="198"/>
      <c r="I736" s="198"/>
    </row>
    <row r="737" spans="2:9" x14ac:dyDescent="0.25">
      <c r="B737" s="198"/>
      <c r="C737" s="198"/>
      <c r="D737" s="198"/>
      <c r="E737" s="198"/>
      <c r="F737" s="198"/>
      <c r="G737" s="198"/>
      <c r="H737" s="198"/>
      <c r="I737" s="198"/>
    </row>
    <row r="738" spans="2:9" x14ac:dyDescent="0.25">
      <c r="B738" s="198"/>
      <c r="C738" s="198"/>
      <c r="D738" s="198"/>
      <c r="E738" s="198"/>
      <c r="F738" s="198"/>
      <c r="G738" s="198"/>
      <c r="H738" s="198"/>
      <c r="I738" s="198"/>
    </row>
    <row r="739" spans="2:9" x14ac:dyDescent="0.25">
      <c r="B739" s="198"/>
      <c r="C739" s="198"/>
      <c r="D739" s="198"/>
      <c r="E739" s="198"/>
      <c r="F739" s="198"/>
      <c r="G739" s="198"/>
      <c r="H739" s="198"/>
      <c r="I739" s="198"/>
    </row>
    <row r="740" spans="2:9" x14ac:dyDescent="0.25">
      <c r="B740" s="198"/>
      <c r="C740" s="198"/>
      <c r="D740" s="198"/>
      <c r="E740" s="198"/>
      <c r="F740" s="198"/>
      <c r="G740" s="198"/>
      <c r="H740" s="198"/>
      <c r="I740" s="198"/>
    </row>
    <row r="741" spans="2:9" x14ac:dyDescent="0.25">
      <c r="B741" s="198"/>
      <c r="C741" s="198"/>
      <c r="D741" s="198"/>
      <c r="E741" s="198"/>
      <c r="F741" s="198"/>
      <c r="G741" s="198"/>
      <c r="H741" s="198"/>
      <c r="I741" s="198"/>
    </row>
    <row r="742" spans="2:9" x14ac:dyDescent="0.25">
      <c r="B742" s="198"/>
      <c r="C742" s="198"/>
      <c r="D742" s="198"/>
      <c r="E742" s="198"/>
      <c r="F742" s="198"/>
      <c r="G742" s="198"/>
      <c r="H742" s="198"/>
      <c r="I742" s="198"/>
    </row>
    <row r="743" spans="2:9" x14ac:dyDescent="0.25">
      <c r="B743" s="198"/>
      <c r="C743" s="198"/>
      <c r="D743" s="198"/>
      <c r="E743" s="198"/>
      <c r="F743" s="198"/>
      <c r="G743" s="198"/>
      <c r="H743" s="198"/>
      <c r="I743" s="198"/>
    </row>
    <row r="744" spans="2:9" x14ac:dyDescent="0.25">
      <c r="B744" s="198"/>
      <c r="C744" s="198"/>
      <c r="D744" s="198"/>
      <c r="E744" s="198"/>
      <c r="F744" s="198"/>
      <c r="G744" s="198"/>
      <c r="H744" s="198"/>
      <c r="I744" s="198"/>
    </row>
    <row r="745" spans="2:9" x14ac:dyDescent="0.25">
      <c r="B745" s="198"/>
      <c r="C745" s="198"/>
      <c r="D745" s="198"/>
      <c r="E745" s="198"/>
      <c r="F745" s="198"/>
      <c r="G745" s="198"/>
      <c r="H745" s="198"/>
      <c r="I745" s="198"/>
    </row>
    <row r="746" spans="2:9" x14ac:dyDescent="0.25">
      <c r="B746" s="198"/>
      <c r="C746" s="198"/>
      <c r="D746" s="198"/>
      <c r="E746" s="198"/>
      <c r="F746" s="198"/>
      <c r="G746" s="198"/>
      <c r="H746" s="198"/>
      <c r="I746" s="198"/>
    </row>
    <row r="747" spans="2:9" x14ac:dyDescent="0.25">
      <c r="B747" s="198"/>
      <c r="C747" s="198"/>
      <c r="D747" s="198"/>
      <c r="E747" s="198"/>
      <c r="F747" s="198"/>
      <c r="G747" s="198"/>
      <c r="H747" s="198"/>
      <c r="I747" s="198"/>
    </row>
    <row r="748" spans="2:9" x14ac:dyDescent="0.25">
      <c r="B748" s="198"/>
      <c r="C748" s="198"/>
      <c r="D748" s="198"/>
      <c r="E748" s="198"/>
      <c r="F748" s="198"/>
      <c r="G748" s="198"/>
      <c r="H748" s="198"/>
      <c r="I748" s="198"/>
    </row>
    <row r="749" spans="2:9" x14ac:dyDescent="0.25">
      <c r="B749" s="198"/>
      <c r="C749" s="198"/>
      <c r="D749" s="198"/>
      <c r="E749" s="198"/>
      <c r="F749" s="198"/>
      <c r="G749" s="198"/>
      <c r="H749" s="198"/>
      <c r="I749" s="198"/>
    </row>
    <row r="750" spans="2:9" x14ac:dyDescent="0.25">
      <c r="B750" s="198"/>
      <c r="C750" s="198"/>
      <c r="D750" s="198"/>
      <c r="E750" s="198"/>
      <c r="F750" s="198"/>
      <c r="G750" s="198"/>
      <c r="H750" s="198"/>
      <c r="I750" s="198"/>
    </row>
    <row r="751" spans="2:9" x14ac:dyDescent="0.25">
      <c r="B751" s="198"/>
      <c r="C751" s="198"/>
      <c r="D751" s="198"/>
      <c r="E751" s="198"/>
      <c r="F751" s="198"/>
      <c r="G751" s="198"/>
      <c r="H751" s="198"/>
      <c r="I751" s="198"/>
    </row>
    <row r="752" spans="2:9" x14ac:dyDescent="0.25">
      <c r="B752" s="198"/>
      <c r="C752" s="198"/>
      <c r="D752" s="198"/>
      <c r="E752" s="198"/>
      <c r="F752" s="198"/>
      <c r="G752" s="198"/>
      <c r="H752" s="198"/>
      <c r="I752" s="198"/>
    </row>
    <row r="753" spans="2:9" x14ac:dyDescent="0.25">
      <c r="B753" s="198"/>
      <c r="C753" s="198"/>
      <c r="D753" s="198"/>
      <c r="E753" s="198"/>
      <c r="F753" s="198"/>
      <c r="G753" s="198"/>
      <c r="H753" s="198"/>
      <c r="I753" s="198"/>
    </row>
    <row r="754" spans="2:9" x14ac:dyDescent="0.25">
      <c r="B754" s="198"/>
      <c r="C754" s="198"/>
      <c r="D754" s="198"/>
      <c r="E754" s="198"/>
      <c r="F754" s="198"/>
      <c r="G754" s="198"/>
      <c r="H754" s="198"/>
      <c r="I754" s="198"/>
    </row>
    <row r="755" spans="2:9" x14ac:dyDescent="0.25">
      <c r="B755" s="198"/>
      <c r="C755" s="198"/>
      <c r="D755" s="198"/>
      <c r="E755" s="198"/>
      <c r="F755" s="198"/>
      <c r="G755" s="198"/>
      <c r="H755" s="198"/>
      <c r="I755" s="198"/>
    </row>
    <row r="756" spans="2:9" x14ac:dyDescent="0.25">
      <c r="B756" s="198"/>
      <c r="C756" s="198"/>
      <c r="D756" s="198"/>
      <c r="E756" s="198"/>
      <c r="F756" s="198"/>
      <c r="G756" s="198"/>
      <c r="H756" s="198"/>
      <c r="I756" s="198"/>
    </row>
    <row r="757" spans="2:9" x14ac:dyDescent="0.25">
      <c r="B757" s="198"/>
      <c r="C757" s="198"/>
      <c r="D757" s="198"/>
      <c r="E757" s="198"/>
      <c r="F757" s="198"/>
      <c r="G757" s="198"/>
      <c r="H757" s="198"/>
      <c r="I757" s="198"/>
    </row>
    <row r="758" spans="2:9" x14ac:dyDescent="0.25">
      <c r="B758" s="198"/>
      <c r="C758" s="198"/>
      <c r="D758" s="198"/>
      <c r="E758" s="198"/>
      <c r="F758" s="198"/>
      <c r="G758" s="198"/>
      <c r="H758" s="198"/>
      <c r="I758" s="198"/>
    </row>
    <row r="759" spans="2:9" x14ac:dyDescent="0.25">
      <c r="B759" s="198"/>
      <c r="C759" s="198"/>
      <c r="D759" s="198"/>
      <c r="E759" s="198"/>
      <c r="F759" s="198"/>
      <c r="G759" s="198"/>
      <c r="H759" s="198"/>
      <c r="I759" s="198"/>
    </row>
    <row r="760" spans="2:9" x14ac:dyDescent="0.25">
      <c r="B760" s="198"/>
      <c r="C760" s="198"/>
      <c r="D760" s="198"/>
      <c r="E760" s="198"/>
      <c r="F760" s="198"/>
      <c r="G760" s="198"/>
      <c r="H760" s="198"/>
      <c r="I760" s="198"/>
    </row>
    <row r="761" spans="2:9" x14ac:dyDescent="0.25">
      <c r="B761" s="198"/>
      <c r="C761" s="198"/>
      <c r="D761" s="198"/>
      <c r="E761" s="198"/>
      <c r="F761" s="198"/>
      <c r="G761" s="198"/>
      <c r="H761" s="198"/>
      <c r="I761" s="198"/>
    </row>
    <row r="762" spans="2:9" x14ac:dyDescent="0.25">
      <c r="B762" s="198"/>
      <c r="C762" s="198"/>
      <c r="D762" s="198"/>
      <c r="E762" s="198"/>
      <c r="F762" s="198"/>
      <c r="G762" s="198"/>
      <c r="H762" s="198"/>
      <c r="I762" s="198"/>
    </row>
    <row r="763" spans="2:9" x14ac:dyDescent="0.25">
      <c r="B763" s="198"/>
      <c r="C763" s="198"/>
      <c r="D763" s="198"/>
      <c r="E763" s="198"/>
      <c r="F763" s="198"/>
      <c r="G763" s="198"/>
      <c r="H763" s="198"/>
      <c r="I763" s="198"/>
    </row>
    <row r="764" spans="2:9" x14ac:dyDescent="0.25">
      <c r="B764" s="198"/>
      <c r="C764" s="198"/>
      <c r="D764" s="198"/>
      <c r="E764" s="198"/>
      <c r="F764" s="198"/>
      <c r="G764" s="198"/>
      <c r="H764" s="198"/>
      <c r="I764" s="198"/>
    </row>
    <row r="765" spans="2:9" x14ac:dyDescent="0.25">
      <c r="B765" s="198"/>
      <c r="C765" s="198"/>
      <c r="D765" s="198"/>
      <c r="E765" s="198"/>
      <c r="F765" s="198"/>
      <c r="G765" s="198"/>
      <c r="H765" s="198"/>
      <c r="I765" s="198"/>
    </row>
    <row r="766" spans="2:9" x14ac:dyDescent="0.25">
      <c r="B766" s="198"/>
      <c r="C766" s="198"/>
      <c r="D766" s="198"/>
      <c r="E766" s="198"/>
      <c r="F766" s="198"/>
      <c r="G766" s="198"/>
      <c r="H766" s="198"/>
      <c r="I766" s="198"/>
    </row>
    <row r="767" spans="2:9" x14ac:dyDescent="0.25">
      <c r="B767" s="198"/>
      <c r="C767" s="198"/>
      <c r="D767" s="198"/>
      <c r="E767" s="198"/>
      <c r="F767" s="198"/>
      <c r="G767" s="198"/>
      <c r="H767" s="198"/>
      <c r="I767" s="198"/>
    </row>
    <row r="768" spans="2:9" x14ac:dyDescent="0.25">
      <c r="B768" s="198"/>
      <c r="C768" s="198"/>
      <c r="D768" s="198"/>
      <c r="E768" s="198"/>
      <c r="F768" s="198"/>
      <c r="G768" s="198"/>
      <c r="H768" s="198"/>
      <c r="I768" s="198"/>
    </row>
    <row r="769" spans="2:9" x14ac:dyDescent="0.25">
      <c r="B769" s="198"/>
      <c r="C769" s="198"/>
      <c r="D769" s="198"/>
      <c r="E769" s="198"/>
      <c r="F769" s="198"/>
      <c r="G769" s="198"/>
      <c r="H769" s="198"/>
      <c r="I769" s="198"/>
    </row>
    <row r="770" spans="2:9" x14ac:dyDescent="0.25">
      <c r="B770" s="198"/>
      <c r="C770" s="198"/>
      <c r="D770" s="198"/>
      <c r="E770" s="198"/>
      <c r="F770" s="198"/>
      <c r="G770" s="198"/>
      <c r="H770" s="198"/>
      <c r="I770" s="198"/>
    </row>
    <row r="771" spans="2:9" x14ac:dyDescent="0.25">
      <c r="B771" s="198"/>
      <c r="C771" s="198"/>
      <c r="D771" s="198"/>
      <c r="E771" s="198"/>
      <c r="F771" s="198"/>
      <c r="G771" s="198"/>
      <c r="H771" s="198"/>
      <c r="I771" s="198"/>
    </row>
    <row r="772" spans="2:9" x14ac:dyDescent="0.25">
      <c r="B772" s="198"/>
      <c r="C772" s="198"/>
      <c r="D772" s="198"/>
      <c r="E772" s="198"/>
      <c r="F772" s="198"/>
      <c r="G772" s="198"/>
      <c r="H772" s="198"/>
      <c r="I772" s="198"/>
    </row>
    <row r="773" spans="2:9" x14ac:dyDescent="0.25">
      <c r="B773" s="198"/>
      <c r="C773" s="198"/>
      <c r="D773" s="198"/>
      <c r="E773" s="198"/>
      <c r="F773" s="198"/>
      <c r="G773" s="198"/>
      <c r="H773" s="198"/>
      <c r="I773" s="198"/>
    </row>
    <row r="774" spans="2:9" x14ac:dyDescent="0.25">
      <c r="B774" s="198"/>
      <c r="C774" s="198"/>
      <c r="D774" s="198"/>
      <c r="E774" s="198"/>
      <c r="F774" s="198"/>
      <c r="G774" s="198"/>
      <c r="H774" s="198"/>
      <c r="I774" s="198"/>
    </row>
    <row r="775" spans="2:9" x14ac:dyDescent="0.25">
      <c r="B775" s="198"/>
      <c r="C775" s="198"/>
      <c r="D775" s="198"/>
      <c r="E775" s="198"/>
      <c r="F775" s="198"/>
      <c r="G775" s="198"/>
      <c r="H775" s="198"/>
      <c r="I775" s="198"/>
    </row>
    <row r="776" spans="2:9" x14ac:dyDescent="0.25">
      <c r="B776" s="198"/>
      <c r="C776" s="198"/>
      <c r="D776" s="198"/>
      <c r="E776" s="198"/>
      <c r="F776" s="198"/>
      <c r="G776" s="198"/>
      <c r="H776" s="198"/>
      <c r="I776" s="198"/>
    </row>
    <row r="777" spans="2:9" x14ac:dyDescent="0.25">
      <c r="B777" s="198"/>
      <c r="C777" s="198"/>
      <c r="D777" s="198"/>
      <c r="E777" s="198"/>
      <c r="F777" s="198"/>
      <c r="G777" s="198"/>
      <c r="H777" s="198"/>
      <c r="I777" s="198"/>
    </row>
    <row r="778" spans="2:9" x14ac:dyDescent="0.25">
      <c r="B778" s="198"/>
      <c r="C778" s="198"/>
      <c r="D778" s="198"/>
      <c r="E778" s="198"/>
      <c r="F778" s="198"/>
      <c r="G778" s="198"/>
      <c r="H778" s="198"/>
      <c r="I778" s="198"/>
    </row>
    <row r="779" spans="2:9" x14ac:dyDescent="0.25">
      <c r="B779" s="198"/>
      <c r="C779" s="198"/>
      <c r="D779" s="198"/>
      <c r="E779" s="198"/>
      <c r="F779" s="198"/>
      <c r="G779" s="198"/>
      <c r="H779" s="198"/>
      <c r="I779" s="198"/>
    </row>
    <row r="780" spans="2:9" x14ac:dyDescent="0.25">
      <c r="B780" s="198"/>
      <c r="C780" s="198"/>
      <c r="D780" s="198"/>
      <c r="E780" s="198"/>
      <c r="F780" s="198"/>
      <c r="G780" s="198"/>
      <c r="H780" s="198"/>
      <c r="I780" s="198"/>
    </row>
    <row r="781" spans="2:9" x14ac:dyDescent="0.25">
      <c r="B781" s="198"/>
      <c r="C781" s="198"/>
      <c r="D781" s="198"/>
      <c r="E781" s="198"/>
      <c r="F781" s="198"/>
      <c r="G781" s="198"/>
      <c r="H781" s="198"/>
      <c r="I781" s="198"/>
    </row>
    <row r="782" spans="2:9" x14ac:dyDescent="0.25">
      <c r="B782" s="198"/>
      <c r="C782" s="198"/>
      <c r="D782" s="198"/>
      <c r="E782" s="198"/>
      <c r="F782" s="198"/>
      <c r="G782" s="198"/>
      <c r="H782" s="198"/>
      <c r="I782" s="198"/>
    </row>
    <row r="783" spans="2:9" x14ac:dyDescent="0.25">
      <c r="B783" s="198"/>
      <c r="C783" s="198"/>
      <c r="D783" s="198"/>
      <c r="E783" s="198"/>
      <c r="F783" s="198"/>
      <c r="G783" s="198"/>
      <c r="H783" s="198"/>
      <c r="I783" s="198"/>
    </row>
    <row r="784" spans="2:9" x14ac:dyDescent="0.25">
      <c r="B784" s="198"/>
      <c r="C784" s="198"/>
      <c r="D784" s="198"/>
      <c r="E784" s="198"/>
      <c r="F784" s="198"/>
      <c r="G784" s="198"/>
      <c r="H784" s="198"/>
      <c r="I784" s="198"/>
    </row>
    <row r="785" spans="2:9" x14ac:dyDescent="0.25">
      <c r="B785" s="198"/>
      <c r="C785" s="198"/>
      <c r="D785" s="198"/>
      <c r="E785" s="198"/>
      <c r="F785" s="198"/>
      <c r="G785" s="198"/>
      <c r="H785" s="198"/>
      <c r="I785" s="198"/>
    </row>
    <row r="786" spans="2:9" x14ac:dyDescent="0.25">
      <c r="B786" s="198"/>
      <c r="C786" s="198"/>
      <c r="D786" s="198"/>
      <c r="E786" s="198"/>
      <c r="F786" s="198"/>
      <c r="G786" s="198"/>
      <c r="H786" s="198"/>
      <c r="I786" s="198"/>
    </row>
    <row r="787" spans="2:9" x14ac:dyDescent="0.25">
      <c r="B787" s="198"/>
      <c r="C787" s="198"/>
      <c r="D787" s="198"/>
      <c r="E787" s="198"/>
      <c r="F787" s="198"/>
      <c r="G787" s="198"/>
      <c r="H787" s="198"/>
      <c r="I787" s="198"/>
    </row>
    <row r="788" spans="2:9" x14ac:dyDescent="0.25">
      <c r="B788" s="198"/>
      <c r="C788" s="198"/>
      <c r="D788" s="198"/>
      <c r="E788" s="198"/>
      <c r="F788" s="198"/>
      <c r="G788" s="198"/>
      <c r="H788" s="198"/>
      <c r="I788" s="198"/>
    </row>
    <row r="789" spans="2:9" x14ac:dyDescent="0.25">
      <c r="B789" s="198"/>
      <c r="C789" s="198"/>
      <c r="D789" s="198"/>
      <c r="E789" s="198"/>
      <c r="F789" s="198"/>
      <c r="G789" s="198"/>
      <c r="H789" s="198"/>
      <c r="I789" s="198"/>
    </row>
    <row r="790" spans="2:9" x14ac:dyDescent="0.25">
      <c r="B790" s="198"/>
      <c r="C790" s="198"/>
      <c r="D790" s="198"/>
      <c r="E790" s="198"/>
      <c r="F790" s="198"/>
      <c r="G790" s="198"/>
      <c r="H790" s="198"/>
      <c r="I790" s="198"/>
    </row>
    <row r="791" spans="2:9" x14ac:dyDescent="0.25">
      <c r="B791" s="198"/>
      <c r="C791" s="198"/>
      <c r="D791" s="198"/>
      <c r="E791" s="198"/>
      <c r="F791" s="198"/>
      <c r="G791" s="198"/>
      <c r="H791" s="198"/>
      <c r="I791" s="198"/>
    </row>
    <row r="792" spans="2:9" x14ac:dyDescent="0.25">
      <c r="B792" s="198"/>
      <c r="C792" s="198"/>
      <c r="D792" s="198"/>
      <c r="E792" s="198"/>
      <c r="F792" s="198"/>
      <c r="G792" s="198"/>
      <c r="H792" s="198"/>
      <c r="I792" s="198"/>
    </row>
    <row r="793" spans="2:9" x14ac:dyDescent="0.25">
      <c r="B793" s="198"/>
      <c r="C793" s="198"/>
      <c r="D793" s="198"/>
      <c r="E793" s="198"/>
      <c r="F793" s="198"/>
      <c r="G793" s="198"/>
      <c r="H793" s="198"/>
      <c r="I793" s="198"/>
    </row>
    <row r="794" spans="2:9" x14ac:dyDescent="0.25">
      <c r="B794" s="198"/>
      <c r="C794" s="198"/>
      <c r="D794" s="198"/>
      <c r="E794" s="198"/>
      <c r="F794" s="198"/>
      <c r="G794" s="198"/>
      <c r="H794" s="198"/>
      <c r="I794" s="198"/>
    </row>
    <row r="795" spans="2:9" x14ac:dyDescent="0.25">
      <c r="B795" s="198"/>
      <c r="C795" s="198"/>
      <c r="D795" s="198"/>
      <c r="E795" s="198"/>
      <c r="F795" s="198"/>
      <c r="G795" s="198"/>
      <c r="H795" s="198"/>
      <c r="I795" s="198"/>
    </row>
    <row r="796" spans="2:9" x14ac:dyDescent="0.25">
      <c r="B796" s="198"/>
      <c r="C796" s="198"/>
      <c r="D796" s="198"/>
      <c r="E796" s="198"/>
      <c r="F796" s="198"/>
      <c r="G796" s="198"/>
      <c r="H796" s="198"/>
      <c r="I796" s="198"/>
    </row>
    <row r="797" spans="2:9" x14ac:dyDescent="0.25">
      <c r="B797" s="198"/>
      <c r="C797" s="198"/>
      <c r="D797" s="198"/>
      <c r="E797" s="198"/>
      <c r="F797" s="198"/>
      <c r="G797" s="198"/>
      <c r="H797" s="198"/>
      <c r="I797" s="198"/>
    </row>
    <row r="798" spans="2:9" x14ac:dyDescent="0.25">
      <c r="B798" s="198"/>
      <c r="C798" s="198"/>
      <c r="D798" s="198"/>
      <c r="E798" s="198"/>
      <c r="F798" s="198"/>
      <c r="G798" s="198"/>
      <c r="H798" s="198"/>
      <c r="I798" s="198"/>
    </row>
    <row r="799" spans="2:9" x14ac:dyDescent="0.25">
      <c r="B799" s="198"/>
      <c r="C799" s="198"/>
      <c r="D799" s="198"/>
      <c r="E799" s="198"/>
      <c r="F799" s="198"/>
      <c r="G799" s="198"/>
      <c r="H799" s="198"/>
      <c r="I799" s="198"/>
    </row>
    <row r="800" spans="2:9" x14ac:dyDescent="0.25">
      <c r="B800" s="198"/>
      <c r="C800" s="198"/>
      <c r="D800" s="198"/>
      <c r="E800" s="198"/>
      <c r="F800" s="198"/>
      <c r="G800" s="198"/>
      <c r="H800" s="198"/>
      <c r="I800" s="198"/>
    </row>
    <row r="801" spans="2:9" x14ac:dyDescent="0.25">
      <c r="B801" s="198"/>
      <c r="C801" s="198"/>
      <c r="D801" s="198"/>
      <c r="E801" s="198"/>
      <c r="F801" s="198"/>
      <c r="G801" s="198"/>
      <c r="H801" s="198"/>
      <c r="I801" s="198"/>
    </row>
    <row r="802" spans="2:9" x14ac:dyDescent="0.25">
      <c r="B802" s="198"/>
      <c r="C802" s="198"/>
      <c r="D802" s="198"/>
      <c r="E802" s="198"/>
      <c r="F802" s="198"/>
      <c r="G802" s="198"/>
      <c r="H802" s="198"/>
      <c r="I802" s="198"/>
    </row>
    <row r="803" spans="2:9" x14ac:dyDescent="0.25">
      <c r="B803" s="198"/>
      <c r="C803" s="198"/>
      <c r="D803" s="198"/>
      <c r="E803" s="198"/>
      <c r="F803" s="198"/>
      <c r="G803" s="198"/>
      <c r="H803" s="198"/>
      <c r="I803" s="198"/>
    </row>
    <row r="804" spans="2:9" x14ac:dyDescent="0.25">
      <c r="B804" s="198"/>
      <c r="C804" s="198"/>
      <c r="D804" s="198"/>
      <c r="E804" s="198"/>
      <c r="F804" s="198"/>
      <c r="G804" s="198"/>
      <c r="H804" s="198"/>
      <c r="I804" s="198"/>
    </row>
    <row r="805" spans="2:9" x14ac:dyDescent="0.25">
      <c r="B805" s="198"/>
      <c r="C805" s="198"/>
      <c r="D805" s="198"/>
      <c r="E805" s="198"/>
      <c r="F805" s="198"/>
      <c r="G805" s="198"/>
      <c r="H805" s="198"/>
      <c r="I805" s="198"/>
    </row>
    <row r="806" spans="2:9" x14ac:dyDescent="0.25">
      <c r="B806" s="198"/>
      <c r="C806" s="198"/>
      <c r="D806" s="198"/>
      <c r="E806" s="198"/>
      <c r="F806" s="198"/>
      <c r="G806" s="198"/>
      <c r="H806" s="198"/>
      <c r="I806" s="198"/>
    </row>
    <row r="807" spans="2:9" x14ac:dyDescent="0.25">
      <c r="B807" s="198"/>
      <c r="C807" s="198"/>
      <c r="D807" s="198"/>
      <c r="E807" s="198"/>
      <c r="F807" s="198"/>
      <c r="G807" s="198"/>
      <c r="H807" s="198"/>
      <c r="I807" s="198"/>
    </row>
    <row r="808" spans="2:9" x14ac:dyDescent="0.25">
      <c r="B808" s="198"/>
      <c r="C808" s="198"/>
      <c r="D808" s="198"/>
      <c r="E808" s="198"/>
      <c r="F808" s="198"/>
      <c r="G808" s="198"/>
      <c r="H808" s="198"/>
      <c r="I808" s="198"/>
    </row>
    <row r="809" spans="2:9" x14ac:dyDescent="0.25">
      <c r="B809" s="198"/>
      <c r="C809" s="198"/>
      <c r="D809" s="198"/>
      <c r="E809" s="198"/>
      <c r="F809" s="198"/>
      <c r="G809" s="198"/>
      <c r="H809" s="198"/>
      <c r="I809" s="198"/>
    </row>
    <row r="810" spans="2:9" x14ac:dyDescent="0.25">
      <c r="B810" s="198"/>
      <c r="C810" s="198"/>
      <c r="D810" s="198"/>
      <c r="E810" s="198"/>
      <c r="F810" s="198"/>
      <c r="G810" s="198"/>
      <c r="H810" s="198"/>
      <c r="I810" s="198"/>
    </row>
    <row r="811" spans="2:9" x14ac:dyDescent="0.25">
      <c r="B811" s="198"/>
      <c r="C811" s="198"/>
      <c r="D811" s="198"/>
      <c r="E811" s="198"/>
      <c r="F811" s="198"/>
      <c r="G811" s="198"/>
      <c r="H811" s="198"/>
      <c r="I811" s="198"/>
    </row>
    <row r="812" spans="2:9" x14ac:dyDescent="0.25">
      <c r="B812" s="198"/>
      <c r="C812" s="198"/>
      <c r="D812" s="198"/>
      <c r="E812" s="198"/>
      <c r="F812" s="198"/>
      <c r="G812" s="198"/>
      <c r="H812" s="198"/>
      <c r="I812" s="198"/>
    </row>
    <row r="813" spans="2:9" x14ac:dyDescent="0.25">
      <c r="B813" s="198"/>
      <c r="C813" s="198"/>
      <c r="D813" s="198"/>
      <c r="E813" s="198"/>
      <c r="F813" s="198"/>
      <c r="G813" s="198"/>
      <c r="H813" s="198"/>
      <c r="I813" s="198"/>
    </row>
    <row r="814" spans="2:9" x14ac:dyDescent="0.25">
      <c r="B814" s="198"/>
      <c r="C814" s="198"/>
      <c r="D814" s="198"/>
      <c r="E814" s="198"/>
      <c r="F814" s="198"/>
      <c r="G814" s="198"/>
      <c r="H814" s="198"/>
      <c r="I814" s="198"/>
    </row>
    <row r="815" spans="2:9" x14ac:dyDescent="0.25">
      <c r="B815" s="198"/>
      <c r="C815" s="198"/>
      <c r="D815" s="198"/>
      <c r="E815" s="198"/>
      <c r="F815" s="198"/>
      <c r="G815" s="198"/>
      <c r="H815" s="198"/>
      <c r="I815" s="198"/>
    </row>
    <row r="816" spans="2:9" x14ac:dyDescent="0.25">
      <c r="B816" s="198"/>
      <c r="C816" s="198"/>
      <c r="D816" s="198"/>
      <c r="E816" s="198"/>
      <c r="F816" s="198"/>
      <c r="G816" s="198"/>
      <c r="H816" s="198"/>
      <c r="I816" s="198"/>
    </row>
    <row r="817" spans="2:9" x14ac:dyDescent="0.25">
      <c r="B817" s="198"/>
      <c r="C817" s="198"/>
      <c r="D817" s="198"/>
      <c r="E817" s="198"/>
      <c r="F817" s="198"/>
      <c r="G817" s="198"/>
      <c r="H817" s="198"/>
      <c r="I817" s="198"/>
    </row>
    <row r="818" spans="2:9" x14ac:dyDescent="0.25">
      <c r="B818" s="198"/>
      <c r="C818" s="198"/>
      <c r="D818" s="198"/>
      <c r="E818" s="198"/>
      <c r="F818" s="198"/>
      <c r="G818" s="198"/>
      <c r="H818" s="198"/>
      <c r="I818" s="198"/>
    </row>
    <row r="819" spans="2:9" x14ac:dyDescent="0.25">
      <c r="B819" s="198"/>
      <c r="C819" s="198"/>
      <c r="D819" s="198"/>
      <c r="E819" s="198"/>
      <c r="F819" s="198"/>
      <c r="G819" s="198"/>
      <c r="H819" s="198"/>
      <c r="I819" s="198"/>
    </row>
    <row r="820" spans="2:9" x14ac:dyDescent="0.25">
      <c r="B820" s="198"/>
      <c r="C820" s="198"/>
      <c r="D820" s="198"/>
      <c r="E820" s="198"/>
      <c r="F820" s="198"/>
      <c r="G820" s="198"/>
      <c r="H820" s="198"/>
      <c r="I820" s="198"/>
    </row>
    <row r="821" spans="2:9" x14ac:dyDescent="0.25">
      <c r="B821" s="198"/>
      <c r="C821" s="198"/>
      <c r="D821" s="198"/>
      <c r="E821" s="198"/>
      <c r="F821" s="198"/>
      <c r="G821" s="198"/>
      <c r="H821" s="198"/>
      <c r="I821" s="198"/>
    </row>
    <row r="822" spans="2:9" x14ac:dyDescent="0.25">
      <c r="B822" s="198"/>
      <c r="C822" s="198"/>
      <c r="D822" s="198"/>
      <c r="E822" s="198"/>
      <c r="F822" s="198"/>
      <c r="G822" s="198"/>
      <c r="H822" s="198"/>
      <c r="I822" s="198"/>
    </row>
    <row r="823" spans="2:9" x14ac:dyDescent="0.25">
      <c r="B823" s="198"/>
      <c r="C823" s="198"/>
      <c r="D823" s="198"/>
      <c r="E823" s="198"/>
      <c r="F823" s="198"/>
      <c r="G823" s="198"/>
      <c r="H823" s="198"/>
      <c r="I823" s="198"/>
    </row>
    <row r="824" spans="2:9" x14ac:dyDescent="0.25">
      <c r="B824" s="198"/>
      <c r="C824" s="198"/>
      <c r="D824" s="198"/>
      <c r="E824" s="198"/>
      <c r="F824" s="198"/>
      <c r="G824" s="198"/>
      <c r="H824" s="198"/>
      <c r="I824" s="198"/>
    </row>
    <row r="825" spans="2:9" x14ac:dyDescent="0.25">
      <c r="B825" s="198"/>
      <c r="C825" s="198"/>
      <c r="D825" s="198"/>
      <c r="E825" s="198"/>
      <c r="F825" s="198"/>
      <c r="G825" s="198"/>
      <c r="H825" s="198"/>
      <c r="I825" s="198"/>
    </row>
    <row r="826" spans="2:9" x14ac:dyDescent="0.25">
      <c r="B826" s="198"/>
      <c r="C826" s="198"/>
      <c r="D826" s="198"/>
      <c r="E826" s="198"/>
      <c r="F826" s="198"/>
      <c r="G826" s="198"/>
      <c r="H826" s="198"/>
      <c r="I826" s="198"/>
    </row>
    <row r="827" spans="2:9" x14ac:dyDescent="0.25">
      <c r="B827" s="198"/>
      <c r="C827" s="198"/>
      <c r="D827" s="198"/>
      <c r="E827" s="198"/>
      <c r="F827" s="198"/>
      <c r="G827" s="198"/>
      <c r="H827" s="198"/>
      <c r="I827" s="198"/>
    </row>
    <row r="828" spans="2:9" x14ac:dyDescent="0.25">
      <c r="B828" s="198"/>
      <c r="C828" s="198"/>
      <c r="D828" s="198"/>
      <c r="E828" s="198"/>
      <c r="F828" s="198"/>
      <c r="G828" s="198"/>
      <c r="H828" s="198"/>
      <c r="I828" s="198"/>
    </row>
    <row r="829" spans="2:9" x14ac:dyDescent="0.25">
      <c r="B829" s="198"/>
      <c r="C829" s="198"/>
      <c r="D829" s="198"/>
      <c r="E829" s="198"/>
      <c r="F829" s="198"/>
      <c r="G829" s="198"/>
      <c r="H829" s="198"/>
      <c r="I829" s="198"/>
    </row>
    <row r="830" spans="2:9" x14ac:dyDescent="0.25">
      <c r="B830" s="198"/>
      <c r="C830" s="198"/>
      <c r="D830" s="198"/>
      <c r="E830" s="198"/>
      <c r="F830" s="198"/>
      <c r="G830" s="198"/>
      <c r="H830" s="198"/>
      <c r="I830" s="198"/>
    </row>
    <row r="831" spans="2:9" x14ac:dyDescent="0.25">
      <c r="B831" s="198"/>
      <c r="C831" s="198"/>
      <c r="D831" s="198"/>
      <c r="E831" s="198"/>
      <c r="F831" s="198"/>
      <c r="G831" s="198"/>
      <c r="H831" s="198"/>
      <c r="I831" s="198"/>
    </row>
    <row r="832" spans="2:9" x14ac:dyDescent="0.25">
      <c r="B832" s="198"/>
      <c r="C832" s="198"/>
      <c r="D832" s="198"/>
      <c r="E832" s="198"/>
      <c r="F832" s="198"/>
      <c r="G832" s="198"/>
      <c r="H832" s="198"/>
      <c r="I832" s="198"/>
    </row>
    <row r="833" spans="2:9" x14ac:dyDescent="0.25">
      <c r="B833" s="198"/>
      <c r="C833" s="198"/>
      <c r="D833" s="198"/>
      <c r="E833" s="198"/>
      <c r="F833" s="198"/>
      <c r="G833" s="198"/>
      <c r="H833" s="198"/>
      <c r="I833" s="198"/>
    </row>
    <row r="834" spans="2:9" x14ac:dyDescent="0.25">
      <c r="B834" s="198"/>
      <c r="C834" s="198"/>
      <c r="D834" s="198"/>
      <c r="E834" s="198"/>
      <c r="F834" s="198"/>
      <c r="G834" s="198"/>
      <c r="H834" s="198"/>
      <c r="I834" s="198"/>
    </row>
    <row r="835" spans="2:9" x14ac:dyDescent="0.25">
      <c r="B835" s="198"/>
      <c r="C835" s="198"/>
      <c r="D835" s="198"/>
      <c r="E835" s="198"/>
      <c r="F835" s="198"/>
      <c r="G835" s="198"/>
      <c r="H835" s="198"/>
      <c r="I835" s="198"/>
    </row>
    <row r="836" spans="2:9" x14ac:dyDescent="0.25">
      <c r="B836" s="198"/>
      <c r="C836" s="198"/>
      <c r="D836" s="198"/>
      <c r="E836" s="198"/>
      <c r="F836" s="198"/>
      <c r="G836" s="198"/>
      <c r="H836" s="198"/>
      <c r="I836" s="198"/>
    </row>
    <row r="837" spans="2:9" x14ac:dyDescent="0.25">
      <c r="B837" s="198"/>
      <c r="C837" s="198"/>
      <c r="D837" s="198"/>
      <c r="E837" s="198"/>
      <c r="F837" s="198"/>
      <c r="G837" s="198"/>
      <c r="H837" s="198"/>
      <c r="I837" s="198"/>
    </row>
    <row r="838" spans="2:9" x14ac:dyDescent="0.25">
      <c r="B838" s="198"/>
      <c r="C838" s="198"/>
      <c r="D838" s="198"/>
      <c r="E838" s="198"/>
      <c r="F838" s="198"/>
      <c r="G838" s="198"/>
      <c r="H838" s="198"/>
      <c r="I838" s="198"/>
    </row>
    <row r="839" spans="2:9" x14ac:dyDescent="0.25">
      <c r="B839" s="198"/>
      <c r="C839" s="198"/>
      <c r="D839" s="198"/>
      <c r="E839" s="198"/>
      <c r="F839" s="198"/>
      <c r="G839" s="198"/>
      <c r="H839" s="198"/>
      <c r="I839" s="198"/>
    </row>
    <row r="840" spans="2:9" x14ac:dyDescent="0.25">
      <c r="B840" s="198"/>
      <c r="C840" s="198"/>
      <c r="D840" s="198"/>
      <c r="E840" s="198"/>
      <c r="F840" s="198"/>
      <c r="G840" s="198"/>
      <c r="H840" s="198"/>
      <c r="I840" s="198"/>
    </row>
    <row r="841" spans="2:9" x14ac:dyDescent="0.25">
      <c r="B841" s="198"/>
      <c r="C841" s="198"/>
      <c r="D841" s="198"/>
      <c r="E841" s="198"/>
      <c r="F841" s="198"/>
      <c r="G841" s="198"/>
      <c r="H841" s="198"/>
      <c r="I841" s="198"/>
    </row>
    <row r="842" spans="2:9" x14ac:dyDescent="0.25">
      <c r="B842" s="198"/>
      <c r="C842" s="198"/>
      <c r="D842" s="198"/>
      <c r="E842" s="198"/>
      <c r="F842" s="198"/>
      <c r="G842" s="198"/>
      <c r="H842" s="198"/>
      <c r="I842" s="198"/>
    </row>
    <row r="843" spans="2:9" x14ac:dyDescent="0.25">
      <c r="B843" s="198"/>
      <c r="C843" s="198"/>
      <c r="D843" s="198"/>
      <c r="E843" s="198"/>
      <c r="F843" s="198"/>
      <c r="G843" s="198"/>
      <c r="H843" s="198"/>
      <c r="I843" s="198"/>
    </row>
    <row r="844" spans="2:9" x14ac:dyDescent="0.25">
      <c r="B844" s="198"/>
      <c r="C844" s="198"/>
      <c r="D844" s="198"/>
      <c r="E844" s="198"/>
      <c r="F844" s="198"/>
      <c r="G844" s="198"/>
      <c r="H844" s="198"/>
      <c r="I844" s="198"/>
    </row>
    <row r="845" spans="2:9" x14ac:dyDescent="0.25">
      <c r="B845" s="198"/>
      <c r="C845" s="198"/>
      <c r="D845" s="198"/>
      <c r="E845" s="198"/>
      <c r="F845" s="198"/>
      <c r="G845" s="198"/>
      <c r="H845" s="198"/>
      <c r="I845" s="198"/>
    </row>
    <row r="846" spans="2:9" x14ac:dyDescent="0.25">
      <c r="B846" s="198"/>
      <c r="C846" s="198"/>
      <c r="D846" s="198"/>
      <c r="E846" s="198"/>
      <c r="F846" s="198"/>
      <c r="G846" s="198"/>
      <c r="H846" s="198"/>
      <c r="I846" s="198"/>
    </row>
    <row r="847" spans="2:9" x14ac:dyDescent="0.25">
      <c r="B847" s="198"/>
      <c r="C847" s="198"/>
      <c r="D847" s="198"/>
      <c r="E847" s="198"/>
      <c r="F847" s="198"/>
      <c r="G847" s="198"/>
      <c r="H847" s="198"/>
      <c r="I847" s="198"/>
    </row>
    <row r="848" spans="2:9" x14ac:dyDescent="0.25">
      <c r="B848" s="198"/>
      <c r="C848" s="198"/>
      <c r="D848" s="198"/>
      <c r="E848" s="198"/>
      <c r="F848" s="198"/>
      <c r="G848" s="198"/>
      <c r="H848" s="198"/>
      <c r="I848" s="198"/>
    </row>
    <row r="849" spans="2:9" x14ac:dyDescent="0.25">
      <c r="B849" s="198"/>
      <c r="C849" s="198"/>
      <c r="D849" s="198"/>
      <c r="E849" s="198"/>
      <c r="F849" s="198"/>
      <c r="G849" s="198"/>
      <c r="H849" s="198"/>
      <c r="I849" s="198"/>
    </row>
    <row r="850" spans="2:9" x14ac:dyDescent="0.25">
      <c r="B850" s="198"/>
      <c r="C850" s="198"/>
      <c r="D850" s="198"/>
      <c r="E850" s="198"/>
      <c r="F850" s="198"/>
      <c r="G850" s="198"/>
      <c r="H850" s="198"/>
      <c r="I850" s="198"/>
    </row>
    <row r="851" spans="2:9" x14ac:dyDescent="0.25">
      <c r="B851" s="198"/>
      <c r="C851" s="198"/>
      <c r="D851" s="198"/>
      <c r="E851" s="198"/>
      <c r="F851" s="198"/>
      <c r="G851" s="198"/>
      <c r="H851" s="198"/>
      <c r="I851" s="198"/>
    </row>
    <row r="852" spans="2:9" x14ac:dyDescent="0.25">
      <c r="B852" s="198"/>
      <c r="C852" s="198"/>
      <c r="D852" s="198"/>
      <c r="E852" s="198"/>
      <c r="F852" s="198"/>
      <c r="G852" s="198"/>
      <c r="H852" s="198"/>
      <c r="I852" s="198"/>
    </row>
    <row r="853" spans="2:9" x14ac:dyDescent="0.25">
      <c r="B853" s="198"/>
      <c r="C853" s="198"/>
      <c r="D853" s="198"/>
      <c r="E853" s="198"/>
      <c r="F853" s="198"/>
      <c r="G853" s="198"/>
      <c r="H853" s="198"/>
      <c r="I853" s="198"/>
    </row>
    <row r="854" spans="2:9" x14ac:dyDescent="0.25">
      <c r="B854" s="198"/>
      <c r="C854" s="198"/>
      <c r="D854" s="198"/>
      <c r="E854" s="198"/>
      <c r="F854" s="198"/>
      <c r="G854" s="198"/>
      <c r="H854" s="198"/>
      <c r="I854" s="198"/>
    </row>
    <row r="855" spans="2:9" x14ac:dyDescent="0.25">
      <c r="B855" s="198"/>
      <c r="C855" s="198"/>
      <c r="D855" s="198"/>
      <c r="E855" s="198"/>
      <c r="F855" s="198"/>
      <c r="G855" s="198"/>
      <c r="H855" s="198"/>
      <c r="I855" s="198"/>
    </row>
    <row r="856" spans="2:9" x14ac:dyDescent="0.25">
      <c r="B856" s="198"/>
      <c r="C856" s="198"/>
      <c r="D856" s="198"/>
      <c r="E856" s="198"/>
      <c r="F856" s="198"/>
      <c r="G856" s="198"/>
      <c r="H856" s="198"/>
      <c r="I856" s="198"/>
    </row>
    <row r="857" spans="2:9" x14ac:dyDescent="0.25">
      <c r="B857" s="198"/>
      <c r="C857" s="198"/>
      <c r="D857" s="198"/>
      <c r="E857" s="198"/>
      <c r="F857" s="198"/>
      <c r="G857" s="198"/>
      <c r="H857" s="198"/>
      <c r="I857" s="198"/>
    </row>
    <row r="858" spans="2:9" x14ac:dyDescent="0.25">
      <c r="B858" s="198"/>
      <c r="C858" s="198"/>
      <c r="D858" s="198"/>
      <c r="E858" s="198"/>
      <c r="F858" s="198"/>
      <c r="G858" s="198"/>
      <c r="H858" s="198"/>
      <c r="I858" s="198"/>
    </row>
    <row r="859" spans="2:9" x14ac:dyDescent="0.25">
      <c r="B859" s="198"/>
      <c r="C859" s="198"/>
      <c r="D859" s="198"/>
      <c r="E859" s="198"/>
      <c r="F859" s="198"/>
      <c r="G859" s="198"/>
      <c r="H859" s="198"/>
      <c r="I859" s="198"/>
    </row>
    <row r="860" spans="2:9" x14ac:dyDescent="0.25">
      <c r="B860" s="198"/>
      <c r="C860" s="198"/>
      <c r="D860" s="198"/>
      <c r="E860" s="198"/>
      <c r="F860" s="198"/>
      <c r="G860" s="198"/>
      <c r="H860" s="198"/>
      <c r="I860" s="198"/>
    </row>
    <row r="861" spans="2:9" x14ac:dyDescent="0.25">
      <c r="B861" s="198"/>
      <c r="C861" s="198"/>
      <c r="D861" s="198"/>
      <c r="E861" s="198"/>
      <c r="F861" s="198"/>
      <c r="G861" s="198"/>
      <c r="H861" s="198"/>
      <c r="I861" s="198"/>
    </row>
    <row r="862" spans="2:9" x14ac:dyDescent="0.25">
      <c r="B862" s="198"/>
      <c r="C862" s="198"/>
      <c r="D862" s="198"/>
      <c r="E862" s="198"/>
      <c r="F862" s="198"/>
      <c r="G862" s="198"/>
      <c r="H862" s="198"/>
      <c r="I862" s="198"/>
    </row>
    <row r="863" spans="2:9" x14ac:dyDescent="0.25">
      <c r="B863" s="198"/>
      <c r="C863" s="198"/>
      <c r="D863" s="198"/>
      <c r="E863" s="198"/>
      <c r="F863" s="198"/>
      <c r="G863" s="198"/>
      <c r="H863" s="198"/>
      <c r="I863" s="198"/>
    </row>
    <row r="864" spans="2:9" x14ac:dyDescent="0.25">
      <c r="B864" s="198"/>
      <c r="C864" s="198"/>
      <c r="D864" s="198"/>
      <c r="E864" s="198"/>
      <c r="F864" s="198"/>
      <c r="G864" s="198"/>
      <c r="H864" s="198"/>
      <c r="I864" s="198"/>
    </row>
    <row r="865" spans="2:9" x14ac:dyDescent="0.25">
      <c r="B865" s="198"/>
      <c r="C865" s="198"/>
      <c r="D865" s="198"/>
      <c r="E865" s="198"/>
      <c r="F865" s="198"/>
      <c r="G865" s="198"/>
      <c r="H865" s="198"/>
      <c r="I865" s="198"/>
    </row>
    <row r="866" spans="2:9" x14ac:dyDescent="0.25">
      <c r="B866" s="198"/>
      <c r="C866" s="198"/>
      <c r="D866" s="198"/>
      <c r="E866" s="198"/>
      <c r="F866" s="198"/>
      <c r="G866" s="198"/>
      <c r="H866" s="198"/>
      <c r="I866" s="198"/>
    </row>
    <row r="867" spans="2:9" x14ac:dyDescent="0.25">
      <c r="B867" s="198"/>
      <c r="C867" s="198"/>
      <c r="D867" s="198"/>
      <c r="E867" s="198"/>
      <c r="F867" s="198"/>
      <c r="G867" s="198"/>
      <c r="H867" s="198"/>
      <c r="I867" s="198"/>
    </row>
    <row r="868" spans="2:9" x14ac:dyDescent="0.25">
      <c r="B868" s="198"/>
      <c r="C868" s="198"/>
      <c r="D868" s="198"/>
      <c r="E868" s="198"/>
      <c r="F868" s="198"/>
      <c r="G868" s="198"/>
      <c r="H868" s="198"/>
      <c r="I868" s="198"/>
    </row>
    <row r="869" spans="2:9" x14ac:dyDescent="0.25">
      <c r="B869" s="198"/>
      <c r="C869" s="198"/>
      <c r="D869" s="198"/>
      <c r="E869" s="198"/>
      <c r="F869" s="198"/>
      <c r="G869" s="198"/>
      <c r="H869" s="198"/>
      <c r="I869" s="198"/>
    </row>
    <row r="870" spans="2:9" x14ac:dyDescent="0.25">
      <c r="B870" s="198"/>
      <c r="C870" s="198"/>
      <c r="D870" s="198"/>
      <c r="E870" s="198"/>
      <c r="F870" s="198"/>
      <c r="G870" s="198"/>
      <c r="H870" s="198"/>
      <c r="I870" s="198"/>
    </row>
    <row r="871" spans="2:9" x14ac:dyDescent="0.25">
      <c r="B871" s="198"/>
      <c r="C871" s="198"/>
      <c r="D871" s="198"/>
      <c r="E871" s="198"/>
      <c r="F871" s="198"/>
      <c r="G871" s="198"/>
      <c r="H871" s="198"/>
      <c r="I871" s="198"/>
    </row>
    <row r="872" spans="2:9" x14ac:dyDescent="0.25">
      <c r="B872" s="198"/>
      <c r="C872" s="198"/>
      <c r="D872" s="198"/>
      <c r="E872" s="198"/>
      <c r="F872" s="198"/>
      <c r="G872" s="198"/>
      <c r="H872" s="198"/>
      <c r="I872" s="198"/>
    </row>
    <row r="873" spans="2:9" x14ac:dyDescent="0.25">
      <c r="B873" s="198"/>
      <c r="C873" s="198"/>
      <c r="D873" s="198"/>
      <c r="E873" s="198"/>
      <c r="F873" s="198"/>
      <c r="G873" s="198"/>
      <c r="H873" s="198"/>
      <c r="I873" s="198"/>
    </row>
    <row r="874" spans="2:9" x14ac:dyDescent="0.25">
      <c r="B874" s="198"/>
      <c r="C874" s="198"/>
      <c r="D874" s="198"/>
      <c r="E874" s="198"/>
      <c r="F874" s="198"/>
      <c r="G874" s="198"/>
      <c r="H874" s="198"/>
      <c r="I874" s="198"/>
    </row>
    <row r="875" spans="2:9" x14ac:dyDescent="0.25">
      <c r="B875" s="198"/>
      <c r="C875" s="198"/>
      <c r="D875" s="198"/>
      <c r="E875" s="198"/>
      <c r="F875" s="198"/>
      <c r="G875" s="198"/>
      <c r="H875" s="198"/>
      <c r="I875" s="198"/>
    </row>
    <row r="876" spans="2:9" x14ac:dyDescent="0.25">
      <c r="B876" s="198"/>
      <c r="C876" s="198"/>
      <c r="D876" s="198"/>
      <c r="E876" s="198"/>
      <c r="F876" s="198"/>
      <c r="G876" s="198"/>
      <c r="H876" s="198"/>
      <c r="I876" s="198"/>
    </row>
    <row r="877" spans="2:9" x14ac:dyDescent="0.25">
      <c r="B877" s="198"/>
      <c r="C877" s="198"/>
      <c r="D877" s="198"/>
      <c r="E877" s="198"/>
      <c r="F877" s="198"/>
      <c r="G877" s="198"/>
      <c r="H877" s="198"/>
      <c r="I877" s="198"/>
    </row>
    <row r="878" spans="2:9" x14ac:dyDescent="0.25">
      <c r="B878" s="198"/>
      <c r="C878" s="198"/>
      <c r="D878" s="198"/>
      <c r="E878" s="198"/>
      <c r="F878" s="198"/>
      <c r="G878" s="198"/>
      <c r="H878" s="198"/>
      <c r="I878" s="198"/>
    </row>
    <row r="879" spans="2:9" x14ac:dyDescent="0.25">
      <c r="B879" s="198"/>
      <c r="C879" s="198"/>
      <c r="D879" s="198"/>
      <c r="E879" s="198"/>
      <c r="F879" s="198"/>
      <c r="G879" s="198"/>
      <c r="H879" s="198"/>
      <c r="I879" s="198"/>
    </row>
    <row r="880" spans="2:9" x14ac:dyDescent="0.25">
      <c r="B880" s="198"/>
      <c r="C880" s="198"/>
      <c r="D880" s="198"/>
      <c r="E880" s="198"/>
      <c r="F880" s="198"/>
      <c r="G880" s="198"/>
      <c r="H880" s="198"/>
      <c r="I880" s="198"/>
    </row>
    <row r="881" spans="2:9" x14ac:dyDescent="0.25">
      <c r="B881" s="198"/>
      <c r="C881" s="198"/>
      <c r="D881" s="198"/>
      <c r="E881" s="198"/>
      <c r="F881" s="198"/>
      <c r="G881" s="198"/>
      <c r="H881" s="198"/>
      <c r="I881" s="198"/>
    </row>
    <row r="882" spans="2:9" x14ac:dyDescent="0.25">
      <c r="B882" s="198"/>
      <c r="C882" s="198"/>
      <c r="D882" s="198"/>
      <c r="E882" s="198"/>
      <c r="F882" s="198"/>
      <c r="G882" s="198"/>
      <c r="H882" s="198"/>
      <c r="I882" s="198"/>
    </row>
    <row r="883" spans="2:9" x14ac:dyDescent="0.25">
      <c r="B883" s="198"/>
      <c r="C883" s="198"/>
      <c r="D883" s="198"/>
      <c r="E883" s="198"/>
      <c r="F883" s="198"/>
      <c r="G883" s="198"/>
      <c r="H883" s="198"/>
      <c r="I883" s="198"/>
    </row>
    <row r="884" spans="2:9" x14ac:dyDescent="0.25">
      <c r="B884" s="198"/>
      <c r="C884" s="198"/>
      <c r="D884" s="198"/>
      <c r="E884" s="198"/>
      <c r="F884" s="198"/>
      <c r="G884" s="198"/>
      <c r="H884" s="198"/>
      <c r="I884" s="198"/>
    </row>
    <row r="885" spans="2:9" x14ac:dyDescent="0.25">
      <c r="B885" s="198"/>
      <c r="C885" s="198"/>
      <c r="D885" s="198"/>
      <c r="E885" s="198"/>
      <c r="F885" s="198"/>
      <c r="G885" s="198"/>
      <c r="H885" s="198"/>
      <c r="I885" s="198"/>
    </row>
    <row r="886" spans="2:9" x14ac:dyDescent="0.25">
      <c r="B886" s="198"/>
      <c r="C886" s="198"/>
      <c r="D886" s="198"/>
      <c r="E886" s="198"/>
      <c r="F886" s="198"/>
      <c r="G886" s="198"/>
      <c r="H886" s="198"/>
      <c r="I886" s="198"/>
    </row>
    <row r="887" spans="2:9" x14ac:dyDescent="0.25">
      <c r="B887" s="198"/>
      <c r="C887" s="198"/>
      <c r="D887" s="198"/>
      <c r="E887" s="198"/>
      <c r="F887" s="198"/>
      <c r="G887" s="198"/>
      <c r="H887" s="198"/>
      <c r="I887" s="198"/>
    </row>
    <row r="888" spans="2:9" x14ac:dyDescent="0.25">
      <c r="B888" s="198"/>
      <c r="C888" s="198"/>
      <c r="D888" s="198"/>
      <c r="E888" s="198"/>
      <c r="F888" s="198"/>
      <c r="G888" s="198"/>
      <c r="H888" s="198"/>
      <c r="I888" s="198"/>
    </row>
    <row r="889" spans="2:9" x14ac:dyDescent="0.25">
      <c r="B889" s="198"/>
      <c r="C889" s="198"/>
      <c r="D889" s="198"/>
      <c r="E889" s="198"/>
      <c r="F889" s="198"/>
      <c r="G889" s="198"/>
      <c r="H889" s="198"/>
      <c r="I889" s="198"/>
    </row>
    <row r="890" spans="2:9" x14ac:dyDescent="0.25">
      <c r="B890" s="198"/>
      <c r="C890" s="198"/>
      <c r="D890" s="198"/>
      <c r="E890" s="198"/>
      <c r="F890" s="198"/>
      <c r="G890" s="198"/>
      <c r="H890" s="198"/>
      <c r="I890" s="198"/>
    </row>
    <row r="891" spans="2:9" x14ac:dyDescent="0.25">
      <c r="B891" s="198"/>
      <c r="C891" s="198"/>
      <c r="D891" s="198"/>
      <c r="E891" s="198"/>
      <c r="F891" s="198"/>
      <c r="G891" s="198"/>
      <c r="H891" s="198"/>
      <c r="I891" s="198"/>
    </row>
    <row r="892" spans="2:9" x14ac:dyDescent="0.25">
      <c r="B892" s="198"/>
      <c r="C892" s="198"/>
      <c r="D892" s="198"/>
      <c r="E892" s="198"/>
      <c r="F892" s="198"/>
      <c r="G892" s="198"/>
      <c r="H892" s="198"/>
      <c r="I892" s="198"/>
    </row>
    <row r="893" spans="2:9" x14ac:dyDescent="0.25">
      <c r="B893" s="198"/>
      <c r="C893" s="198"/>
      <c r="D893" s="198"/>
      <c r="E893" s="198"/>
      <c r="F893" s="198"/>
      <c r="G893" s="198"/>
      <c r="H893" s="198"/>
      <c r="I893" s="198"/>
    </row>
    <row r="894" spans="2:9" x14ac:dyDescent="0.25">
      <c r="B894" s="198"/>
      <c r="C894" s="198"/>
      <c r="D894" s="198"/>
      <c r="E894" s="198"/>
      <c r="F894" s="198"/>
      <c r="G894" s="198"/>
      <c r="H894" s="198"/>
      <c r="I894" s="198"/>
    </row>
    <row r="895" spans="2:9" x14ac:dyDescent="0.25">
      <c r="B895" s="198"/>
      <c r="C895" s="198"/>
      <c r="D895" s="198"/>
      <c r="E895" s="198"/>
      <c r="F895" s="198"/>
      <c r="G895" s="198"/>
      <c r="H895" s="198"/>
      <c r="I895" s="198"/>
    </row>
    <row r="896" spans="2:9" x14ac:dyDescent="0.25">
      <c r="B896" s="198"/>
      <c r="C896" s="198"/>
      <c r="D896" s="198"/>
      <c r="E896" s="198"/>
      <c r="F896" s="198"/>
      <c r="G896" s="198"/>
      <c r="H896" s="198"/>
      <c r="I896" s="198"/>
    </row>
    <row r="897" spans="2:9" x14ac:dyDescent="0.25">
      <c r="B897" s="198"/>
      <c r="C897" s="198"/>
      <c r="D897" s="198"/>
      <c r="E897" s="198"/>
      <c r="F897" s="198"/>
      <c r="G897" s="198"/>
      <c r="H897" s="198"/>
      <c r="I897" s="198"/>
    </row>
    <row r="898" spans="2:9" x14ac:dyDescent="0.25">
      <c r="B898" s="198"/>
      <c r="C898" s="198"/>
      <c r="D898" s="198"/>
      <c r="E898" s="198"/>
      <c r="F898" s="198"/>
      <c r="G898" s="198"/>
      <c r="H898" s="198"/>
      <c r="I898" s="198"/>
    </row>
    <row r="899" spans="2:9" x14ac:dyDescent="0.25">
      <c r="B899" s="198"/>
      <c r="C899" s="198"/>
      <c r="D899" s="198"/>
      <c r="E899" s="198"/>
      <c r="F899" s="198"/>
      <c r="G899" s="198"/>
      <c r="H899" s="198"/>
      <c r="I899" s="198"/>
    </row>
    <row r="900" spans="2:9" x14ac:dyDescent="0.25">
      <c r="B900" s="198"/>
      <c r="C900" s="198"/>
      <c r="D900" s="198"/>
      <c r="E900" s="198"/>
      <c r="F900" s="198"/>
      <c r="G900" s="198"/>
      <c r="H900" s="198"/>
      <c r="I900" s="198"/>
    </row>
    <row r="901" spans="2:9" x14ac:dyDescent="0.25">
      <c r="B901" s="198"/>
      <c r="C901" s="198"/>
      <c r="D901" s="198"/>
      <c r="E901" s="198"/>
      <c r="F901" s="198"/>
      <c r="G901" s="198"/>
      <c r="H901" s="198"/>
      <c r="I901" s="198"/>
    </row>
    <row r="902" spans="2:9" x14ac:dyDescent="0.25">
      <c r="B902" s="198"/>
      <c r="C902" s="198"/>
      <c r="D902" s="198"/>
      <c r="E902" s="198"/>
      <c r="F902" s="198"/>
      <c r="G902" s="198"/>
      <c r="H902" s="198"/>
      <c r="I902" s="198"/>
    </row>
    <row r="903" spans="2:9" x14ac:dyDescent="0.25">
      <c r="B903" s="198"/>
      <c r="C903" s="198"/>
      <c r="D903" s="198"/>
      <c r="E903" s="198"/>
      <c r="F903" s="198"/>
      <c r="G903" s="198"/>
      <c r="H903" s="198"/>
      <c r="I903" s="198"/>
    </row>
    <row r="904" spans="2:9" x14ac:dyDescent="0.25">
      <c r="B904" s="198"/>
      <c r="C904" s="198"/>
      <c r="D904" s="198"/>
      <c r="E904" s="198"/>
      <c r="F904" s="198"/>
      <c r="G904" s="198"/>
      <c r="H904" s="198"/>
      <c r="I904" s="198"/>
    </row>
    <row r="905" spans="2:9" x14ac:dyDescent="0.25">
      <c r="B905" s="198"/>
      <c r="C905" s="198"/>
      <c r="D905" s="198"/>
      <c r="E905" s="198"/>
      <c r="F905" s="198"/>
      <c r="G905" s="198"/>
      <c r="H905" s="198"/>
      <c r="I905" s="198"/>
    </row>
    <row r="906" spans="2:9" x14ac:dyDescent="0.25">
      <c r="B906" s="198"/>
      <c r="C906" s="198"/>
      <c r="D906" s="198"/>
      <c r="E906" s="198"/>
      <c r="F906" s="198"/>
      <c r="G906" s="198"/>
      <c r="H906" s="198"/>
      <c r="I906" s="198"/>
    </row>
    <row r="907" spans="2:9" x14ac:dyDescent="0.25">
      <c r="B907" s="198"/>
      <c r="C907" s="198"/>
      <c r="D907" s="198"/>
      <c r="E907" s="198"/>
      <c r="F907" s="198"/>
      <c r="G907" s="198"/>
      <c r="H907" s="198"/>
      <c r="I907" s="198"/>
    </row>
    <row r="908" spans="2:9" x14ac:dyDescent="0.25">
      <c r="B908" s="198"/>
      <c r="C908" s="198"/>
      <c r="D908" s="198"/>
      <c r="E908" s="198"/>
      <c r="F908" s="198"/>
      <c r="G908" s="198"/>
      <c r="H908" s="198"/>
      <c r="I908" s="198"/>
    </row>
    <row r="909" spans="2:9" x14ac:dyDescent="0.25">
      <c r="B909" s="198"/>
      <c r="C909" s="198"/>
      <c r="D909" s="198"/>
      <c r="E909" s="198"/>
      <c r="F909" s="198"/>
      <c r="G909" s="198"/>
      <c r="H909" s="198"/>
      <c r="I909" s="198"/>
    </row>
    <row r="910" spans="2:9" x14ac:dyDescent="0.25">
      <c r="B910" s="198"/>
      <c r="C910" s="198"/>
      <c r="D910" s="198"/>
      <c r="E910" s="198"/>
      <c r="F910" s="198"/>
      <c r="G910" s="198"/>
      <c r="H910" s="198"/>
      <c r="I910" s="198"/>
    </row>
    <row r="911" spans="2:9" x14ac:dyDescent="0.25">
      <c r="B911" s="198"/>
      <c r="C911" s="198"/>
      <c r="D911" s="198"/>
      <c r="E911" s="198"/>
      <c r="F911" s="198"/>
      <c r="G911" s="198"/>
      <c r="H911" s="198"/>
      <c r="I911" s="198"/>
    </row>
    <row r="912" spans="2:9" x14ac:dyDescent="0.25">
      <c r="B912" s="198"/>
      <c r="C912" s="198"/>
      <c r="D912" s="198"/>
      <c r="E912" s="198"/>
      <c r="F912" s="198"/>
      <c r="G912" s="198"/>
      <c r="H912" s="198"/>
      <c r="I912" s="198"/>
    </row>
    <row r="913" spans="2:9" x14ac:dyDescent="0.25">
      <c r="B913" s="198"/>
      <c r="C913" s="198"/>
      <c r="D913" s="198"/>
      <c r="E913" s="198"/>
      <c r="F913" s="198"/>
      <c r="G913" s="198"/>
      <c r="H913" s="198"/>
      <c r="I913" s="198"/>
    </row>
    <row r="914" spans="2:9" x14ac:dyDescent="0.25">
      <c r="B914" s="198"/>
      <c r="C914" s="198"/>
      <c r="D914" s="198"/>
      <c r="E914" s="198"/>
      <c r="F914" s="198"/>
      <c r="G914" s="198"/>
      <c r="H914" s="198"/>
      <c r="I914" s="198"/>
    </row>
    <row r="915" spans="2:9" x14ac:dyDescent="0.25">
      <c r="B915" s="198"/>
      <c r="C915" s="198"/>
      <c r="D915" s="198"/>
      <c r="E915" s="198"/>
      <c r="F915" s="198"/>
      <c r="G915" s="198"/>
      <c r="H915" s="198"/>
      <c r="I915" s="198"/>
    </row>
    <row r="916" spans="2:9" x14ac:dyDescent="0.25">
      <c r="B916" s="198"/>
      <c r="C916" s="198"/>
      <c r="D916" s="198"/>
      <c r="E916" s="198"/>
      <c r="F916" s="198"/>
      <c r="G916" s="198"/>
      <c r="H916" s="198"/>
      <c r="I916" s="198"/>
    </row>
    <row r="917" spans="2:9" x14ac:dyDescent="0.25">
      <c r="B917" s="198"/>
      <c r="C917" s="198"/>
      <c r="D917" s="198"/>
      <c r="E917" s="198"/>
      <c r="F917" s="198"/>
      <c r="G917" s="198"/>
      <c r="H917" s="198"/>
      <c r="I917" s="198"/>
    </row>
    <row r="918" spans="2:9" x14ac:dyDescent="0.25">
      <c r="B918" s="198"/>
      <c r="C918" s="198"/>
      <c r="D918" s="198"/>
      <c r="E918" s="198"/>
      <c r="F918" s="198"/>
      <c r="G918" s="198"/>
      <c r="H918" s="198"/>
      <c r="I918" s="198"/>
    </row>
    <row r="919" spans="2:9" x14ac:dyDescent="0.25">
      <c r="B919" s="198"/>
      <c r="C919" s="198"/>
      <c r="D919" s="198"/>
      <c r="E919" s="198"/>
      <c r="F919" s="198"/>
      <c r="G919" s="198"/>
      <c r="H919" s="198"/>
      <c r="I919" s="198"/>
    </row>
    <row r="920" spans="2:9" x14ac:dyDescent="0.25">
      <c r="B920" s="198"/>
      <c r="C920" s="198"/>
      <c r="D920" s="198"/>
      <c r="E920" s="198"/>
      <c r="F920" s="198"/>
      <c r="G920" s="198"/>
      <c r="H920" s="198"/>
      <c r="I920" s="198"/>
    </row>
    <row r="921" spans="2:9" x14ac:dyDescent="0.25">
      <c r="B921" s="198"/>
      <c r="C921" s="198"/>
      <c r="D921" s="198"/>
      <c r="E921" s="198"/>
      <c r="F921" s="198"/>
      <c r="G921" s="198"/>
      <c r="H921" s="198"/>
      <c r="I921" s="198"/>
    </row>
    <row r="922" spans="2:9" x14ac:dyDescent="0.25">
      <c r="B922" s="198"/>
      <c r="C922" s="198"/>
      <c r="D922" s="198"/>
      <c r="E922" s="198"/>
      <c r="F922" s="198"/>
      <c r="G922" s="198"/>
      <c r="H922" s="198"/>
      <c r="I922" s="198"/>
    </row>
    <row r="923" spans="2:9" x14ac:dyDescent="0.25">
      <c r="B923" s="198"/>
      <c r="C923" s="198"/>
      <c r="D923" s="198"/>
      <c r="E923" s="198"/>
      <c r="F923" s="198"/>
      <c r="G923" s="198"/>
      <c r="H923" s="198"/>
      <c r="I923" s="198"/>
    </row>
    <row r="924" spans="2:9" x14ac:dyDescent="0.25">
      <c r="B924" s="198"/>
      <c r="C924" s="198"/>
      <c r="D924" s="198"/>
      <c r="E924" s="198"/>
      <c r="F924" s="198"/>
      <c r="G924" s="198"/>
      <c r="H924" s="198"/>
      <c r="I924" s="198"/>
    </row>
    <row r="925" spans="2:9" x14ac:dyDescent="0.25">
      <c r="B925" s="198"/>
      <c r="C925" s="198"/>
      <c r="D925" s="198"/>
      <c r="E925" s="198"/>
      <c r="F925" s="198"/>
      <c r="G925" s="198"/>
      <c r="H925" s="198"/>
      <c r="I925" s="198"/>
    </row>
    <row r="926" spans="2:9" x14ac:dyDescent="0.25">
      <c r="B926" s="198"/>
      <c r="C926" s="198"/>
      <c r="D926" s="198"/>
      <c r="E926" s="198"/>
      <c r="F926" s="198"/>
      <c r="G926" s="198"/>
      <c r="H926" s="198"/>
      <c r="I926" s="198"/>
    </row>
    <row r="927" spans="2:9" x14ac:dyDescent="0.25">
      <c r="B927" s="198"/>
      <c r="C927" s="198"/>
      <c r="D927" s="198"/>
      <c r="E927" s="198"/>
      <c r="F927" s="198"/>
      <c r="G927" s="198"/>
      <c r="H927" s="198"/>
      <c r="I927" s="198"/>
    </row>
    <row r="928" spans="2:9" x14ac:dyDescent="0.25">
      <c r="B928" s="198"/>
      <c r="C928" s="198"/>
      <c r="D928" s="198"/>
      <c r="E928" s="198"/>
      <c r="F928" s="198"/>
      <c r="G928" s="198"/>
      <c r="H928" s="198"/>
      <c r="I928" s="198"/>
    </row>
    <row r="929" spans="2:9" x14ac:dyDescent="0.25">
      <c r="B929" s="198"/>
      <c r="C929" s="198"/>
      <c r="D929" s="198"/>
      <c r="E929" s="198"/>
      <c r="F929" s="198"/>
      <c r="G929" s="198"/>
      <c r="H929" s="198"/>
      <c r="I929" s="198"/>
    </row>
    <row r="930" spans="2:9" x14ac:dyDescent="0.25">
      <c r="B930" s="198"/>
      <c r="C930" s="198"/>
      <c r="D930" s="198"/>
      <c r="E930" s="198"/>
      <c r="F930" s="198"/>
      <c r="G930" s="198"/>
      <c r="H930" s="198"/>
      <c r="I930" s="198"/>
    </row>
    <row r="931" spans="2:9" x14ac:dyDescent="0.25">
      <c r="B931" s="198"/>
      <c r="C931" s="198"/>
      <c r="D931" s="198"/>
      <c r="E931" s="198"/>
      <c r="F931" s="198"/>
      <c r="G931" s="198"/>
      <c r="H931" s="198"/>
      <c r="I931" s="198"/>
    </row>
    <row r="932" spans="2:9" x14ac:dyDescent="0.25">
      <c r="B932" s="198"/>
      <c r="C932" s="198"/>
      <c r="D932" s="198"/>
      <c r="E932" s="198"/>
      <c r="F932" s="198"/>
      <c r="G932" s="198"/>
      <c r="H932" s="198"/>
      <c r="I932" s="198"/>
    </row>
    <row r="933" spans="2:9" x14ac:dyDescent="0.25">
      <c r="B933" s="198"/>
      <c r="C933" s="198"/>
      <c r="D933" s="198"/>
      <c r="E933" s="198"/>
      <c r="F933" s="198"/>
      <c r="G933" s="198"/>
      <c r="H933" s="198"/>
      <c r="I933" s="198"/>
    </row>
    <row r="934" spans="2:9" x14ac:dyDescent="0.25">
      <c r="B934" s="198"/>
      <c r="C934" s="198"/>
      <c r="D934" s="198"/>
      <c r="E934" s="198"/>
      <c r="F934" s="198"/>
      <c r="G934" s="198"/>
      <c r="H934" s="198"/>
      <c r="I934" s="198"/>
    </row>
    <row r="935" spans="2:9" x14ac:dyDescent="0.25">
      <c r="B935" s="198"/>
      <c r="C935" s="198"/>
      <c r="D935" s="198"/>
      <c r="E935" s="198"/>
      <c r="F935" s="198"/>
      <c r="G935" s="198"/>
      <c r="H935" s="198"/>
      <c r="I935" s="198"/>
    </row>
    <row r="936" spans="2:9" x14ac:dyDescent="0.25">
      <c r="B936" s="198"/>
      <c r="C936" s="198"/>
      <c r="D936" s="198"/>
      <c r="E936" s="198"/>
      <c r="F936" s="198"/>
      <c r="G936" s="198"/>
      <c r="H936" s="198"/>
      <c r="I936" s="198"/>
    </row>
    <row r="937" spans="2:9" x14ac:dyDescent="0.25">
      <c r="B937" s="198"/>
      <c r="C937" s="198"/>
      <c r="D937" s="198"/>
      <c r="E937" s="198"/>
      <c r="F937" s="198"/>
      <c r="G937" s="198"/>
      <c r="H937" s="198"/>
      <c r="I937" s="198"/>
    </row>
    <row r="938" spans="2:9" x14ac:dyDescent="0.25">
      <c r="B938" s="198"/>
      <c r="C938" s="198"/>
      <c r="D938" s="198"/>
      <c r="E938" s="198"/>
      <c r="F938" s="198"/>
      <c r="G938" s="198"/>
      <c r="H938" s="198"/>
      <c r="I938" s="198"/>
    </row>
    <row r="939" spans="2:9" x14ac:dyDescent="0.25">
      <c r="B939" s="198"/>
      <c r="C939" s="198"/>
      <c r="D939" s="198"/>
      <c r="E939" s="198"/>
      <c r="F939" s="198"/>
      <c r="G939" s="198"/>
      <c r="H939" s="198"/>
      <c r="I939" s="198"/>
    </row>
    <row r="940" spans="2:9" x14ac:dyDescent="0.25">
      <c r="B940" s="198"/>
      <c r="C940" s="198"/>
      <c r="D940" s="198"/>
      <c r="E940" s="198"/>
      <c r="F940" s="198"/>
      <c r="G940" s="198"/>
      <c r="H940" s="198"/>
      <c r="I940" s="198"/>
    </row>
    <row r="941" spans="2:9" x14ac:dyDescent="0.25">
      <c r="B941" s="198"/>
      <c r="C941" s="198"/>
      <c r="D941" s="198"/>
      <c r="E941" s="198"/>
      <c r="F941" s="198"/>
      <c r="G941" s="198"/>
      <c r="H941" s="198"/>
      <c r="I941" s="198"/>
    </row>
    <row r="942" spans="2:9" x14ac:dyDescent="0.25">
      <c r="B942" s="198"/>
      <c r="C942" s="198"/>
      <c r="D942" s="198"/>
      <c r="E942" s="198"/>
      <c r="F942" s="198"/>
      <c r="G942" s="198"/>
      <c r="H942" s="198"/>
      <c r="I942" s="198"/>
    </row>
    <row r="943" spans="2:9" x14ac:dyDescent="0.25">
      <c r="B943" s="198"/>
      <c r="C943" s="198"/>
      <c r="D943" s="198"/>
      <c r="E943" s="198"/>
      <c r="F943" s="198"/>
      <c r="G943" s="198"/>
      <c r="H943" s="198"/>
      <c r="I943" s="198"/>
    </row>
    <row r="944" spans="2:9" x14ac:dyDescent="0.25">
      <c r="B944" s="198"/>
      <c r="C944" s="198"/>
      <c r="D944" s="198"/>
      <c r="E944" s="198"/>
      <c r="F944" s="198"/>
      <c r="G944" s="198"/>
      <c r="H944" s="198"/>
      <c r="I944" s="198"/>
    </row>
    <row r="945" spans="2:9" x14ac:dyDescent="0.25">
      <c r="B945" s="198"/>
      <c r="C945" s="198"/>
      <c r="D945" s="198"/>
      <c r="E945" s="198"/>
      <c r="F945" s="198"/>
      <c r="G945" s="198"/>
      <c r="H945" s="198"/>
      <c r="I945" s="198"/>
    </row>
    <row r="946" spans="2:9" x14ac:dyDescent="0.25">
      <c r="B946" s="198"/>
      <c r="C946" s="198"/>
      <c r="D946" s="198"/>
      <c r="E946" s="198"/>
      <c r="F946" s="198"/>
      <c r="G946" s="198"/>
      <c r="H946" s="198"/>
      <c r="I946" s="198"/>
    </row>
    <row r="947" spans="2:9" x14ac:dyDescent="0.25">
      <c r="B947" s="198"/>
      <c r="C947" s="198"/>
      <c r="D947" s="198"/>
      <c r="E947" s="198"/>
      <c r="F947" s="198"/>
      <c r="G947" s="198"/>
      <c r="H947" s="198"/>
      <c r="I947" s="198"/>
    </row>
    <row r="948" spans="2:9" x14ac:dyDescent="0.25">
      <c r="B948" s="198"/>
      <c r="C948" s="198"/>
      <c r="D948" s="198"/>
      <c r="E948" s="198"/>
      <c r="F948" s="198"/>
      <c r="G948" s="198"/>
      <c r="H948" s="198"/>
      <c r="I948" s="198"/>
    </row>
    <row r="949" spans="2:9" x14ac:dyDescent="0.25">
      <c r="B949" s="198"/>
      <c r="C949" s="198"/>
      <c r="D949" s="198"/>
      <c r="E949" s="198"/>
      <c r="F949" s="198"/>
      <c r="G949" s="198"/>
      <c r="H949" s="198"/>
      <c r="I949" s="198"/>
    </row>
    <row r="950" spans="2:9" x14ac:dyDescent="0.25">
      <c r="B950" s="198"/>
      <c r="C950" s="198"/>
      <c r="D950" s="198"/>
      <c r="E950" s="198"/>
      <c r="F950" s="198"/>
      <c r="G950" s="198"/>
      <c r="H950" s="198"/>
      <c r="I950" s="198"/>
    </row>
    <row r="951" spans="2:9" x14ac:dyDescent="0.25">
      <c r="B951" s="198"/>
      <c r="C951" s="198"/>
      <c r="D951" s="198"/>
      <c r="E951" s="198"/>
      <c r="F951" s="198"/>
      <c r="G951" s="198"/>
      <c r="H951" s="198"/>
      <c r="I951" s="198"/>
    </row>
    <row r="952" spans="2:9" x14ac:dyDescent="0.25">
      <c r="B952" s="198"/>
      <c r="C952" s="198"/>
      <c r="D952" s="198"/>
      <c r="E952" s="198"/>
      <c r="F952" s="198"/>
      <c r="G952" s="198"/>
      <c r="H952" s="198"/>
      <c r="I952" s="198"/>
    </row>
    <row r="953" spans="2:9" x14ac:dyDescent="0.25">
      <c r="B953" s="198"/>
      <c r="C953" s="198"/>
      <c r="D953" s="198"/>
      <c r="E953" s="198"/>
      <c r="F953" s="198"/>
      <c r="G953" s="198"/>
      <c r="H953" s="198"/>
      <c r="I953" s="198"/>
    </row>
    <row r="954" spans="2:9" x14ac:dyDescent="0.25">
      <c r="B954" s="198"/>
      <c r="C954" s="198"/>
      <c r="D954" s="198"/>
      <c r="E954" s="198"/>
      <c r="F954" s="198"/>
      <c r="G954" s="198"/>
      <c r="H954" s="198"/>
      <c r="I954" s="198"/>
    </row>
    <row r="955" spans="2:9" x14ac:dyDescent="0.25">
      <c r="B955" s="198"/>
      <c r="C955" s="198"/>
      <c r="D955" s="198"/>
      <c r="E955" s="198"/>
      <c r="F955" s="198"/>
      <c r="G955" s="198"/>
      <c r="H955" s="198"/>
      <c r="I955" s="198"/>
    </row>
    <row r="956" spans="2:9" x14ac:dyDescent="0.25">
      <c r="B956" s="198"/>
      <c r="C956" s="198"/>
      <c r="D956" s="198"/>
      <c r="E956" s="198"/>
      <c r="F956" s="198"/>
      <c r="G956" s="198"/>
      <c r="H956" s="198"/>
      <c r="I956" s="198"/>
    </row>
    <row r="957" spans="2:9" x14ac:dyDescent="0.25">
      <c r="B957" s="198"/>
      <c r="C957" s="198"/>
      <c r="D957" s="198"/>
      <c r="E957" s="198"/>
      <c r="F957" s="198"/>
      <c r="G957" s="198"/>
      <c r="H957" s="198"/>
      <c r="I957" s="198"/>
    </row>
    <row r="958" spans="2:9" x14ac:dyDescent="0.25">
      <c r="B958" s="198"/>
      <c r="C958" s="198"/>
      <c r="D958" s="198"/>
      <c r="E958" s="198"/>
      <c r="F958" s="198"/>
      <c r="G958" s="198"/>
      <c r="H958" s="198"/>
      <c r="I958" s="198"/>
    </row>
    <row r="959" spans="2:9" x14ac:dyDescent="0.25">
      <c r="B959" s="198"/>
      <c r="C959" s="198"/>
      <c r="D959" s="198"/>
      <c r="E959" s="198"/>
      <c r="F959" s="198"/>
      <c r="G959" s="198"/>
      <c r="H959" s="198"/>
      <c r="I959" s="198"/>
    </row>
    <row r="960" spans="2:9" x14ac:dyDescent="0.25">
      <c r="B960" s="198"/>
      <c r="C960" s="198"/>
      <c r="D960" s="198"/>
      <c r="E960" s="198"/>
      <c r="F960" s="198"/>
      <c r="G960" s="198"/>
      <c r="H960" s="198"/>
      <c r="I960" s="198"/>
    </row>
    <row r="961" spans="2:9" x14ac:dyDescent="0.25">
      <c r="B961" s="198"/>
      <c r="C961" s="198"/>
      <c r="D961" s="198"/>
      <c r="E961" s="198"/>
      <c r="F961" s="198"/>
      <c r="G961" s="198"/>
      <c r="H961" s="198"/>
      <c r="I961" s="198"/>
    </row>
    <row r="962" spans="2:9" x14ac:dyDescent="0.25">
      <c r="B962" s="198"/>
      <c r="C962" s="198"/>
      <c r="D962" s="198"/>
      <c r="E962" s="198"/>
      <c r="F962" s="198"/>
      <c r="G962" s="198"/>
      <c r="H962" s="198"/>
      <c r="I962" s="198"/>
    </row>
    <row r="963" spans="2:9" x14ac:dyDescent="0.25">
      <c r="B963" s="198"/>
      <c r="C963" s="198"/>
      <c r="D963" s="198"/>
      <c r="E963" s="198"/>
      <c r="F963" s="198"/>
      <c r="G963" s="198"/>
      <c r="H963" s="198"/>
      <c r="I963" s="198"/>
    </row>
    <row r="964" spans="2:9" x14ac:dyDescent="0.25">
      <c r="B964" s="198"/>
      <c r="C964" s="198"/>
      <c r="D964" s="198"/>
      <c r="E964" s="198"/>
      <c r="F964" s="198"/>
      <c r="G964" s="198"/>
      <c r="H964" s="198"/>
      <c r="I964" s="198"/>
    </row>
    <row r="965" spans="2:9" x14ac:dyDescent="0.25">
      <c r="B965" s="198"/>
      <c r="C965" s="198"/>
      <c r="D965" s="198"/>
      <c r="E965" s="198"/>
      <c r="F965" s="198"/>
      <c r="G965" s="198"/>
      <c r="H965" s="198"/>
      <c r="I965" s="198"/>
    </row>
    <row r="966" spans="2:9" x14ac:dyDescent="0.25">
      <c r="B966" s="198"/>
      <c r="C966" s="198"/>
      <c r="D966" s="198"/>
      <c r="E966" s="198"/>
      <c r="F966" s="198"/>
      <c r="G966" s="198"/>
      <c r="H966" s="198"/>
      <c r="I966" s="198"/>
    </row>
    <row r="967" spans="2:9" x14ac:dyDescent="0.25">
      <c r="B967" s="198"/>
      <c r="C967" s="198"/>
      <c r="D967" s="198"/>
      <c r="E967" s="198"/>
      <c r="F967" s="198"/>
      <c r="G967" s="198"/>
      <c r="H967" s="198"/>
      <c r="I967" s="198"/>
    </row>
    <row r="968" spans="2:9" x14ac:dyDescent="0.25">
      <c r="B968" s="198"/>
      <c r="C968" s="198"/>
      <c r="D968" s="198"/>
      <c r="E968" s="198"/>
      <c r="F968" s="198"/>
      <c r="G968" s="198"/>
      <c r="H968" s="198"/>
      <c r="I968" s="198"/>
    </row>
    <row r="969" spans="2:9" x14ac:dyDescent="0.25">
      <c r="B969" s="198"/>
      <c r="C969" s="198"/>
      <c r="D969" s="198"/>
      <c r="E969" s="198"/>
      <c r="F969" s="198"/>
      <c r="G969" s="198"/>
      <c r="H969" s="198"/>
      <c r="I969" s="198"/>
    </row>
    <row r="970" spans="2:9" x14ac:dyDescent="0.25">
      <c r="B970" s="198"/>
      <c r="C970" s="198"/>
      <c r="D970" s="198"/>
      <c r="E970" s="198"/>
      <c r="F970" s="198"/>
      <c r="G970" s="198"/>
      <c r="H970" s="198"/>
      <c r="I970" s="198"/>
    </row>
    <row r="971" spans="2:9" x14ac:dyDescent="0.25">
      <c r="B971" s="198"/>
      <c r="C971" s="198"/>
      <c r="D971" s="198"/>
      <c r="E971" s="198"/>
      <c r="F971" s="198"/>
      <c r="G971" s="198"/>
      <c r="H971" s="198"/>
      <c r="I971" s="198"/>
    </row>
    <row r="972" spans="2:9" x14ac:dyDescent="0.25">
      <c r="B972" s="198"/>
      <c r="C972" s="198"/>
      <c r="D972" s="198"/>
      <c r="E972" s="198"/>
      <c r="F972" s="198"/>
      <c r="G972" s="198"/>
      <c r="H972" s="198"/>
      <c r="I972" s="198"/>
    </row>
    <row r="973" spans="2:9" x14ac:dyDescent="0.25">
      <c r="B973" s="198"/>
      <c r="C973" s="198"/>
      <c r="D973" s="198"/>
      <c r="E973" s="198"/>
      <c r="F973" s="198"/>
      <c r="G973" s="198"/>
      <c r="H973" s="198"/>
      <c r="I973" s="198"/>
    </row>
    <row r="974" spans="2:9" x14ac:dyDescent="0.25">
      <c r="B974" s="198"/>
      <c r="C974" s="198"/>
      <c r="D974" s="198"/>
      <c r="E974" s="198"/>
      <c r="F974" s="198"/>
      <c r="G974" s="198"/>
      <c r="H974" s="198"/>
      <c r="I974" s="198"/>
    </row>
    <row r="975" spans="2:9" x14ac:dyDescent="0.25">
      <c r="B975" s="198"/>
      <c r="C975" s="198"/>
      <c r="D975" s="198"/>
      <c r="E975" s="198"/>
      <c r="F975" s="198"/>
      <c r="G975" s="198"/>
      <c r="H975" s="198"/>
      <c r="I975" s="198"/>
    </row>
  </sheetData>
  <pageMargins left="0.7" right="0.7" top="0.75" bottom="0.75" header="0.3" footer="0.3"/>
  <pageSetup paperSize="9"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D205D-169A-42B8-8F47-41ACBB8AC8D2}">
  <sheetPr>
    <tabColor rgb="FFCC00CC"/>
  </sheetPr>
  <dimension ref="C2:F99"/>
  <sheetViews>
    <sheetView topLeftCell="A43" zoomScaleNormal="100" workbookViewId="0">
      <selection activeCell="F54" sqref="F54"/>
    </sheetView>
  </sheetViews>
  <sheetFormatPr defaultColWidth="8.7109375" defaultRowHeight="12.75" x14ac:dyDescent="0.2"/>
  <cols>
    <col min="1" max="1" width="8.7109375" style="122"/>
    <col min="2" max="2" width="14.28515625" style="122" customWidth="1"/>
    <col min="3" max="3" width="49.7109375" style="122" customWidth="1"/>
    <col min="4" max="4" width="16.42578125" style="122" customWidth="1"/>
    <col min="5" max="5" width="41.7109375" style="122" customWidth="1"/>
    <col min="6" max="6" width="46.28515625" style="122" customWidth="1"/>
    <col min="7" max="7" width="9.28515625" style="122" customWidth="1"/>
    <col min="8" max="8" width="25.28515625" style="122" customWidth="1"/>
    <col min="9" max="9" width="2.7109375" style="122" customWidth="1"/>
    <col min="10" max="10" width="17" style="122" customWidth="1"/>
    <col min="11" max="11" width="38.7109375" style="122" customWidth="1"/>
    <col min="12" max="16384" width="8.7109375" style="122"/>
  </cols>
  <sheetData>
    <row r="2" spans="3:6" ht="15.75" x14ac:dyDescent="0.25">
      <c r="C2" s="372" t="s">
        <v>150</v>
      </c>
      <c r="D2" s="372"/>
      <c r="E2" s="372"/>
      <c r="F2" s="372"/>
    </row>
    <row r="4" spans="3:6" ht="14.25" x14ac:dyDescent="0.2">
      <c r="C4" s="373" t="s">
        <v>113</v>
      </c>
      <c r="D4" s="373"/>
      <c r="E4" s="373"/>
      <c r="F4" s="373"/>
    </row>
    <row r="6" spans="3:6" ht="15.75" x14ac:dyDescent="0.25">
      <c r="C6" s="123"/>
      <c r="D6" s="123"/>
      <c r="E6" s="123"/>
      <c r="F6" s="123"/>
    </row>
    <row r="7" spans="3:6" ht="15" x14ac:dyDescent="0.25">
      <c r="C7" s="124"/>
    </row>
    <row r="8" spans="3:6" ht="15" x14ac:dyDescent="0.25">
      <c r="C8" s="124"/>
    </row>
    <row r="10" spans="3:6" ht="15" x14ac:dyDescent="0.2">
      <c r="C10" s="125" t="s">
        <v>151</v>
      </c>
      <c r="D10" s="126" t="s">
        <v>116</v>
      </c>
      <c r="E10" s="127" t="s">
        <v>152</v>
      </c>
    </row>
    <row r="11" spans="3:6" ht="27.6" customHeight="1" x14ac:dyDescent="0.25">
      <c r="C11" s="128"/>
      <c r="D11" s="129" t="s">
        <v>118</v>
      </c>
      <c r="E11" s="130" t="s">
        <v>119</v>
      </c>
    </row>
    <row r="12" spans="3:6" ht="27" customHeight="1" x14ac:dyDescent="0.25">
      <c r="C12" s="128"/>
      <c r="D12" s="129" t="s">
        <v>120</v>
      </c>
      <c r="E12" s="130" t="s">
        <v>119</v>
      </c>
    </row>
    <row r="15" spans="3:6" ht="15" x14ac:dyDescent="0.2">
      <c r="C15" s="125" t="s">
        <v>153</v>
      </c>
      <c r="D15" s="126" t="s">
        <v>116</v>
      </c>
      <c r="E15" s="127" t="s">
        <v>154</v>
      </c>
    </row>
    <row r="16" spans="3:6" ht="27.6" customHeight="1" x14ac:dyDescent="0.25">
      <c r="C16" s="128"/>
      <c r="D16" s="129" t="s">
        <v>118</v>
      </c>
      <c r="E16" s="130" t="s">
        <v>119</v>
      </c>
    </row>
    <row r="17" spans="3:5" ht="27" customHeight="1" x14ac:dyDescent="0.25">
      <c r="C17" s="128"/>
      <c r="D17" s="129" t="s">
        <v>120</v>
      </c>
      <c r="E17" s="130" t="s">
        <v>119</v>
      </c>
    </row>
    <row r="20" spans="3:5" ht="15" x14ac:dyDescent="0.2">
      <c r="C20" s="125" t="s">
        <v>155</v>
      </c>
      <c r="D20" s="126" t="s">
        <v>116</v>
      </c>
      <c r="E20" s="127" t="s">
        <v>156</v>
      </c>
    </row>
    <row r="21" spans="3:5" ht="27.6" customHeight="1" x14ac:dyDescent="0.25">
      <c r="C21" s="128"/>
      <c r="D21" s="129" t="s">
        <v>118</v>
      </c>
      <c r="E21" s="130" t="s">
        <v>119</v>
      </c>
    </row>
    <row r="22" spans="3:5" ht="27" customHeight="1" x14ac:dyDescent="0.25">
      <c r="C22" s="128"/>
      <c r="D22" s="129" t="s">
        <v>120</v>
      </c>
      <c r="E22" s="130" t="s">
        <v>119</v>
      </c>
    </row>
    <row r="26" spans="3:5" ht="15" x14ac:dyDescent="0.2">
      <c r="C26" s="125" t="s">
        <v>76</v>
      </c>
      <c r="D26" s="126" t="s">
        <v>116</v>
      </c>
      <c r="E26" s="127" t="s">
        <v>157</v>
      </c>
    </row>
    <row r="27" spans="3:5" ht="27.6" customHeight="1" x14ac:dyDescent="0.25">
      <c r="C27" s="128"/>
      <c r="D27" s="129" t="s">
        <v>118</v>
      </c>
      <c r="E27" s="130" t="s">
        <v>119</v>
      </c>
    </row>
    <row r="28" spans="3:5" ht="27" customHeight="1" x14ac:dyDescent="0.25">
      <c r="C28" s="128"/>
      <c r="D28" s="129" t="s">
        <v>120</v>
      </c>
      <c r="E28" s="130" t="s">
        <v>119</v>
      </c>
    </row>
    <row r="31" spans="3:5" ht="15" x14ac:dyDescent="0.2">
      <c r="C31" s="125" t="s">
        <v>158</v>
      </c>
      <c r="D31" s="126" t="s">
        <v>116</v>
      </c>
      <c r="E31" s="127" t="s">
        <v>159</v>
      </c>
    </row>
    <row r="32" spans="3:5" ht="27.6" customHeight="1" x14ac:dyDescent="0.25">
      <c r="C32" s="128"/>
      <c r="D32" s="129" t="s">
        <v>118</v>
      </c>
      <c r="E32" s="130" t="s">
        <v>119</v>
      </c>
    </row>
    <row r="33" spans="3:5" ht="27" customHeight="1" x14ac:dyDescent="0.25">
      <c r="C33" s="128"/>
      <c r="D33" s="129" t="s">
        <v>120</v>
      </c>
      <c r="E33" s="130" t="s">
        <v>119</v>
      </c>
    </row>
    <row r="36" spans="3:5" ht="15" x14ac:dyDescent="0.2">
      <c r="C36" s="125" t="s">
        <v>115</v>
      </c>
      <c r="D36" s="126" t="s">
        <v>116</v>
      </c>
      <c r="E36" s="127" t="s">
        <v>117</v>
      </c>
    </row>
    <row r="37" spans="3:5" ht="27.6" customHeight="1" x14ac:dyDescent="0.25">
      <c r="C37" s="128"/>
      <c r="D37" s="129" t="s">
        <v>118</v>
      </c>
      <c r="E37" s="130" t="s">
        <v>119</v>
      </c>
    </row>
    <row r="38" spans="3:5" ht="27" customHeight="1" x14ac:dyDescent="0.25">
      <c r="C38" s="128"/>
      <c r="D38" s="129" t="s">
        <v>120</v>
      </c>
      <c r="E38" s="130" t="s">
        <v>119</v>
      </c>
    </row>
    <row r="42" spans="3:5" ht="30" x14ac:dyDescent="0.2">
      <c r="C42" s="125" t="s">
        <v>160</v>
      </c>
      <c r="D42" s="126" t="s">
        <v>116</v>
      </c>
      <c r="E42" s="127" t="s">
        <v>161</v>
      </c>
    </row>
    <row r="43" spans="3:5" ht="27.6" customHeight="1" x14ac:dyDescent="0.25">
      <c r="C43" s="128"/>
      <c r="D43" s="129" t="s">
        <v>118</v>
      </c>
      <c r="E43" s="130" t="s">
        <v>119</v>
      </c>
    </row>
    <row r="44" spans="3:5" ht="27" customHeight="1" x14ac:dyDescent="0.25">
      <c r="C44" s="128"/>
      <c r="D44" s="129" t="s">
        <v>120</v>
      </c>
      <c r="E44" s="130" t="s">
        <v>119</v>
      </c>
    </row>
    <row r="48" spans="3:5" ht="15" x14ac:dyDescent="0.2">
      <c r="C48" s="125" t="s">
        <v>162</v>
      </c>
      <c r="D48" s="126" t="s">
        <v>116</v>
      </c>
      <c r="E48" s="127" t="s">
        <v>163</v>
      </c>
    </row>
    <row r="49" spans="3:5" ht="27.6" customHeight="1" x14ac:dyDescent="0.25">
      <c r="C49" s="128"/>
      <c r="D49" s="129" t="s">
        <v>118</v>
      </c>
      <c r="E49" s="130" t="s">
        <v>119</v>
      </c>
    </row>
    <row r="50" spans="3:5" ht="27" customHeight="1" x14ac:dyDescent="0.25">
      <c r="C50" s="128"/>
      <c r="D50" s="129" t="s">
        <v>120</v>
      </c>
      <c r="E50" s="130" t="s">
        <v>119</v>
      </c>
    </row>
    <row r="52" spans="3:5" ht="15" x14ac:dyDescent="0.25">
      <c r="C52" s="124"/>
    </row>
    <row r="53" spans="3:5" ht="15" x14ac:dyDescent="0.25">
      <c r="C53" s="124"/>
    </row>
    <row r="54" spans="3:5" ht="15" x14ac:dyDescent="0.25">
      <c r="C54" s="124"/>
    </row>
    <row r="55" spans="3:5" ht="15" x14ac:dyDescent="0.25">
      <c r="C55" s="124"/>
    </row>
    <row r="56" spans="3:5" ht="15" x14ac:dyDescent="0.25">
      <c r="C56" s="124"/>
    </row>
    <row r="57" spans="3:5" ht="15" x14ac:dyDescent="0.25">
      <c r="C57" s="124"/>
    </row>
    <row r="58" spans="3:5" ht="15" x14ac:dyDescent="0.25">
      <c r="C58" s="124"/>
    </row>
    <row r="59" spans="3:5" ht="15" x14ac:dyDescent="0.25">
      <c r="C59" s="124"/>
    </row>
    <row r="60" spans="3:5" ht="15" x14ac:dyDescent="0.25">
      <c r="C60" s="124"/>
    </row>
    <row r="61" spans="3:5" ht="15" x14ac:dyDescent="0.25">
      <c r="C61" s="124"/>
    </row>
    <row r="62" spans="3:5" ht="15" x14ac:dyDescent="0.25">
      <c r="C62" s="124"/>
    </row>
    <row r="63" spans="3:5" ht="15" x14ac:dyDescent="0.25">
      <c r="C63" s="124"/>
    </row>
    <row r="64" spans="3:5" ht="15" x14ac:dyDescent="0.25">
      <c r="C64" s="124"/>
    </row>
    <row r="65" spans="3:3" ht="15" x14ac:dyDescent="0.25">
      <c r="C65" s="124"/>
    </row>
    <row r="66" spans="3:3" ht="15" x14ac:dyDescent="0.25">
      <c r="C66" s="124"/>
    </row>
    <row r="67" spans="3:3" ht="15" x14ac:dyDescent="0.25">
      <c r="C67" s="124"/>
    </row>
    <row r="68" spans="3:3" ht="15" x14ac:dyDescent="0.25">
      <c r="C68" s="124"/>
    </row>
    <row r="69" spans="3:3" ht="15" x14ac:dyDescent="0.25">
      <c r="C69" s="124"/>
    </row>
    <row r="70" spans="3:3" ht="15" x14ac:dyDescent="0.25">
      <c r="C70" s="124"/>
    </row>
    <row r="71" spans="3:3" ht="15" x14ac:dyDescent="0.25">
      <c r="C71" s="124"/>
    </row>
    <row r="72" spans="3:3" ht="15" x14ac:dyDescent="0.25">
      <c r="C72" s="124"/>
    </row>
    <row r="73" spans="3:3" ht="15" x14ac:dyDescent="0.25">
      <c r="C73" s="124"/>
    </row>
    <row r="74" spans="3:3" ht="15" x14ac:dyDescent="0.25">
      <c r="C74" s="124"/>
    </row>
    <row r="75" spans="3:3" ht="15" x14ac:dyDescent="0.25">
      <c r="C75" s="124"/>
    </row>
    <row r="76" spans="3:3" ht="15" x14ac:dyDescent="0.25">
      <c r="C76" s="124"/>
    </row>
    <row r="77" spans="3:3" ht="15" x14ac:dyDescent="0.25">
      <c r="C77" s="124"/>
    </row>
    <row r="78" spans="3:3" ht="15" x14ac:dyDescent="0.25">
      <c r="C78" s="124"/>
    </row>
    <row r="79" spans="3:3" ht="15" x14ac:dyDescent="0.25">
      <c r="C79" s="124"/>
    </row>
    <row r="80" spans="3:3" ht="15" x14ac:dyDescent="0.25">
      <c r="C80" s="124"/>
    </row>
    <row r="81" spans="3:3" ht="15" x14ac:dyDescent="0.25">
      <c r="C81" s="124"/>
    </row>
    <row r="82" spans="3:3" ht="15" x14ac:dyDescent="0.25">
      <c r="C82" s="124"/>
    </row>
    <row r="83" spans="3:3" ht="15" x14ac:dyDescent="0.25">
      <c r="C83" s="124"/>
    </row>
    <row r="84" spans="3:3" ht="15" x14ac:dyDescent="0.25">
      <c r="C84" s="124"/>
    </row>
    <row r="85" spans="3:3" ht="15" x14ac:dyDescent="0.25">
      <c r="C85" s="124"/>
    </row>
    <row r="86" spans="3:3" ht="15" x14ac:dyDescent="0.25">
      <c r="C86" s="124"/>
    </row>
    <row r="87" spans="3:3" ht="15" x14ac:dyDescent="0.25">
      <c r="C87" s="124"/>
    </row>
    <row r="88" spans="3:3" ht="15" x14ac:dyDescent="0.25">
      <c r="C88" s="124"/>
    </row>
    <row r="89" spans="3:3" ht="15" x14ac:dyDescent="0.25">
      <c r="C89" s="124"/>
    </row>
    <row r="90" spans="3:3" ht="15" x14ac:dyDescent="0.25">
      <c r="C90" s="124"/>
    </row>
    <row r="91" spans="3:3" ht="15" x14ac:dyDescent="0.25">
      <c r="C91" s="124"/>
    </row>
    <row r="92" spans="3:3" ht="15" x14ac:dyDescent="0.25">
      <c r="C92" s="124"/>
    </row>
    <row r="93" spans="3:3" ht="15" x14ac:dyDescent="0.25">
      <c r="C93" s="124"/>
    </row>
    <row r="94" spans="3:3" ht="15" x14ac:dyDescent="0.25">
      <c r="C94" s="124"/>
    </row>
    <row r="95" spans="3:3" ht="15" x14ac:dyDescent="0.25">
      <c r="C95" s="124"/>
    </row>
    <row r="96" spans="3:3" ht="15" x14ac:dyDescent="0.25">
      <c r="C96" s="124"/>
    </row>
    <row r="97" spans="3:3" ht="15" x14ac:dyDescent="0.25">
      <c r="C97" s="124"/>
    </row>
    <row r="98" spans="3:3" ht="15" x14ac:dyDescent="0.25">
      <c r="C98" s="124"/>
    </row>
    <row r="99" spans="3:3" ht="15" x14ac:dyDescent="0.25">
      <c r="C99" s="124"/>
    </row>
  </sheetData>
  <mergeCells count="2">
    <mergeCell ref="C2:F2"/>
    <mergeCell ref="C4:F4"/>
  </mergeCells>
  <pageMargins left="0.70866141732283472" right="0.70866141732283472" top="0.74803149606299213" bottom="0.74803149606299213" header="0.31496062992125984" footer="0.31496062992125984"/>
  <pageSetup paperSize="9" scale="79" orientation="landscape" r:id="rId1"/>
  <headerFooter>
    <oddFooter>&amp;L&amp;F&amp;C&amp;A&amp;R&amp;P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538B7-4AF6-4A2C-A7A2-06A14E01C11E}">
  <sheetPr>
    <tabColor rgb="FFCC00CC"/>
  </sheetPr>
  <dimension ref="C2:F99"/>
  <sheetViews>
    <sheetView topLeftCell="A35" zoomScaleNormal="100" workbookViewId="0">
      <selection activeCell="A23" sqref="A23"/>
    </sheetView>
  </sheetViews>
  <sheetFormatPr defaultColWidth="8.7109375" defaultRowHeight="12.75" x14ac:dyDescent="0.2"/>
  <cols>
    <col min="1" max="1" width="8.7109375" style="122"/>
    <col min="2" max="2" width="14.28515625" style="122" customWidth="1"/>
    <col min="3" max="3" width="49.7109375" style="122" customWidth="1"/>
    <col min="4" max="4" width="16.42578125" style="122" customWidth="1"/>
    <col min="5" max="5" width="41.7109375" style="122" customWidth="1"/>
    <col min="6" max="6" width="46.28515625" style="122" customWidth="1"/>
    <col min="7" max="7" width="9.28515625" style="122" customWidth="1"/>
    <col min="8" max="8" width="25.28515625" style="122" customWidth="1"/>
    <col min="9" max="9" width="2.7109375" style="122" customWidth="1"/>
    <col min="10" max="10" width="17" style="122" customWidth="1"/>
    <col min="11" max="11" width="38.7109375" style="122" customWidth="1"/>
    <col min="12" max="16384" width="8.7109375" style="122"/>
  </cols>
  <sheetData>
    <row r="2" spans="3:6" ht="15.75" x14ac:dyDescent="0.25">
      <c r="C2" s="372" t="s">
        <v>150</v>
      </c>
      <c r="D2" s="372"/>
      <c r="E2" s="372"/>
      <c r="F2" s="372"/>
    </row>
    <row r="4" spans="3:6" ht="14.25" x14ac:dyDescent="0.2">
      <c r="C4" s="373" t="s">
        <v>113</v>
      </c>
      <c r="D4" s="373"/>
      <c r="E4" s="373"/>
      <c r="F4" s="373"/>
    </row>
    <row r="6" spans="3:6" ht="15.75" x14ac:dyDescent="0.25">
      <c r="C6" s="123"/>
      <c r="D6" s="123"/>
      <c r="E6" s="123"/>
      <c r="F6" s="123"/>
    </row>
    <row r="7" spans="3:6" ht="15" x14ac:dyDescent="0.25">
      <c r="C7" s="124"/>
    </row>
    <row r="8" spans="3:6" ht="15" x14ac:dyDescent="0.25">
      <c r="C8" s="124"/>
    </row>
    <row r="10" spans="3:6" ht="15" x14ac:dyDescent="0.2">
      <c r="C10" s="125" t="s">
        <v>151</v>
      </c>
      <c r="D10" s="126" t="s">
        <v>116</v>
      </c>
      <c r="E10" s="127" t="s">
        <v>152</v>
      </c>
    </row>
    <row r="11" spans="3:6" ht="26.65" customHeight="1" x14ac:dyDescent="0.25">
      <c r="C11" s="128"/>
      <c r="D11" s="129" t="s">
        <v>118</v>
      </c>
      <c r="E11" s="130" t="s">
        <v>119</v>
      </c>
    </row>
    <row r="12" spans="3:6" ht="26.65" customHeight="1" x14ac:dyDescent="0.25">
      <c r="C12" s="128"/>
      <c r="D12" s="129" t="s">
        <v>120</v>
      </c>
      <c r="E12" s="130" t="s">
        <v>119</v>
      </c>
    </row>
    <row r="15" spans="3:6" ht="15" x14ac:dyDescent="0.2">
      <c r="C15" s="125" t="s">
        <v>153</v>
      </c>
      <c r="D15" s="126" t="s">
        <v>116</v>
      </c>
      <c r="E15" s="127" t="s">
        <v>154</v>
      </c>
    </row>
    <row r="16" spans="3:6" ht="26.65" customHeight="1" x14ac:dyDescent="0.25">
      <c r="C16" s="128"/>
      <c r="D16" s="129" t="s">
        <v>118</v>
      </c>
      <c r="E16" s="130" t="s">
        <v>119</v>
      </c>
    </row>
    <row r="17" spans="3:5" ht="26.65" customHeight="1" x14ac:dyDescent="0.25">
      <c r="C17" s="128"/>
      <c r="D17" s="129" t="s">
        <v>120</v>
      </c>
      <c r="E17" s="130" t="s">
        <v>119</v>
      </c>
    </row>
    <row r="20" spans="3:5" ht="26.65" customHeight="1" x14ac:dyDescent="0.25">
      <c r="C20" s="128"/>
      <c r="D20" s="129" t="s">
        <v>118</v>
      </c>
      <c r="E20" s="130" t="s">
        <v>119</v>
      </c>
    </row>
    <row r="21" spans="3:5" ht="26.65" customHeight="1" x14ac:dyDescent="0.25">
      <c r="C21" s="128"/>
      <c r="D21" s="129" t="s">
        <v>120</v>
      </c>
      <c r="E21" s="130" t="s">
        <v>119</v>
      </c>
    </row>
    <row r="23" spans="3:5" ht="15" x14ac:dyDescent="0.2">
      <c r="C23" s="125" t="s">
        <v>155</v>
      </c>
      <c r="D23" s="126" t="s">
        <v>116</v>
      </c>
      <c r="E23" s="127" t="s">
        <v>156</v>
      </c>
    </row>
    <row r="26" spans="3:5" ht="15" x14ac:dyDescent="0.2">
      <c r="C26" s="125" t="s">
        <v>76</v>
      </c>
      <c r="D26" s="126" t="s">
        <v>116</v>
      </c>
      <c r="E26" s="127" t="s">
        <v>157</v>
      </c>
    </row>
    <row r="27" spans="3:5" ht="26.65" customHeight="1" x14ac:dyDescent="0.25">
      <c r="C27" s="128"/>
      <c r="D27" s="129" t="s">
        <v>118</v>
      </c>
      <c r="E27" s="130" t="s">
        <v>119</v>
      </c>
    </row>
    <row r="28" spans="3:5" ht="26.65" customHeight="1" x14ac:dyDescent="0.25">
      <c r="C28" s="128"/>
      <c r="D28" s="129" t="s">
        <v>120</v>
      </c>
      <c r="E28" s="130" t="s">
        <v>119</v>
      </c>
    </row>
    <row r="31" spans="3:5" ht="15" x14ac:dyDescent="0.2">
      <c r="C31" s="125" t="s">
        <v>158</v>
      </c>
      <c r="D31" s="126" t="s">
        <v>116</v>
      </c>
      <c r="E31" s="127" t="s">
        <v>159</v>
      </c>
    </row>
    <row r="32" spans="3:5" ht="26.65" customHeight="1" x14ac:dyDescent="0.25">
      <c r="C32" s="128"/>
      <c r="D32" s="129" t="s">
        <v>118</v>
      </c>
      <c r="E32" s="130" t="s">
        <v>119</v>
      </c>
    </row>
    <row r="33" spans="3:5" ht="26.65" customHeight="1" x14ac:dyDescent="0.25">
      <c r="C33" s="128"/>
      <c r="D33" s="129" t="s">
        <v>120</v>
      </c>
      <c r="E33" s="130" t="s">
        <v>119</v>
      </c>
    </row>
    <row r="36" spans="3:5" ht="15" x14ac:dyDescent="0.2">
      <c r="C36" s="125" t="s">
        <v>115</v>
      </c>
      <c r="D36" s="126" t="s">
        <v>116</v>
      </c>
      <c r="E36" s="127" t="s">
        <v>117</v>
      </c>
    </row>
    <row r="37" spans="3:5" ht="26.65" customHeight="1" x14ac:dyDescent="0.25">
      <c r="C37" s="128"/>
      <c r="D37" s="129" t="s">
        <v>118</v>
      </c>
      <c r="E37" s="130" t="s">
        <v>119</v>
      </c>
    </row>
    <row r="38" spans="3:5" ht="26.65" customHeight="1" x14ac:dyDescent="0.25">
      <c r="C38" s="128"/>
      <c r="D38" s="129" t="s">
        <v>120</v>
      </c>
      <c r="E38" s="130" t="s">
        <v>119</v>
      </c>
    </row>
    <row r="42" spans="3:5" ht="15" x14ac:dyDescent="0.2">
      <c r="C42" s="125" t="s">
        <v>125</v>
      </c>
      <c r="D42" s="126" t="s">
        <v>116</v>
      </c>
      <c r="E42" s="127" t="s">
        <v>164</v>
      </c>
    </row>
    <row r="43" spans="3:5" ht="26.65" customHeight="1" x14ac:dyDescent="0.25">
      <c r="C43" s="128"/>
      <c r="D43" s="129" t="s">
        <v>118</v>
      </c>
      <c r="E43" s="130" t="s">
        <v>119</v>
      </c>
    </row>
    <row r="44" spans="3:5" ht="26.65" customHeight="1" x14ac:dyDescent="0.25">
      <c r="C44" s="128"/>
      <c r="D44" s="129" t="s">
        <v>120</v>
      </c>
      <c r="E44" s="130" t="s">
        <v>119</v>
      </c>
    </row>
    <row r="48" spans="3:5" ht="15" x14ac:dyDescent="0.2">
      <c r="C48" s="125" t="s">
        <v>165</v>
      </c>
      <c r="D48" s="126" t="s">
        <v>116</v>
      </c>
      <c r="E48" s="127" t="s">
        <v>166</v>
      </c>
    </row>
    <row r="49" spans="3:5" ht="26.65" customHeight="1" x14ac:dyDescent="0.25">
      <c r="C49" s="128"/>
      <c r="D49" s="129" t="s">
        <v>118</v>
      </c>
      <c r="E49" s="130" t="s">
        <v>119</v>
      </c>
    </row>
    <row r="50" spans="3:5" ht="26.65" customHeight="1" x14ac:dyDescent="0.25">
      <c r="C50" s="128"/>
      <c r="D50" s="129" t="s">
        <v>120</v>
      </c>
      <c r="E50" s="130" t="s">
        <v>119</v>
      </c>
    </row>
    <row r="52" spans="3:5" ht="15" x14ac:dyDescent="0.25">
      <c r="C52" s="124"/>
    </row>
    <row r="53" spans="3:5" ht="15" x14ac:dyDescent="0.25">
      <c r="C53" s="124"/>
    </row>
    <row r="54" spans="3:5" ht="15" x14ac:dyDescent="0.25">
      <c r="C54" s="124"/>
    </row>
    <row r="55" spans="3:5" ht="15" x14ac:dyDescent="0.25">
      <c r="C55" s="124"/>
    </row>
    <row r="56" spans="3:5" ht="15" x14ac:dyDescent="0.25">
      <c r="C56" s="124"/>
    </row>
    <row r="57" spans="3:5" ht="15" x14ac:dyDescent="0.25">
      <c r="C57" s="124"/>
    </row>
    <row r="58" spans="3:5" ht="15" x14ac:dyDescent="0.25">
      <c r="C58" s="124"/>
    </row>
    <row r="59" spans="3:5" ht="15" x14ac:dyDescent="0.25">
      <c r="C59" s="124"/>
    </row>
    <row r="60" spans="3:5" ht="15" x14ac:dyDescent="0.25">
      <c r="C60" s="124"/>
    </row>
    <row r="61" spans="3:5" ht="15" x14ac:dyDescent="0.25">
      <c r="C61" s="124"/>
    </row>
    <row r="62" spans="3:5" ht="15" x14ac:dyDescent="0.25">
      <c r="C62" s="124"/>
    </row>
    <row r="63" spans="3:5" ht="15" x14ac:dyDescent="0.25">
      <c r="C63" s="124"/>
    </row>
    <row r="64" spans="3:5" ht="15" x14ac:dyDescent="0.25">
      <c r="C64" s="124"/>
    </row>
    <row r="65" spans="3:3" ht="15" x14ac:dyDescent="0.25">
      <c r="C65" s="124"/>
    </row>
    <row r="66" spans="3:3" ht="15" x14ac:dyDescent="0.25">
      <c r="C66" s="124"/>
    </row>
    <row r="67" spans="3:3" ht="15" x14ac:dyDescent="0.25">
      <c r="C67" s="124"/>
    </row>
    <row r="68" spans="3:3" ht="15" x14ac:dyDescent="0.25">
      <c r="C68" s="124"/>
    </row>
    <row r="69" spans="3:3" ht="15" x14ac:dyDescent="0.25">
      <c r="C69" s="124"/>
    </row>
    <row r="70" spans="3:3" ht="15" x14ac:dyDescent="0.25">
      <c r="C70" s="124"/>
    </row>
    <row r="71" spans="3:3" ht="15" x14ac:dyDescent="0.25">
      <c r="C71" s="124"/>
    </row>
    <row r="72" spans="3:3" ht="15" x14ac:dyDescent="0.25">
      <c r="C72" s="124"/>
    </row>
    <row r="73" spans="3:3" ht="15" x14ac:dyDescent="0.25">
      <c r="C73" s="124"/>
    </row>
    <row r="74" spans="3:3" ht="15" x14ac:dyDescent="0.25">
      <c r="C74" s="124"/>
    </row>
    <row r="75" spans="3:3" ht="15" x14ac:dyDescent="0.25">
      <c r="C75" s="124"/>
    </row>
    <row r="76" spans="3:3" ht="15" x14ac:dyDescent="0.25">
      <c r="C76" s="124"/>
    </row>
    <row r="77" spans="3:3" ht="15" x14ac:dyDescent="0.25">
      <c r="C77" s="124"/>
    </row>
    <row r="78" spans="3:3" ht="15" x14ac:dyDescent="0.25">
      <c r="C78" s="124"/>
    </row>
    <row r="79" spans="3:3" ht="15" x14ac:dyDescent="0.25">
      <c r="C79" s="124"/>
    </row>
    <row r="80" spans="3:3" ht="15" x14ac:dyDescent="0.25">
      <c r="C80" s="124"/>
    </row>
    <row r="81" spans="3:3" ht="15" x14ac:dyDescent="0.25">
      <c r="C81" s="124"/>
    </row>
    <row r="82" spans="3:3" ht="15" x14ac:dyDescent="0.25">
      <c r="C82" s="124"/>
    </row>
    <row r="83" spans="3:3" ht="15" x14ac:dyDescent="0.25">
      <c r="C83" s="124"/>
    </row>
    <row r="84" spans="3:3" ht="15" x14ac:dyDescent="0.25">
      <c r="C84" s="124"/>
    </row>
    <row r="85" spans="3:3" ht="15" x14ac:dyDescent="0.25">
      <c r="C85" s="124"/>
    </row>
    <row r="86" spans="3:3" ht="15" x14ac:dyDescent="0.25">
      <c r="C86" s="124"/>
    </row>
    <row r="87" spans="3:3" ht="15" x14ac:dyDescent="0.25">
      <c r="C87" s="124"/>
    </row>
    <row r="88" spans="3:3" ht="15" x14ac:dyDescent="0.25">
      <c r="C88" s="124"/>
    </row>
    <row r="89" spans="3:3" ht="15" x14ac:dyDescent="0.25">
      <c r="C89" s="124"/>
    </row>
    <row r="90" spans="3:3" ht="15" x14ac:dyDescent="0.25">
      <c r="C90" s="124"/>
    </row>
    <row r="91" spans="3:3" ht="15" x14ac:dyDescent="0.25">
      <c r="C91" s="124"/>
    </row>
    <row r="92" spans="3:3" ht="15" x14ac:dyDescent="0.25">
      <c r="C92" s="124"/>
    </row>
    <row r="93" spans="3:3" ht="15" x14ac:dyDescent="0.25">
      <c r="C93" s="124"/>
    </row>
    <row r="94" spans="3:3" ht="15" x14ac:dyDescent="0.25">
      <c r="C94" s="124"/>
    </row>
    <row r="95" spans="3:3" ht="15" x14ac:dyDescent="0.25">
      <c r="C95" s="124"/>
    </row>
    <row r="96" spans="3:3" ht="15" x14ac:dyDescent="0.25">
      <c r="C96" s="124"/>
    </row>
    <row r="97" spans="3:3" ht="15" x14ac:dyDescent="0.25">
      <c r="C97" s="124"/>
    </row>
    <row r="98" spans="3:3" ht="15" x14ac:dyDescent="0.25">
      <c r="C98" s="124"/>
    </row>
    <row r="99" spans="3:3" ht="15" x14ac:dyDescent="0.25">
      <c r="C99" s="124"/>
    </row>
  </sheetData>
  <mergeCells count="2">
    <mergeCell ref="C2:F2"/>
    <mergeCell ref="C4:F4"/>
  </mergeCells>
  <pageMargins left="0.70866141732283472" right="0.70866141732283472" top="0.74803149606299213" bottom="0.74803149606299213" header="0.31496062992125984" footer="0.31496062992125984"/>
  <pageSetup paperSize="9" scale="79" orientation="landscape" r:id="rId1"/>
  <headerFooter>
    <oddFooter>&amp;L&amp;F&amp;C&amp;A&amp;R&amp;P of &amp;N</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06935-F804-479F-8976-4A5A70307688}">
  <sheetPr>
    <tabColor rgb="FF92D050"/>
    <pageSetUpPr fitToPage="1"/>
  </sheetPr>
  <dimension ref="A1:I11"/>
  <sheetViews>
    <sheetView tabSelected="1" topLeftCell="A7" workbookViewId="0">
      <selection activeCell="D10" sqref="D10"/>
    </sheetView>
  </sheetViews>
  <sheetFormatPr defaultRowHeight="15" x14ac:dyDescent="0.25"/>
  <cols>
    <col min="1" max="1" width="1.85546875" bestFit="1" customWidth="1"/>
    <col min="2" max="2" width="35" customWidth="1"/>
    <col min="3" max="3" width="36.85546875" customWidth="1"/>
    <col min="4" max="4" width="35.42578125" customWidth="1"/>
    <col min="5" max="5" width="32" customWidth="1"/>
    <col min="6" max="7" width="26.42578125" customWidth="1"/>
    <col min="8" max="8" width="3.42578125" customWidth="1"/>
  </cols>
  <sheetData>
    <row r="1" spans="1:9" s="46" customFormat="1" ht="14.45" customHeight="1" x14ac:dyDescent="0.25">
      <c r="A1" s="44"/>
      <c r="B1" s="140"/>
      <c r="C1" s="140"/>
      <c r="D1" s="140"/>
      <c r="E1" s="140"/>
      <c r="F1" s="140"/>
      <c r="G1" s="140"/>
      <c r="H1" s="140"/>
    </row>
    <row r="2" spans="1:9" s="46" customFormat="1" ht="15.6" customHeight="1" x14ac:dyDescent="0.25">
      <c r="A2" s="44"/>
      <c r="B2" s="64" t="s">
        <v>82</v>
      </c>
      <c r="C2" s="65" t="str">
        <f>'Scoring Summary'!C2</f>
        <v>&lt;insert before tender publication&gt;</v>
      </c>
      <c r="D2" s="140"/>
      <c r="E2" s="374" t="s">
        <v>167</v>
      </c>
      <c r="F2" s="375"/>
      <c r="G2" s="140"/>
      <c r="H2" s="140"/>
    </row>
    <row r="3" spans="1:9" s="46" customFormat="1" ht="15.6" customHeight="1" x14ac:dyDescent="0.25">
      <c r="A3" s="44"/>
      <c r="B3" s="64" t="s">
        <v>84</v>
      </c>
      <c r="C3" s="65" t="str">
        <f>'Scoring Summary'!C3</f>
        <v>&lt;insert before tender publication&gt;</v>
      </c>
      <c r="D3" s="140"/>
      <c r="E3" s="376"/>
      <c r="F3" s="377"/>
      <c r="G3" s="140"/>
      <c r="H3" s="140"/>
    </row>
    <row r="4" spans="1:9" s="46" customFormat="1" ht="14.45" customHeight="1" x14ac:dyDescent="0.25">
      <c r="A4" s="44"/>
      <c r="B4" s="64" t="s">
        <v>85</v>
      </c>
      <c r="C4" s="67" t="str">
        <f>'Scoring Summary'!C4</f>
        <v>&lt;Evaluator to complete&gt;</v>
      </c>
      <c r="D4" s="140"/>
      <c r="E4" s="112" t="s">
        <v>70</v>
      </c>
      <c r="F4" s="109"/>
      <c r="G4" s="140"/>
      <c r="H4" s="140"/>
    </row>
    <row r="5" spans="1:9" s="46" customFormat="1" ht="14.45" customHeight="1" x14ac:dyDescent="0.25">
      <c r="A5" s="44"/>
      <c r="B5" s="64" t="s">
        <v>87</v>
      </c>
      <c r="C5" s="67" t="str">
        <f>'Scoring Summary'!C5</f>
        <v>&lt;Evaluator to complete&gt;</v>
      </c>
      <c r="D5" s="140"/>
      <c r="E5" s="110"/>
      <c r="F5" s="111"/>
      <c r="G5" s="140"/>
      <c r="H5" s="140"/>
      <c r="I5"/>
    </row>
    <row r="6" spans="1:9" s="46" customFormat="1" ht="14.45" customHeight="1" x14ac:dyDescent="0.25">
      <c r="A6" s="44"/>
      <c r="B6" s="64" t="s">
        <v>89</v>
      </c>
      <c r="C6" s="67" t="str">
        <f>'Scoring Summary'!C6</f>
        <v>&lt;Evaluator to complete&gt;</v>
      </c>
      <c r="D6" s="140"/>
      <c r="E6" s="140"/>
      <c r="F6" s="140"/>
      <c r="G6" s="140"/>
      <c r="H6" s="140"/>
      <c r="I6"/>
    </row>
    <row r="7" spans="1:9" s="46" customFormat="1" ht="32.450000000000003" customHeight="1" x14ac:dyDescent="0.25">
      <c r="A7" s="44"/>
      <c r="B7" s="64" t="s">
        <v>90</v>
      </c>
      <c r="C7" s="67"/>
      <c r="D7" s="140"/>
      <c r="E7" s="140"/>
      <c r="F7" s="140"/>
      <c r="G7" s="140"/>
      <c r="H7" s="140"/>
      <c r="I7"/>
    </row>
    <row r="8" spans="1:9" s="46" customFormat="1" ht="12" customHeight="1" thickBot="1" x14ac:dyDescent="0.25">
      <c r="A8" s="44"/>
      <c r="B8" s="49"/>
      <c r="C8" s="49"/>
      <c r="D8" s="49"/>
      <c r="E8" s="72"/>
      <c r="F8" s="88">
        <f>COUNTIF(Table1[Scoring],"Pass")/(COUNTA(Table1[Scoring])+COUNTBLANK(Table1[Scoring]))</f>
        <v>0</v>
      </c>
      <c r="H8" s="47"/>
    </row>
    <row r="9" spans="1:9" s="47" customFormat="1" ht="57" customHeight="1" x14ac:dyDescent="0.2">
      <c r="A9" s="73"/>
      <c r="B9" s="91" t="s">
        <v>168</v>
      </c>
      <c r="C9" s="92" t="s">
        <v>169</v>
      </c>
      <c r="D9" s="93" t="s">
        <v>170</v>
      </c>
      <c r="E9" s="94" t="s">
        <v>171</v>
      </c>
      <c r="F9" s="95" t="s">
        <v>172</v>
      </c>
      <c r="G9" s="96" t="s">
        <v>30</v>
      </c>
    </row>
    <row r="10" spans="1:9" s="47" customFormat="1" ht="42" customHeight="1" x14ac:dyDescent="0.2">
      <c r="A10" s="58">
        <v>1</v>
      </c>
      <c r="B10" s="74" t="s">
        <v>173</v>
      </c>
      <c r="C10" s="74" t="s">
        <v>174</v>
      </c>
      <c r="D10" s="75"/>
      <c r="E10" s="76"/>
      <c r="F10" s="77"/>
      <c r="G10" s="78"/>
    </row>
    <row r="11" spans="1:9" s="47" customFormat="1" ht="42" customHeight="1" x14ac:dyDescent="0.2">
      <c r="A11" s="58">
        <v>2</v>
      </c>
      <c r="B11" s="74" t="s">
        <v>175</v>
      </c>
      <c r="C11" s="74" t="s">
        <v>176</v>
      </c>
      <c r="D11" s="75"/>
      <c r="E11" s="76"/>
      <c r="F11" s="77"/>
      <c r="G11" s="78"/>
    </row>
  </sheetData>
  <mergeCells count="1">
    <mergeCell ref="E2:F3"/>
  </mergeCells>
  <dataValidations count="1">
    <dataValidation type="list" allowBlank="1" showInputMessage="1" showErrorMessage="1" sqref="F10:F11" xr:uid="{21DF8596-6E9B-4AA7-A91A-7FD7C37A206D}">
      <formula1>"Pass,Fail"</formula1>
    </dataValidation>
  </dataValidations>
  <pageMargins left="0.7" right="0.7" top="0.75" bottom="0.75" header="0.3" footer="0.3"/>
  <pageSetup paperSize="9" scale="66" fitToHeight="0" orientation="landscape" r:id="rId1"/>
  <drawing r:id="rId2"/>
  <legacy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0CCB5-9A69-4E09-A2CE-6F3F53D70D51}">
  <sheetPr>
    <tabColor rgb="FFFF0000"/>
    <pageSetUpPr fitToPage="1"/>
  </sheetPr>
  <dimension ref="A2:AI24"/>
  <sheetViews>
    <sheetView topLeftCell="A24" zoomScaleNormal="100" workbookViewId="0">
      <selection activeCell="M13" sqref="M13"/>
    </sheetView>
  </sheetViews>
  <sheetFormatPr defaultColWidth="5.42578125" defaultRowHeight="12" x14ac:dyDescent="0.2"/>
  <cols>
    <col min="1" max="1" width="3" style="6" bestFit="1" customWidth="1"/>
    <col min="2" max="2" width="33.710937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9.7109375" style="6" customWidth="1"/>
    <col min="9" max="9" width="32.28515625" style="6" customWidth="1"/>
    <col min="10" max="10" width="12.140625" style="6" customWidth="1"/>
    <col min="11" max="11" width="15.85546875" style="6" customWidth="1"/>
    <col min="12" max="12" width="7.85546875" style="40" customWidth="1"/>
    <col min="13" max="13" width="19.7109375" style="6"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15">
        <f>'Scoring Summary'!C14</f>
        <v>0.5</v>
      </c>
      <c r="G11" s="43">
        <f>SUM(Table2614[Priority])</f>
        <v>66</v>
      </c>
      <c r="H11" s="8">
        <f>SUM(Table2614[Weight])</f>
        <v>0.50000000000000011</v>
      </c>
      <c r="I11" s="7"/>
      <c r="J11" s="7"/>
      <c r="K11" s="9" t="s">
        <v>17</v>
      </c>
      <c r="L11" s="8" t="e">
        <f>SUM(Table2614[Score])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86.95" customHeight="1" x14ac:dyDescent="0.2">
      <c r="A13" s="142">
        <v>1</v>
      </c>
      <c r="B13" s="21" t="s">
        <v>181</v>
      </c>
      <c r="C13" s="21" t="s">
        <v>182</v>
      </c>
      <c r="D13" s="21"/>
      <c r="E13" s="21" t="s">
        <v>55</v>
      </c>
      <c r="F13" s="120" t="s">
        <v>183</v>
      </c>
      <c r="G13" s="23" cm="1">
        <f t="array" ref="G13">_xlfn.IFS(F13="","",F13="No interest",0,F13="Nice to have",1,F13="Useful",2,F13="Important",3,F13="Very important",4,F13="Critical",5,F13="Show stopper",6)</f>
        <v>4</v>
      </c>
      <c r="H13" s="24">
        <f>(G13/$G$11)*$F$11</f>
        <v>3.0303030303030304E-2</v>
      </c>
      <c r="I13" s="166" t="s">
        <v>184</v>
      </c>
      <c r="J13" s="25" t="str" cm="1">
        <f t="array" ref="J13">_xlfn.TEXTJOIN(","&amp;CHAR(10),,TEXT(Table2614[[#This Row],[12]:[22]],"0,00%"))</f>
        <v>0,03%,
0,02%,
0,00%</v>
      </c>
      <c r="K13" s="26"/>
      <c r="L13" s="27" t="e">
        <f>H13-(H13*((MATCH(Table2614[[#This Row],[Evaluators Response (SELECT)]],Table2614[[#This Row],[1]:[11]],0)-1)/(COUNTA(Table2614[[#This Row],[1]:[11]])-COUNTBLANK(Table2614[[#This Row],[1]:[11]])-1)))</f>
        <v>#N/A</v>
      </c>
      <c r="M13" s="28"/>
      <c r="N13" s="29" t="str" cm="1">
        <f t="array" ref="N13">IFERROR(INDEX(_xlfn.UNIQUE(TRIM(_xlfn.TEXTSPLIT(Table2614[[#This Row],[Selection Options]:[Selection Options]],","))),,N$11),"")</f>
        <v>100%: &gt; 1000 employees</v>
      </c>
      <c r="O13" s="29" t="str" cm="1">
        <f t="array" ref="O13">IFERROR(INDEX(_xlfn.UNIQUE(TRIM(_xlfn.TEXTSPLIT(Table2614[[#This Row],[Selection Options]:[Selection Options]],","))),,O$11),"")</f>
        <v xml:space="preserve">
50%: 101 to 1000 employees</v>
      </c>
      <c r="P13" s="29" t="str" cm="1">
        <f t="array" ref="P13">IFERROR(INDEX(_xlfn.UNIQUE(TRIM(_xlfn.TEXTSPLIT(Table2614[[#This Row],[Selection Options]:[Selection Options]],","))),,P$11),"")</f>
        <v xml:space="preserve">
0%: blank or no employees</v>
      </c>
      <c r="Q13" s="29" t="str" cm="1">
        <f t="array" ref="Q13">IFERROR(INDEX(_xlfn.UNIQUE(TRIM(_xlfn.TEXTSPLIT(Table2614[[#This Row],[Selection Options]:[Selection Options]],","))),,Q$11),"")</f>
        <v/>
      </c>
      <c r="R13" s="29" t="str" cm="1">
        <f t="array" ref="R13">IFERROR(INDEX(_xlfn.UNIQUE(TRIM(_xlfn.TEXTSPLIT(Table2614[[#This Row],[Selection Options]:[Selection Options]],","))),,R$11),"")</f>
        <v/>
      </c>
      <c r="S13" s="29" t="str" cm="1">
        <f t="array" ref="S13">IFERROR(INDEX(_xlfn.UNIQUE(TRIM(_xlfn.TEXTSPLIT(Table2614[[#This Row],[Selection Options]:[Selection Options]],","))),,S$11),"")</f>
        <v/>
      </c>
      <c r="T13" s="29" t="str" cm="1">
        <f t="array" ref="T13">IFERROR(INDEX(_xlfn.UNIQUE(TRIM(_xlfn.TEXTSPLIT(Table2614[[#This Row],[Selection Options]:[Selection Options]],","))),,T$11),"")</f>
        <v/>
      </c>
      <c r="U13" s="29" t="str" cm="1">
        <f t="array" ref="U13">IFERROR(INDEX(_xlfn.UNIQUE(TRIM(_xlfn.TEXTSPLIT(Table2614[[#This Row],[Selection Options]:[Selection Options]],","))),,U$11),"")</f>
        <v/>
      </c>
      <c r="V13" s="29" t="str" cm="1">
        <f t="array" ref="V13">IFERROR(INDEX(_xlfn.UNIQUE(TRIM(_xlfn.TEXTSPLIT(Table2614[[#This Row],[Selection Options]:[Selection Options]],","))),,V$11),"")</f>
        <v/>
      </c>
      <c r="W13" s="29" t="str" cm="1">
        <f t="array" ref="W13">IFERROR(INDEX(_xlfn.UNIQUE(TRIM(_xlfn.TEXTSPLIT(Table2614[[#This Row],[Selection Options]:[Selection Options]],","))),,W$11),"")</f>
        <v/>
      </c>
      <c r="X13" s="29" t="str" cm="1">
        <f t="array" ref="X13">IFERROR(INDEX(_xlfn.UNIQUE(TRIM(_xlfn.TEXTSPLIT(Table2614[[#This Row],[Selection Options]:[Selection Options]],","))),,X$11),"")</f>
        <v/>
      </c>
      <c r="Y13" s="30" cm="1">
        <f t="array" ref="Y13">IF(Table2614[[#This Row],[1]]="","",Table2614[[#This Row],[Weight]:[Weight]]-(Table2614[[#This Row],[Weight]:[Weight]]*((_xlfn.XMATCH(Table2614[[#This Row],[1]],Table2614[[#This Row],[1]:[11]],0))-1)/(COUNTA(Table2614[[#This Row],[1]:[11]])-COUNTBLANK(Table2614[[#This Row],[1]:[11]])-1)))</f>
        <v>3.0303030303030304E-2</v>
      </c>
      <c r="Z13" s="30" cm="1">
        <f t="array" ref="Z13">IF(Table2614[[#This Row],[2]]="","",Table2614[[#This Row],[Weight]:[Weight]]-(Table2614[[#This Row],[Weight]:[Weight]]*((_xlfn.XMATCH(Table2614[[#This Row],[2]],Table2614[[#This Row],[1]:[11]],0))-1)/(COUNTA(Table2614[[#This Row],[1]:[11]])-COUNTBLANK(Table2614[[#This Row],[1]:[11]])-1)))</f>
        <v>1.5151515151515152E-2</v>
      </c>
      <c r="AA13" s="30" cm="1">
        <f t="array" ref="AA13">IF(Table2614[[#This Row],[3]]="","",Table2614[[#This Row],[Weight]:[Weight]]-(Table2614[[#This Row],[Weight]:[Weight]]*((_xlfn.XMATCH(Table2614[[#This Row],[3]],Table2614[[#This Row],[1]:[11]],0))-1)/(COUNTA(Table2614[[#This Row],[1]:[11]])-COUNTBLANK(Table2614[[#This Row],[1]:[11]])-1)))</f>
        <v>0</v>
      </c>
      <c r="AB13" s="30" t="str" cm="1">
        <f t="array" ref="AB13">IF(Table2614[[#This Row],[4]]="","",Table2614[[#This Row],[Weight]:[Weight]]-(Table2614[[#This Row],[Weight]:[Weight]]*((_xlfn.XMATCH(Table2614[[#This Row],[4]],Table2614[[#This Row],[1]:[11]],0))-1)/(COUNTA(Table2614[[#This Row],[1]:[11]])-COUNTBLANK(Table2614[[#This Row],[1]:[11]])-1)))</f>
        <v/>
      </c>
      <c r="AC13" s="30" t="str" cm="1">
        <f t="array" ref="AC13">IF(Table2614[[#This Row],[5]]="","",Table2614[[#This Row],[Weight]:[Weight]]-(Table2614[[#This Row],[Weight]:[Weight]]*((_xlfn.XMATCH(Table2614[[#This Row],[5]],Table2614[[#This Row],[1]:[11]],0))-1)/(COUNTA(Table2614[[#This Row],[1]:[11]])-COUNTBLANK(Table2614[[#This Row],[1]:[11]])-1)))</f>
        <v/>
      </c>
      <c r="AD13" s="30" t="str" cm="1">
        <f t="array" ref="AD13">IF(Table2614[[#This Row],[6]]="","",Table2614[[#This Row],[Weight]:[Weight]]-(Table2614[[#This Row],[Weight]:[Weight]]*((_xlfn.XMATCH(Table2614[[#This Row],[6]],Table2614[[#This Row],[1]:[11]],0))-1)/(COUNTA(Table2614[[#This Row],[1]:[11]])-COUNTBLANK(Table2614[[#This Row],[1]:[11]])-1)))</f>
        <v/>
      </c>
      <c r="AE13" s="30" t="str" cm="1">
        <f t="array" ref="AE13">IF(Table2614[[#This Row],[7]]="","",Table2614[[#This Row],[Weight]:[Weight]]-(Table2614[[#This Row],[Weight]:[Weight]]*((_xlfn.XMATCH(Table2614[[#This Row],[7]],Table2614[[#This Row],[1]:[11]],0))-1)/(COUNTA(Table2614[[#This Row],[1]:[11]])-COUNTBLANK(Table2614[[#This Row],[1]:[11]])-1)))</f>
        <v/>
      </c>
      <c r="AF13" s="30" t="str" cm="1">
        <f t="array" ref="AF13">IF(Table2614[[#This Row],[8]]="","",Table2614[[#This Row],[Weight]:[Weight]]-(Table2614[[#This Row],[Weight]:[Weight]]*((_xlfn.XMATCH(Table2614[[#This Row],[8]],Table2614[[#This Row],[1]:[11]],0))-1)/(COUNTA(Table2614[[#This Row],[1]:[11]])-COUNTBLANK(Table2614[[#This Row],[1]:[11]])-1)))</f>
        <v/>
      </c>
      <c r="AG13" s="30" t="str" cm="1">
        <f t="array" ref="AG13">IF(Table2614[[#This Row],[9]]="","",Table2614[[#This Row],[Weight]:[Weight]]-(Table2614[[#This Row],[Weight]:[Weight]]*((_xlfn.XMATCH(Table2614[[#This Row],[9]],Table2614[[#This Row],[1]:[11]],0))-1)/(COUNTA(Table2614[[#This Row],[1]:[11]])-COUNTBLANK(Table2614[[#This Row],[1]:[11]])-1)))</f>
        <v/>
      </c>
      <c r="AH13" s="30" t="str" cm="1">
        <f t="array" ref="AH13">IF(Table2614[[#This Row],[10]]="","",Table2614[[#This Row],[Weight]:[Weight]]-(Table2614[[#This Row],[Weight]:[Weight]]*((_xlfn.XMATCH(Table2614[[#This Row],[10]],Table2614[[#This Row],[1]:[11]],0))-1)/(COUNTA(Table2614[[#This Row],[1]:[11]])-COUNTBLANK(Table2614[[#This Row],[1]:[11]])-1)))</f>
        <v/>
      </c>
      <c r="AI13" s="30" t="str" cm="1">
        <f t="array" ref="AI13">IF(Table2614[[#This Row],[11]]="","",Table2614[[#This Row],[Weight]:[Weight]]-(Table2614[[#This Row],[Weight]:[Weight]]*((_xlfn.XMATCH(Table2614[[#This Row],[11]],Table2614[[#This Row],[1]:[11]],0))-1)/(COUNTA(Table2614[[#This Row],[1]:[11]])-COUNTBLANK(Table2614[[#This Row],[1]:[11]])-1)))</f>
        <v/>
      </c>
    </row>
    <row r="14" spans="1:35" ht="184.5" customHeight="1" x14ac:dyDescent="0.2">
      <c r="A14" s="142">
        <v>2</v>
      </c>
      <c r="B14" s="90" t="s">
        <v>185</v>
      </c>
      <c r="C14" s="90" t="s">
        <v>182</v>
      </c>
      <c r="D14" s="146"/>
      <c r="E14" s="31"/>
      <c r="F14" s="120" t="s">
        <v>183</v>
      </c>
      <c r="G14" s="23" cm="1">
        <f t="array" ref="G14">_xlfn.IFS(F14="","",F14="No interest",0,F14="Nice to have",1,F14="Useful",2,F14="Important",3,F14="Very important",4,F14="Critical",5,F14="Show stopper",6)</f>
        <v>4</v>
      </c>
      <c r="H14" s="24">
        <f t="shared" ref="H14:H16" si="0">(G14/$G$11)*$F$11</f>
        <v>3.0303030303030304E-2</v>
      </c>
      <c r="I14" s="90" t="s">
        <v>186</v>
      </c>
      <c r="J14" s="25" t="str" cm="1">
        <f t="array" ref="J14">_xlfn.TEXTJOIN(","&amp;CHAR(10),,TEXT(Table2614[[#This Row],[12]:[22]],"0,00%"))</f>
        <v>0,03%,
0,02%,
0,00%</v>
      </c>
      <c r="K14" s="26"/>
      <c r="L14" s="27" t="e">
        <f>H14-(H14*((MATCH(Table2614[[#This Row],[Evaluators Response (SELECT)]],Table2614[[#This Row],[1]:[11]],0)-1)/(COUNTA(Table2614[[#This Row],[1]:[11]])-COUNTBLANK(Table2614[[#This Row],[1]:[11]])-1)))</f>
        <v>#N/A</v>
      </c>
      <c r="M14" s="28"/>
      <c r="N14" s="29" t="str" cm="1">
        <f t="array" ref="N14">IFERROR(INDEX(_xlfn.UNIQUE(TRIM(_xlfn.TEXTSPLIT(Table2614[[#This Row],[Selection Options]:[Selection Options]],","))),,N$11),"")</f>
        <v>100%: &gt; 20 employees</v>
      </c>
      <c r="O14" s="29" t="str" cm="1">
        <f t="array" ref="O14">IFERROR(INDEX(_xlfn.UNIQUE(TRIM(_xlfn.TEXTSPLIT(Table2614[[#This Row],[Selection Options]:[Selection Options]],","))),,O$11),"")</f>
        <v xml:space="preserve">
50%: 1 - 20 employees</v>
      </c>
      <c r="P14" s="29" t="str" cm="1">
        <f t="array" ref="P14">IFERROR(INDEX(_xlfn.UNIQUE(TRIM(_xlfn.TEXTSPLIT(Table2614[[#This Row],[Selection Options]:[Selection Options]],","))),,P$11),"")</f>
        <v xml:space="preserve">
0%: blank or no employees</v>
      </c>
      <c r="Q14" s="29" t="str" cm="1">
        <f t="array" ref="Q14">IFERROR(INDEX(_xlfn.UNIQUE(TRIM(_xlfn.TEXTSPLIT(Table2614[[#This Row],[Selection Options]:[Selection Options]],","))),,Q$11),"")</f>
        <v/>
      </c>
      <c r="R14" s="29" t="str" cm="1">
        <f t="array" ref="R14">IFERROR(INDEX(_xlfn.UNIQUE(TRIM(_xlfn.TEXTSPLIT(Table2614[[#This Row],[Selection Options]:[Selection Options]],","))),,R$11),"")</f>
        <v/>
      </c>
      <c r="S14" s="29" t="str" cm="1">
        <f t="array" ref="S14">IFERROR(INDEX(_xlfn.UNIQUE(TRIM(_xlfn.TEXTSPLIT(Table2614[[#This Row],[Selection Options]:[Selection Options]],","))),,S$11),"")</f>
        <v/>
      </c>
      <c r="T14" s="29" t="str" cm="1">
        <f t="array" ref="T14">IFERROR(INDEX(_xlfn.UNIQUE(TRIM(_xlfn.TEXTSPLIT(Table2614[[#This Row],[Selection Options]:[Selection Options]],","))),,T$11),"")</f>
        <v/>
      </c>
      <c r="U14" s="29" t="str" cm="1">
        <f t="array" ref="U14">IFERROR(INDEX(_xlfn.UNIQUE(TRIM(_xlfn.TEXTSPLIT(Table2614[[#This Row],[Selection Options]:[Selection Options]],","))),,U$11),"")</f>
        <v/>
      </c>
      <c r="V14" s="29" t="str" cm="1">
        <f t="array" ref="V14">IFERROR(INDEX(_xlfn.UNIQUE(TRIM(_xlfn.TEXTSPLIT(Table2614[[#This Row],[Selection Options]:[Selection Options]],","))),,V$11),"")</f>
        <v/>
      </c>
      <c r="W14" s="29" t="str" cm="1">
        <f t="array" ref="W14">IFERROR(INDEX(_xlfn.UNIQUE(TRIM(_xlfn.TEXTSPLIT(Table2614[[#This Row],[Selection Options]:[Selection Options]],","))),,W$11),"")</f>
        <v/>
      </c>
      <c r="X14" s="29" t="str" cm="1">
        <f t="array" ref="X14">IFERROR(INDEX(_xlfn.UNIQUE(TRIM(_xlfn.TEXTSPLIT(Table2614[[#This Row],[Selection Options]:[Selection Options]],","))),,X$11),"")</f>
        <v/>
      </c>
      <c r="Y14" s="30" cm="1">
        <f t="array" ref="Y14">IF(Table2614[[#This Row],[1]]="","",Table2614[[#This Row],[Weight]:[Weight]]-(Table2614[[#This Row],[Weight]:[Weight]]*((_xlfn.XMATCH(Table2614[[#This Row],[1]],Table2614[[#This Row],[1]:[11]],0))-1)/(COUNTA(Table2614[[#This Row],[1]:[11]])-COUNTBLANK(Table2614[[#This Row],[1]:[11]])-1)))</f>
        <v>3.0303030303030304E-2</v>
      </c>
      <c r="Z14" s="30" cm="1">
        <f t="array" ref="Z14">IF(Table2614[[#This Row],[2]]="","",Table2614[[#This Row],[Weight]:[Weight]]-(Table2614[[#This Row],[Weight]:[Weight]]*((_xlfn.XMATCH(Table2614[[#This Row],[2]],Table2614[[#This Row],[1]:[11]],0))-1)/(COUNTA(Table2614[[#This Row],[1]:[11]])-COUNTBLANK(Table2614[[#This Row],[1]:[11]])-1)))</f>
        <v>1.5151515151515152E-2</v>
      </c>
      <c r="AA14" s="30" cm="1">
        <f t="array" ref="AA14">IF(Table2614[[#This Row],[3]]="","",Table2614[[#This Row],[Weight]:[Weight]]-(Table2614[[#This Row],[Weight]:[Weight]]*((_xlfn.XMATCH(Table2614[[#This Row],[3]],Table2614[[#This Row],[1]:[11]],0))-1)/(COUNTA(Table2614[[#This Row],[1]:[11]])-COUNTBLANK(Table2614[[#This Row],[1]:[11]])-1)))</f>
        <v>0</v>
      </c>
      <c r="AB14" s="30" t="str" cm="1">
        <f t="array" ref="AB14">IF(Table2614[[#This Row],[4]]="","",Table2614[[#This Row],[Weight]:[Weight]]-(Table2614[[#This Row],[Weight]:[Weight]]*((_xlfn.XMATCH(Table2614[[#This Row],[4]],Table2614[[#This Row],[1]:[11]],0))-1)/(COUNTA(Table2614[[#This Row],[1]:[11]])-COUNTBLANK(Table2614[[#This Row],[1]:[11]])-1)))</f>
        <v/>
      </c>
      <c r="AC14" s="30" t="str" cm="1">
        <f t="array" ref="AC14">IF(Table2614[[#This Row],[5]]="","",Table2614[[#This Row],[Weight]:[Weight]]-(Table2614[[#This Row],[Weight]:[Weight]]*((_xlfn.XMATCH(Table2614[[#This Row],[5]],Table2614[[#This Row],[1]:[11]],0))-1)/(COUNTA(Table2614[[#This Row],[1]:[11]])-COUNTBLANK(Table2614[[#This Row],[1]:[11]])-1)))</f>
        <v/>
      </c>
      <c r="AD14" s="30" t="str" cm="1">
        <f t="array" ref="AD14">IF(Table2614[[#This Row],[6]]="","",Table2614[[#This Row],[Weight]:[Weight]]-(Table2614[[#This Row],[Weight]:[Weight]]*((_xlfn.XMATCH(Table2614[[#This Row],[6]],Table2614[[#This Row],[1]:[11]],0))-1)/(COUNTA(Table2614[[#This Row],[1]:[11]])-COUNTBLANK(Table2614[[#This Row],[1]:[11]])-1)))</f>
        <v/>
      </c>
      <c r="AE14" s="30" t="str" cm="1">
        <f t="array" ref="AE14">IF(Table2614[[#This Row],[7]]="","",Table2614[[#This Row],[Weight]:[Weight]]-(Table2614[[#This Row],[Weight]:[Weight]]*((_xlfn.XMATCH(Table2614[[#This Row],[7]],Table2614[[#This Row],[1]:[11]],0))-1)/(COUNTA(Table2614[[#This Row],[1]:[11]])-COUNTBLANK(Table2614[[#This Row],[1]:[11]])-1)))</f>
        <v/>
      </c>
      <c r="AF14" s="30" t="str" cm="1">
        <f t="array" ref="AF14">IF(Table2614[[#This Row],[8]]="","",Table2614[[#This Row],[Weight]:[Weight]]-(Table2614[[#This Row],[Weight]:[Weight]]*((_xlfn.XMATCH(Table2614[[#This Row],[8]],Table2614[[#This Row],[1]:[11]],0))-1)/(COUNTA(Table2614[[#This Row],[1]:[11]])-COUNTBLANK(Table2614[[#This Row],[1]:[11]])-1)))</f>
        <v/>
      </c>
      <c r="AG14" s="30" t="str" cm="1">
        <f t="array" ref="AG14">IF(Table2614[[#This Row],[9]]="","",Table2614[[#This Row],[Weight]:[Weight]]-(Table2614[[#This Row],[Weight]:[Weight]]*((_xlfn.XMATCH(Table2614[[#This Row],[9]],Table2614[[#This Row],[1]:[11]],0))-1)/(COUNTA(Table2614[[#This Row],[1]:[11]])-COUNTBLANK(Table2614[[#This Row],[1]:[11]])-1)))</f>
        <v/>
      </c>
      <c r="AH14" s="30" t="str" cm="1">
        <f t="array" ref="AH14">IF(Table2614[[#This Row],[10]]="","",Table2614[[#This Row],[Weight]:[Weight]]-(Table2614[[#This Row],[Weight]:[Weight]]*((_xlfn.XMATCH(Table2614[[#This Row],[10]],Table2614[[#This Row],[1]:[11]],0))-1)/(COUNTA(Table2614[[#This Row],[1]:[11]])-COUNTBLANK(Table2614[[#This Row],[1]:[11]])-1)))</f>
        <v/>
      </c>
      <c r="AI14" s="30" t="str" cm="1">
        <f t="array" ref="AI14">IF(Table2614[[#This Row],[11]]="","",Table2614[[#This Row],[Weight]:[Weight]]-(Table2614[[#This Row],[Weight]:[Weight]]*((_xlfn.XMATCH(Table2614[[#This Row],[11]],Table2614[[#This Row],[1]:[11]],0))-1)/(COUNTA(Table2614[[#This Row],[1]:[11]])-COUNTBLANK(Table2614[[#This Row],[1]:[11]])-1)))</f>
        <v/>
      </c>
    </row>
    <row r="15" spans="1:35" ht="180" x14ac:dyDescent="0.2">
      <c r="A15" s="142">
        <v>3</v>
      </c>
      <c r="B15" s="119" t="s">
        <v>187</v>
      </c>
      <c r="C15" s="90" t="s">
        <v>182</v>
      </c>
      <c r="D15" s="147"/>
      <c r="E15" s="32"/>
      <c r="F15" s="121" t="s">
        <v>188</v>
      </c>
      <c r="G15" s="33" cm="1">
        <f t="array" ref="G15">_xlfn.IFS(F15="","",F15="No interest",0,F15="Nice to have",1,F15="Useful",2,F15="Important",3,F15="Very important",4,F15="Critical",5,F15="Show stopper",6)</f>
        <v>5</v>
      </c>
      <c r="H15" s="34">
        <f t="shared" si="0"/>
        <v>3.787878787878788E-2</v>
      </c>
      <c r="I15" s="119" t="s">
        <v>189</v>
      </c>
      <c r="J15" s="35" t="str" cm="1">
        <f t="array" ref="J15">_xlfn.TEXTJOIN(","&amp;CHAR(10),,TEXT(Table2614[[#This Row],[12]:[22]],"0,00%"))</f>
        <v>0,04%,
0,02%,
0,00%</v>
      </c>
      <c r="K15" s="36"/>
      <c r="L15" s="37" t="e">
        <f>H15-(H15*((MATCH(Table2614[[#This Row],[Evaluators Response (SELECT)]],Table2614[[#This Row],[1]:[11]],0)-1)/(COUNTA(Table2614[[#This Row],[1]:[11]])-COUNTBLANK(Table2614[[#This Row],[1]:[11]])-1)))</f>
        <v>#N/A</v>
      </c>
      <c r="M15" s="38"/>
      <c r="N15" s="29" t="str" cm="1">
        <f t="array" ref="N15">IFERROR(INDEX(_xlfn.UNIQUE(TRIM(_xlfn.TEXTSPLIT(Table2614[[#This Row],[Selection Options]:[Selection Options]],","))),,N$11),"")</f>
        <v>100%: &gt; 100 employees</v>
      </c>
      <c r="O15" s="29" t="str" cm="1">
        <f t="array" ref="O15">IFERROR(INDEX(_xlfn.UNIQUE(TRIM(_xlfn.TEXTSPLIT(Table2614[[#This Row],[Selection Options]:[Selection Options]],","))),,O$11),"")</f>
        <v xml:space="preserve">
50%: 20 - 100 employees</v>
      </c>
      <c r="P15" s="29" t="str" cm="1">
        <f t="array" ref="P15">IFERROR(INDEX(_xlfn.UNIQUE(TRIM(_xlfn.TEXTSPLIT(Table2614[[#This Row],[Selection Options]:[Selection Options]],","))),,P$11),"")</f>
        <v xml:space="preserve">
0%: blank or no employees</v>
      </c>
      <c r="Q15" s="29" t="str" cm="1">
        <f t="array" ref="Q15">IFERROR(INDEX(_xlfn.UNIQUE(TRIM(_xlfn.TEXTSPLIT(Table2614[[#This Row],[Selection Options]:[Selection Options]],","))),,Q$11),"")</f>
        <v/>
      </c>
      <c r="R15" s="29" t="str" cm="1">
        <f t="array" ref="R15">IFERROR(INDEX(_xlfn.UNIQUE(TRIM(_xlfn.TEXTSPLIT(Table2614[[#This Row],[Selection Options]:[Selection Options]],","))),,R$11),"")</f>
        <v/>
      </c>
      <c r="S15" s="29" t="str" cm="1">
        <f t="array" ref="S15">IFERROR(INDEX(_xlfn.UNIQUE(TRIM(_xlfn.TEXTSPLIT(Table2614[[#This Row],[Selection Options]:[Selection Options]],","))),,S$11),"")</f>
        <v/>
      </c>
      <c r="T15" s="29" t="str" cm="1">
        <f t="array" ref="T15">IFERROR(INDEX(_xlfn.UNIQUE(TRIM(_xlfn.TEXTSPLIT(Table2614[[#This Row],[Selection Options]:[Selection Options]],","))),,T$11),"")</f>
        <v/>
      </c>
      <c r="U15" s="29" t="str" cm="1">
        <f t="array" ref="U15">IFERROR(INDEX(_xlfn.UNIQUE(TRIM(_xlfn.TEXTSPLIT(Table2614[[#This Row],[Selection Options]:[Selection Options]],","))),,U$11),"")</f>
        <v/>
      </c>
      <c r="V15" s="29" t="str" cm="1">
        <f t="array" ref="V15">IFERROR(INDEX(_xlfn.UNIQUE(TRIM(_xlfn.TEXTSPLIT(Table2614[[#This Row],[Selection Options]:[Selection Options]],","))),,V$11),"")</f>
        <v/>
      </c>
      <c r="W15" s="29" t="str" cm="1">
        <f t="array" ref="W15">IFERROR(INDEX(_xlfn.UNIQUE(TRIM(_xlfn.TEXTSPLIT(Table2614[[#This Row],[Selection Options]:[Selection Options]],","))),,W$11),"")</f>
        <v/>
      </c>
      <c r="X15" s="29" t="str" cm="1">
        <f t="array" ref="X15">IFERROR(INDEX(_xlfn.UNIQUE(TRIM(_xlfn.TEXTSPLIT(Table2614[[#This Row],[Selection Options]:[Selection Options]],","))),,X$11),"")</f>
        <v/>
      </c>
      <c r="Y15" s="30" cm="1">
        <f t="array" ref="Y15">IF(Table2614[[#This Row],[1]]="","",Table2614[[#This Row],[Weight]:[Weight]]-(Table2614[[#This Row],[Weight]:[Weight]]*((_xlfn.XMATCH(Table2614[[#This Row],[1]],Table2614[[#This Row],[1]:[11]],0))-1)/(COUNTA(Table2614[[#This Row],[1]:[11]])-COUNTBLANK(Table2614[[#This Row],[1]:[11]])-1)))</f>
        <v>3.787878787878788E-2</v>
      </c>
      <c r="Z15" s="30" cm="1">
        <f t="array" ref="Z15">IF(Table2614[[#This Row],[2]]="","",Table2614[[#This Row],[Weight]:[Weight]]-(Table2614[[#This Row],[Weight]:[Weight]]*((_xlfn.XMATCH(Table2614[[#This Row],[2]],Table2614[[#This Row],[1]:[11]],0))-1)/(COUNTA(Table2614[[#This Row],[1]:[11]])-COUNTBLANK(Table2614[[#This Row],[1]:[11]])-1)))</f>
        <v>1.893939393939394E-2</v>
      </c>
      <c r="AA15" s="30" cm="1">
        <f t="array" ref="AA15">IF(Table2614[[#This Row],[3]]="","",Table2614[[#This Row],[Weight]:[Weight]]-(Table2614[[#This Row],[Weight]:[Weight]]*((_xlfn.XMATCH(Table2614[[#This Row],[3]],Table2614[[#This Row],[1]:[11]],0))-1)/(COUNTA(Table2614[[#This Row],[1]:[11]])-COUNTBLANK(Table2614[[#This Row],[1]:[11]])-1)))</f>
        <v>0</v>
      </c>
      <c r="AB15" s="30" t="str" cm="1">
        <f t="array" ref="AB15">IF(Table2614[[#This Row],[4]]="","",Table2614[[#This Row],[Weight]:[Weight]]-(Table2614[[#This Row],[Weight]:[Weight]]*((_xlfn.XMATCH(Table2614[[#This Row],[4]],Table2614[[#This Row],[1]:[11]],0))-1)/(COUNTA(Table2614[[#This Row],[1]:[11]])-COUNTBLANK(Table2614[[#This Row],[1]:[11]])-1)))</f>
        <v/>
      </c>
      <c r="AC15" s="30" t="str" cm="1">
        <f t="array" ref="AC15">IF(Table2614[[#This Row],[5]]="","",Table2614[[#This Row],[Weight]:[Weight]]-(Table2614[[#This Row],[Weight]:[Weight]]*((_xlfn.XMATCH(Table2614[[#This Row],[5]],Table2614[[#This Row],[1]:[11]],0))-1)/(COUNTA(Table2614[[#This Row],[1]:[11]])-COUNTBLANK(Table2614[[#This Row],[1]:[11]])-1)))</f>
        <v/>
      </c>
      <c r="AD15" s="30" t="str" cm="1">
        <f t="array" ref="AD15">IF(Table2614[[#This Row],[6]]="","",Table2614[[#This Row],[Weight]:[Weight]]-(Table2614[[#This Row],[Weight]:[Weight]]*((_xlfn.XMATCH(Table2614[[#This Row],[6]],Table2614[[#This Row],[1]:[11]],0))-1)/(COUNTA(Table2614[[#This Row],[1]:[11]])-COUNTBLANK(Table2614[[#This Row],[1]:[11]])-1)))</f>
        <v/>
      </c>
      <c r="AE15" s="30" t="str" cm="1">
        <f t="array" ref="AE15">IF(Table2614[[#This Row],[7]]="","",Table2614[[#This Row],[Weight]:[Weight]]-(Table2614[[#This Row],[Weight]:[Weight]]*((_xlfn.XMATCH(Table2614[[#This Row],[7]],Table2614[[#This Row],[1]:[11]],0))-1)/(COUNTA(Table2614[[#This Row],[1]:[11]])-COUNTBLANK(Table2614[[#This Row],[1]:[11]])-1)))</f>
        <v/>
      </c>
      <c r="AF15" s="30" t="str" cm="1">
        <f t="array" ref="AF15">IF(Table2614[[#This Row],[8]]="","",Table2614[[#This Row],[Weight]:[Weight]]-(Table2614[[#This Row],[Weight]:[Weight]]*((_xlfn.XMATCH(Table2614[[#This Row],[8]],Table2614[[#This Row],[1]:[11]],0))-1)/(COUNTA(Table2614[[#This Row],[1]:[11]])-COUNTBLANK(Table2614[[#This Row],[1]:[11]])-1)))</f>
        <v/>
      </c>
      <c r="AG15" s="30" t="str" cm="1">
        <f t="array" ref="AG15">IF(Table2614[[#This Row],[9]]="","",Table2614[[#This Row],[Weight]:[Weight]]-(Table2614[[#This Row],[Weight]:[Weight]]*((_xlfn.XMATCH(Table2614[[#This Row],[9]],Table2614[[#This Row],[1]:[11]],0))-1)/(COUNTA(Table2614[[#This Row],[1]:[11]])-COUNTBLANK(Table2614[[#This Row],[1]:[11]])-1)))</f>
        <v/>
      </c>
      <c r="AH15" s="30" t="str" cm="1">
        <f t="array" ref="AH15">IF(Table2614[[#This Row],[10]]="","",Table2614[[#This Row],[Weight]:[Weight]]-(Table2614[[#This Row],[Weight]:[Weight]]*((_xlfn.XMATCH(Table2614[[#This Row],[10]],Table2614[[#This Row],[1]:[11]],0))-1)/(COUNTA(Table2614[[#This Row],[1]:[11]])-COUNTBLANK(Table2614[[#This Row],[1]:[11]])-1)))</f>
        <v/>
      </c>
      <c r="AI15" s="30" t="str" cm="1">
        <f t="array" ref="AI15">IF(Table2614[[#This Row],[11]]="","",Table2614[[#This Row],[Weight]:[Weight]]-(Table2614[[#This Row],[Weight]:[Weight]]*((_xlfn.XMATCH(Table2614[[#This Row],[11]],Table2614[[#This Row],[1]:[11]],0))-1)/(COUNTA(Table2614[[#This Row],[1]:[11]])-COUNTBLANK(Table2614[[#This Row],[1]:[11]])-1)))</f>
        <v/>
      </c>
    </row>
    <row r="16" spans="1:35" ht="180" x14ac:dyDescent="0.2">
      <c r="A16" s="142">
        <v>4</v>
      </c>
      <c r="B16" s="90" t="s">
        <v>190</v>
      </c>
      <c r="C16" s="90" t="s">
        <v>182</v>
      </c>
      <c r="D16" s="146"/>
      <c r="E16" s="31"/>
      <c r="F16" s="120" t="s">
        <v>188</v>
      </c>
      <c r="G16" s="23" cm="1">
        <f t="array" ref="G16">_xlfn.IFS(F16="","",F16="No interest",0,F16="Nice to have",1,F16="Useful",2,F16="Important",3,F16="Very important",4,F16="Critical",5,F16="Show stopper",6)</f>
        <v>5</v>
      </c>
      <c r="H16" s="24">
        <f t="shared" si="0"/>
        <v>3.787878787878788E-2</v>
      </c>
      <c r="I16" s="90" t="s">
        <v>189</v>
      </c>
      <c r="J16" s="25" t="str" cm="1">
        <f t="array" ref="J16">_xlfn.TEXTJOIN(","&amp;CHAR(10),,TEXT(Table2614[[#This Row],[12]:[22]],"0,00%"))</f>
        <v>0,04%,
0,02%,
0,00%</v>
      </c>
      <c r="K16" s="26"/>
      <c r="L16" s="27" t="e">
        <f>H16-(H16*((MATCH(Table2614[[#This Row],[Evaluators Response (SELECT)]],Table2614[[#This Row],[1]:[11]],0)-1)/(COUNTA(Table2614[[#This Row],[1]:[11]])-COUNTBLANK(Table2614[[#This Row],[1]:[11]])-1)))</f>
        <v>#N/A</v>
      </c>
      <c r="M16" s="28"/>
      <c r="N16" s="29" t="str" cm="1">
        <f t="array" ref="N16">IFERROR(INDEX(_xlfn.UNIQUE(TRIM(_xlfn.TEXTSPLIT(Table2614[[#This Row],[Selection Options]:[Selection Options]],","))),,N$11),"")</f>
        <v>100%: &gt; 100 employees</v>
      </c>
      <c r="O16" s="29" t="str" cm="1">
        <f t="array" ref="O16">IFERROR(INDEX(_xlfn.UNIQUE(TRIM(_xlfn.TEXTSPLIT(Table2614[[#This Row],[Selection Options]:[Selection Options]],","))),,O$11),"")</f>
        <v xml:space="preserve">
50%: 20 - 100 employees</v>
      </c>
      <c r="P16" s="29" t="str" cm="1">
        <f t="array" ref="P16">IFERROR(INDEX(_xlfn.UNIQUE(TRIM(_xlfn.TEXTSPLIT(Table2614[[#This Row],[Selection Options]:[Selection Options]],","))),,P$11),"")</f>
        <v xml:space="preserve">
0%: blank or no employees</v>
      </c>
      <c r="Q16" s="29" t="str" cm="1">
        <f t="array" ref="Q16">IFERROR(INDEX(_xlfn.UNIQUE(TRIM(_xlfn.TEXTSPLIT(Table2614[[#This Row],[Selection Options]:[Selection Options]],","))),,Q$11),"")</f>
        <v/>
      </c>
      <c r="R16" s="29" t="str" cm="1">
        <f t="array" ref="R16">IFERROR(INDEX(_xlfn.UNIQUE(TRIM(_xlfn.TEXTSPLIT(Table2614[[#This Row],[Selection Options]:[Selection Options]],","))),,R$11),"")</f>
        <v/>
      </c>
      <c r="S16" s="29" t="str" cm="1">
        <f t="array" ref="S16">IFERROR(INDEX(_xlfn.UNIQUE(TRIM(_xlfn.TEXTSPLIT(Table2614[[#This Row],[Selection Options]:[Selection Options]],","))),,S$11),"")</f>
        <v/>
      </c>
      <c r="T16" s="29" t="str" cm="1">
        <f t="array" ref="T16">IFERROR(INDEX(_xlfn.UNIQUE(TRIM(_xlfn.TEXTSPLIT(Table2614[[#This Row],[Selection Options]:[Selection Options]],","))),,T$11),"")</f>
        <v/>
      </c>
      <c r="U16" s="29" t="str" cm="1">
        <f t="array" ref="U16">IFERROR(INDEX(_xlfn.UNIQUE(TRIM(_xlfn.TEXTSPLIT(Table2614[[#This Row],[Selection Options]:[Selection Options]],","))),,U$11),"")</f>
        <v/>
      </c>
      <c r="V16" s="29" t="str" cm="1">
        <f t="array" ref="V16">IFERROR(INDEX(_xlfn.UNIQUE(TRIM(_xlfn.TEXTSPLIT(Table2614[[#This Row],[Selection Options]:[Selection Options]],","))),,V$11),"")</f>
        <v/>
      </c>
      <c r="W16" s="29" t="str" cm="1">
        <f t="array" ref="W16">IFERROR(INDEX(_xlfn.UNIQUE(TRIM(_xlfn.TEXTSPLIT(Table2614[[#This Row],[Selection Options]:[Selection Options]],","))),,W$11),"")</f>
        <v/>
      </c>
      <c r="X16" s="29" t="str" cm="1">
        <f t="array" ref="X16">IFERROR(INDEX(_xlfn.UNIQUE(TRIM(_xlfn.TEXTSPLIT(Table2614[[#This Row],[Selection Options]:[Selection Options]],","))),,X$11),"")</f>
        <v/>
      </c>
      <c r="Y16" s="30" cm="1">
        <f t="array" ref="Y16">IF(Table2614[[#This Row],[1]]="","",Table2614[[#This Row],[Weight]:[Weight]]-(Table2614[[#This Row],[Weight]:[Weight]]*((_xlfn.XMATCH(Table2614[[#This Row],[1]],Table2614[[#This Row],[1]:[11]],0))-1)/(COUNTA(Table2614[[#This Row],[1]:[11]])-COUNTBLANK(Table2614[[#This Row],[1]:[11]])-1)))</f>
        <v>3.787878787878788E-2</v>
      </c>
      <c r="Z16" s="30" cm="1">
        <f t="array" ref="Z16">IF(Table2614[[#This Row],[2]]="","",Table2614[[#This Row],[Weight]:[Weight]]-(Table2614[[#This Row],[Weight]:[Weight]]*((_xlfn.XMATCH(Table2614[[#This Row],[2]],Table2614[[#This Row],[1]:[11]],0))-1)/(COUNTA(Table2614[[#This Row],[1]:[11]])-COUNTBLANK(Table2614[[#This Row],[1]:[11]])-1)))</f>
        <v>1.893939393939394E-2</v>
      </c>
      <c r="AA16" s="30" cm="1">
        <f t="array" ref="AA16">IF(Table2614[[#This Row],[3]]="","",Table2614[[#This Row],[Weight]:[Weight]]-(Table2614[[#This Row],[Weight]:[Weight]]*((_xlfn.XMATCH(Table2614[[#This Row],[3]],Table2614[[#This Row],[1]:[11]],0))-1)/(COUNTA(Table2614[[#This Row],[1]:[11]])-COUNTBLANK(Table2614[[#This Row],[1]:[11]])-1)))</f>
        <v>0</v>
      </c>
      <c r="AB16" s="30" t="str" cm="1">
        <f t="array" ref="AB16">IF(Table2614[[#This Row],[4]]="","",Table2614[[#This Row],[Weight]:[Weight]]-(Table2614[[#This Row],[Weight]:[Weight]]*((_xlfn.XMATCH(Table2614[[#This Row],[4]],Table2614[[#This Row],[1]:[11]],0))-1)/(COUNTA(Table2614[[#This Row],[1]:[11]])-COUNTBLANK(Table2614[[#This Row],[1]:[11]])-1)))</f>
        <v/>
      </c>
      <c r="AC16" s="30" t="str" cm="1">
        <f t="array" ref="AC16">IF(Table2614[[#This Row],[5]]="","",Table2614[[#This Row],[Weight]:[Weight]]-(Table2614[[#This Row],[Weight]:[Weight]]*((_xlfn.XMATCH(Table2614[[#This Row],[5]],Table2614[[#This Row],[1]:[11]],0))-1)/(COUNTA(Table2614[[#This Row],[1]:[11]])-COUNTBLANK(Table2614[[#This Row],[1]:[11]])-1)))</f>
        <v/>
      </c>
      <c r="AD16" s="30" t="str" cm="1">
        <f t="array" ref="AD16">IF(Table2614[[#This Row],[6]]="","",Table2614[[#This Row],[Weight]:[Weight]]-(Table2614[[#This Row],[Weight]:[Weight]]*((_xlfn.XMATCH(Table2614[[#This Row],[6]],Table2614[[#This Row],[1]:[11]],0))-1)/(COUNTA(Table2614[[#This Row],[1]:[11]])-COUNTBLANK(Table2614[[#This Row],[1]:[11]])-1)))</f>
        <v/>
      </c>
      <c r="AE16" s="30" t="str" cm="1">
        <f t="array" ref="AE16">IF(Table2614[[#This Row],[7]]="","",Table2614[[#This Row],[Weight]:[Weight]]-(Table2614[[#This Row],[Weight]:[Weight]]*((_xlfn.XMATCH(Table2614[[#This Row],[7]],Table2614[[#This Row],[1]:[11]],0))-1)/(COUNTA(Table2614[[#This Row],[1]:[11]])-COUNTBLANK(Table2614[[#This Row],[1]:[11]])-1)))</f>
        <v/>
      </c>
      <c r="AF16" s="30" t="str" cm="1">
        <f t="array" ref="AF16">IF(Table2614[[#This Row],[8]]="","",Table2614[[#This Row],[Weight]:[Weight]]-(Table2614[[#This Row],[Weight]:[Weight]]*((_xlfn.XMATCH(Table2614[[#This Row],[8]],Table2614[[#This Row],[1]:[11]],0))-1)/(COUNTA(Table2614[[#This Row],[1]:[11]])-COUNTBLANK(Table2614[[#This Row],[1]:[11]])-1)))</f>
        <v/>
      </c>
      <c r="AG16" s="30" t="str" cm="1">
        <f t="array" ref="AG16">IF(Table2614[[#This Row],[9]]="","",Table2614[[#This Row],[Weight]:[Weight]]-(Table2614[[#This Row],[Weight]:[Weight]]*((_xlfn.XMATCH(Table2614[[#This Row],[9]],Table2614[[#This Row],[1]:[11]],0))-1)/(COUNTA(Table2614[[#This Row],[1]:[11]])-COUNTBLANK(Table2614[[#This Row],[1]:[11]])-1)))</f>
        <v/>
      </c>
      <c r="AH16" s="30" t="str" cm="1">
        <f t="array" ref="AH16">IF(Table2614[[#This Row],[10]]="","",Table2614[[#This Row],[Weight]:[Weight]]-(Table2614[[#This Row],[Weight]:[Weight]]*((_xlfn.XMATCH(Table2614[[#This Row],[10]],Table2614[[#This Row],[1]:[11]],0))-1)/(COUNTA(Table2614[[#This Row],[1]:[11]])-COUNTBLANK(Table2614[[#This Row],[1]:[11]])-1)))</f>
        <v/>
      </c>
      <c r="AI16" s="30" t="str" cm="1">
        <f t="array" ref="AI16">IF(Table2614[[#This Row],[11]]="","",Table2614[[#This Row],[Weight]:[Weight]]-(Table2614[[#This Row],[Weight]:[Weight]]*((_xlfn.XMATCH(Table2614[[#This Row],[11]],Table2614[[#This Row],[1]:[11]],0))-1)/(COUNTA(Table2614[[#This Row],[1]:[11]])-COUNTBLANK(Table2614[[#This Row],[1]:[11]])-1)))</f>
        <v/>
      </c>
    </row>
    <row r="17" spans="1:35" ht="171" customHeight="1" x14ac:dyDescent="0.2">
      <c r="A17" s="142">
        <v>5</v>
      </c>
      <c r="B17" s="90" t="s">
        <v>191</v>
      </c>
      <c r="C17" s="90" t="s">
        <v>182</v>
      </c>
      <c r="D17" s="146"/>
      <c r="E17" s="31"/>
      <c r="F17" s="120" t="s">
        <v>60</v>
      </c>
      <c r="G17" s="23" cm="1">
        <f t="array" ref="G17">_xlfn.IFS(F17="","",F17="No interest",0,F17="Nice to have",1,F17="Useful",2,F17="Important",3,F17="Very important",4,F17="Critical",5,F17="Show stopper",6)</f>
        <v>6</v>
      </c>
      <c r="H17" s="24">
        <f>(G17/$G$11)*$F$11</f>
        <v>4.5454545454545456E-2</v>
      </c>
      <c r="I17" s="90" t="s">
        <v>192</v>
      </c>
      <c r="J17" s="35" t="str" cm="1">
        <f t="array" ref="J17">_xlfn.TEXTJOIN(","&amp;CHAR(10),,TEXT(Table2614[[#This Row],[12]:[22]],"0,00%"))</f>
        <v>0,05%,
0,02%,
0,00%</v>
      </c>
      <c r="K17" s="26"/>
      <c r="L17" s="27" t="e">
        <f>H17-(H17*((MATCH(Table2614[[#This Row],[Evaluators Response (SELECT)]],Table2614[[#This Row],[1]:[11]],0)-1)/(COUNTA(Table2614[[#This Row],[1]:[11]])-COUNTBLANK(Table2614[[#This Row],[1]:[11]])-1)))</f>
        <v>#N/A</v>
      </c>
      <c r="M17" s="28"/>
      <c r="N17" s="29" t="str" cm="1">
        <f t="array" ref="N17">IFERROR(INDEX(_xlfn.UNIQUE(TRIM(_xlfn.TEXTSPLIT(Table2614[[#This Row],[Selection Options]:[Selection Options]],","))),,N$11),"")</f>
        <v>100%: Full Presence in RSA</v>
      </c>
      <c r="O17" s="29" t="str" cm="1">
        <f t="array" ref="O17">IFERROR(INDEX(_xlfn.UNIQUE(TRIM(_xlfn.TEXTSPLIT(Table2614[[#This Row],[Selection Options]:[Selection Options]],","))),,O$11),"")</f>
        <v xml:space="preserve">
50: Presence in RSA via 3rd parties (e.g. distributor reseller)</v>
      </c>
      <c r="P17" s="29" t="str" cm="1">
        <f t="array" ref="P17">IFERROR(INDEX(_xlfn.UNIQUE(TRIM(_xlfn.TEXTSPLIT(Table2614[[#This Row],[Selection Options]:[Selection Options]],","))),,P$11),"")</f>
        <v xml:space="preserve">
0%: No presence in RSA</v>
      </c>
      <c r="Q17" s="29" t="str" cm="1">
        <f t="array" ref="Q17">IFERROR(INDEX(_xlfn.UNIQUE(TRIM(_xlfn.TEXTSPLIT(Table2614[[#This Row],[Selection Options]:[Selection Options]],","))),,Q$11),"")</f>
        <v/>
      </c>
      <c r="R17" s="29" t="str" cm="1">
        <f t="array" ref="R17">IFERROR(INDEX(_xlfn.UNIQUE(TRIM(_xlfn.TEXTSPLIT(Table2614[[#This Row],[Selection Options]:[Selection Options]],","))),,R$11),"")</f>
        <v/>
      </c>
      <c r="S17" s="29" t="str" cm="1">
        <f t="array" ref="S17">IFERROR(INDEX(_xlfn.UNIQUE(TRIM(_xlfn.TEXTSPLIT(Table2614[[#This Row],[Selection Options]:[Selection Options]],","))),,S$11),"")</f>
        <v/>
      </c>
      <c r="T17" s="29" t="str" cm="1">
        <f t="array" ref="T17">IFERROR(INDEX(_xlfn.UNIQUE(TRIM(_xlfn.TEXTSPLIT(Table2614[[#This Row],[Selection Options]:[Selection Options]],","))),,T$11),"")</f>
        <v/>
      </c>
      <c r="U17" s="29" t="str" cm="1">
        <f t="array" ref="U17">IFERROR(INDEX(_xlfn.UNIQUE(TRIM(_xlfn.TEXTSPLIT(Table2614[[#This Row],[Selection Options]:[Selection Options]],","))),,U$11),"")</f>
        <v/>
      </c>
      <c r="V17" s="29" t="str" cm="1">
        <f t="array" ref="V17">IFERROR(INDEX(_xlfn.UNIQUE(TRIM(_xlfn.TEXTSPLIT(Table2614[[#This Row],[Selection Options]:[Selection Options]],","))),,V$11),"")</f>
        <v/>
      </c>
      <c r="W17" s="29" t="str" cm="1">
        <f t="array" ref="W17">IFERROR(INDEX(_xlfn.UNIQUE(TRIM(_xlfn.TEXTSPLIT(Table2614[[#This Row],[Selection Options]:[Selection Options]],","))),,W$11),"")</f>
        <v/>
      </c>
      <c r="X17" s="29" t="str" cm="1">
        <f t="array" ref="X17">IFERROR(INDEX(_xlfn.UNIQUE(TRIM(_xlfn.TEXTSPLIT(Table2614[[#This Row],[Selection Options]:[Selection Options]],","))),,X$11),"")</f>
        <v/>
      </c>
      <c r="Y17" s="30" cm="1">
        <f t="array" ref="Y17">IF(Table2614[[#This Row],[1]]="","",Table2614[[#This Row],[Weight]:[Weight]]-(Table2614[[#This Row],[Weight]:[Weight]]*((_xlfn.XMATCH(Table2614[[#This Row],[1]],Table2614[[#This Row],[1]:[11]],0))-1)/(COUNTA(Table2614[[#This Row],[1]:[11]])-COUNTBLANK(Table2614[[#This Row],[1]:[11]])-1)))</f>
        <v>4.5454545454545456E-2</v>
      </c>
      <c r="Z17" s="30" cm="1">
        <f t="array" ref="Z17">IF(Table2614[[#This Row],[2]]="","",Table2614[[#This Row],[Weight]:[Weight]]-(Table2614[[#This Row],[Weight]:[Weight]]*((_xlfn.XMATCH(Table2614[[#This Row],[2]],Table2614[[#This Row],[1]:[11]],0))-1)/(COUNTA(Table2614[[#This Row],[1]:[11]])-COUNTBLANK(Table2614[[#This Row],[1]:[11]])-1)))</f>
        <v>2.2727272727272728E-2</v>
      </c>
      <c r="AA17" s="30" cm="1">
        <f t="array" ref="AA17">IF(Table2614[[#This Row],[3]]="","",Table2614[[#This Row],[Weight]:[Weight]]-(Table2614[[#This Row],[Weight]:[Weight]]*((_xlfn.XMATCH(Table2614[[#This Row],[3]],Table2614[[#This Row],[1]:[11]],0))-1)/(COUNTA(Table2614[[#This Row],[1]:[11]])-COUNTBLANK(Table2614[[#This Row],[1]:[11]])-1)))</f>
        <v>0</v>
      </c>
      <c r="AB17" s="30" t="str" cm="1">
        <f t="array" ref="AB17">IF(Table2614[[#This Row],[4]]="","",Table2614[[#This Row],[Weight]:[Weight]]-(Table2614[[#This Row],[Weight]:[Weight]]*((_xlfn.XMATCH(Table2614[[#This Row],[4]],Table2614[[#This Row],[1]:[11]],0))-1)/(COUNTA(Table2614[[#This Row],[1]:[11]])-COUNTBLANK(Table2614[[#This Row],[1]:[11]])-1)))</f>
        <v/>
      </c>
      <c r="AC17" s="30" t="str" cm="1">
        <f t="array" ref="AC17">IF(Table2614[[#This Row],[5]]="","",Table2614[[#This Row],[Weight]:[Weight]]-(Table2614[[#This Row],[Weight]:[Weight]]*((_xlfn.XMATCH(Table2614[[#This Row],[5]],Table2614[[#This Row],[1]:[11]],0))-1)/(COUNTA(Table2614[[#This Row],[1]:[11]])-COUNTBLANK(Table2614[[#This Row],[1]:[11]])-1)))</f>
        <v/>
      </c>
      <c r="AD17" s="30" t="str" cm="1">
        <f t="array" ref="AD17">IF(Table2614[[#This Row],[6]]="","",Table2614[[#This Row],[Weight]:[Weight]]-(Table2614[[#This Row],[Weight]:[Weight]]*((_xlfn.XMATCH(Table2614[[#This Row],[6]],Table2614[[#This Row],[1]:[11]],0))-1)/(COUNTA(Table2614[[#This Row],[1]:[11]])-COUNTBLANK(Table2614[[#This Row],[1]:[11]])-1)))</f>
        <v/>
      </c>
      <c r="AE17" s="30" t="str" cm="1">
        <f t="array" ref="AE17">IF(Table2614[[#This Row],[7]]="","",Table2614[[#This Row],[Weight]:[Weight]]-(Table2614[[#This Row],[Weight]:[Weight]]*((_xlfn.XMATCH(Table2614[[#This Row],[7]],Table2614[[#This Row],[1]:[11]],0))-1)/(COUNTA(Table2614[[#This Row],[1]:[11]])-COUNTBLANK(Table2614[[#This Row],[1]:[11]])-1)))</f>
        <v/>
      </c>
      <c r="AF17" s="30" t="str" cm="1">
        <f t="array" ref="AF17">IF(Table2614[[#This Row],[8]]="","",Table2614[[#This Row],[Weight]:[Weight]]-(Table2614[[#This Row],[Weight]:[Weight]]*((_xlfn.XMATCH(Table2614[[#This Row],[8]],Table2614[[#This Row],[1]:[11]],0))-1)/(COUNTA(Table2614[[#This Row],[1]:[11]])-COUNTBLANK(Table2614[[#This Row],[1]:[11]])-1)))</f>
        <v/>
      </c>
      <c r="AG17" s="30" t="str" cm="1">
        <f t="array" ref="AG17">IF(Table2614[[#This Row],[9]]="","",Table2614[[#This Row],[Weight]:[Weight]]-(Table2614[[#This Row],[Weight]:[Weight]]*((_xlfn.XMATCH(Table2614[[#This Row],[9]],Table2614[[#This Row],[1]:[11]],0))-1)/(COUNTA(Table2614[[#This Row],[1]:[11]])-COUNTBLANK(Table2614[[#This Row],[1]:[11]])-1)))</f>
        <v/>
      </c>
      <c r="AH17" s="30" t="str" cm="1">
        <f t="array" ref="AH17">IF(Table2614[[#This Row],[10]]="","",Table2614[[#This Row],[Weight]:[Weight]]-(Table2614[[#This Row],[Weight]:[Weight]]*((_xlfn.XMATCH(Table2614[[#This Row],[10]],Table2614[[#This Row],[1]:[11]],0))-1)/(COUNTA(Table2614[[#This Row],[1]:[11]])-COUNTBLANK(Table2614[[#This Row],[1]:[11]])-1)))</f>
        <v/>
      </c>
      <c r="AI17" s="30" t="str" cm="1">
        <f t="array" ref="AI17">IF(Table2614[[#This Row],[11]]="","",Table2614[[#This Row],[Weight]:[Weight]]-(Table2614[[#This Row],[Weight]:[Weight]]*((_xlfn.XMATCH(Table2614[[#This Row],[11]],Table2614[[#This Row],[1]:[11]],0))-1)/(COUNTA(Table2614[[#This Row],[1]:[11]])-COUNTBLANK(Table2614[[#This Row],[1]:[11]])-1)))</f>
        <v/>
      </c>
    </row>
    <row r="18" spans="1:35" ht="186.4" customHeight="1" x14ac:dyDescent="0.2">
      <c r="A18" s="142">
        <v>6</v>
      </c>
      <c r="B18" s="119" t="s">
        <v>193</v>
      </c>
      <c r="C18" s="90" t="s">
        <v>182</v>
      </c>
      <c r="D18" s="147"/>
      <c r="E18" s="32"/>
      <c r="F18" s="121" t="s">
        <v>60</v>
      </c>
      <c r="G18" s="33" cm="1">
        <f t="array" ref="G18">_xlfn.IFS(F18="","",F18="No interest",0,F18="Nice to have",1,F18="Useful",2,F18="Important",3,F18="Very important",4,F18="Critical",5,F18="Show stopper",6)</f>
        <v>6</v>
      </c>
      <c r="H18" s="34">
        <f t="shared" ref="H18:H19" si="1">(G18/$G$11)*$F$11</f>
        <v>4.5454545454545456E-2</v>
      </c>
      <c r="I18" s="119" t="s">
        <v>194</v>
      </c>
      <c r="J18" s="35" t="str" cm="1">
        <f t="array" ref="J18">_xlfn.TEXTJOIN(","&amp;CHAR(10),,TEXT(Table2614[[#This Row],[12]:[22]],"0,00%"))</f>
        <v>0,05%,
0,03%,
0,02%,
0,00%</v>
      </c>
      <c r="K18" s="36"/>
      <c r="L18" s="37" t="e">
        <f>H18-(H18*((MATCH(Table2614[[#This Row],[Evaluators Response (SELECT)]],Table2614[[#This Row],[1]:[11]],0)-1)/(COUNTA(Table2614[[#This Row],[1]:[11]])-COUNTBLANK(Table2614[[#This Row],[1]:[11]])-1)))</f>
        <v>#N/A</v>
      </c>
      <c r="M18" s="38"/>
      <c r="N18" s="29" t="str" cm="1">
        <f t="array" ref="N18">IFERROR(INDEX(_xlfn.UNIQUE(TRIM(_xlfn.TEXTSPLIT(Table2614[[#This Row],[Selection Options]:[Selection Options]],","))),,N$11),"")</f>
        <v>100%: All located in South Africa</v>
      </c>
      <c r="O18" s="29" t="str" cm="1">
        <f t="array" ref="O18">IFERROR(INDEX(_xlfn.UNIQUE(TRIM(_xlfn.TEXTSPLIT(Table2614[[#This Row],[Selection Options]:[Selection Options]],","))),,O$11),"")</f>
        <v xml:space="preserve">
75%: Customer Success in South Africa AND Technical and or Professional Services partially in South Africa and outside</v>
      </c>
      <c r="P18" s="29" t="str" cm="1">
        <f t="array" ref="P18">IFERROR(INDEX(_xlfn.UNIQUE(TRIM(_xlfn.TEXTSPLIT(Table2614[[#This Row],[Selection Options]:[Selection Options]],","))),,P$11),"")</f>
        <v xml:space="preserve">
50%: Customer Success in south Africa AND Technical and or Professional services outside of South Africa</v>
      </c>
      <c r="Q18" s="29" t="str" cm="1">
        <f t="array" ref="Q18">IFERROR(INDEX(_xlfn.UNIQUE(TRIM(_xlfn.TEXTSPLIT(Table2614[[#This Row],[Selection Options]:[Selection Options]],","))),,Q$11),"")</f>
        <v xml:space="preserve">
0%: No Customer Success in South Africa and or all resources outside of south Africa</v>
      </c>
      <c r="R18" s="29" t="str" cm="1">
        <f t="array" ref="R18">IFERROR(INDEX(_xlfn.UNIQUE(TRIM(_xlfn.TEXTSPLIT(Table2614[[#This Row],[Selection Options]:[Selection Options]],","))),,R$11),"")</f>
        <v/>
      </c>
      <c r="S18" s="29" t="str" cm="1">
        <f t="array" ref="S18">IFERROR(INDEX(_xlfn.UNIQUE(TRIM(_xlfn.TEXTSPLIT(Table2614[[#This Row],[Selection Options]:[Selection Options]],","))),,S$11),"")</f>
        <v/>
      </c>
      <c r="T18" s="29" t="str" cm="1">
        <f t="array" ref="T18">IFERROR(INDEX(_xlfn.UNIQUE(TRIM(_xlfn.TEXTSPLIT(Table2614[[#This Row],[Selection Options]:[Selection Options]],","))),,T$11),"")</f>
        <v/>
      </c>
      <c r="U18" s="29" t="str" cm="1">
        <f t="array" ref="U18">IFERROR(INDEX(_xlfn.UNIQUE(TRIM(_xlfn.TEXTSPLIT(Table2614[[#This Row],[Selection Options]:[Selection Options]],","))),,U$11),"")</f>
        <v/>
      </c>
      <c r="V18" s="29" t="str" cm="1">
        <f t="array" ref="V18">IFERROR(INDEX(_xlfn.UNIQUE(TRIM(_xlfn.TEXTSPLIT(Table2614[[#This Row],[Selection Options]:[Selection Options]],","))),,V$11),"")</f>
        <v/>
      </c>
      <c r="W18" s="29" t="str" cm="1">
        <f t="array" ref="W18">IFERROR(INDEX(_xlfn.UNIQUE(TRIM(_xlfn.TEXTSPLIT(Table2614[[#This Row],[Selection Options]:[Selection Options]],","))),,W$11),"")</f>
        <v/>
      </c>
      <c r="X18" s="29" t="str" cm="1">
        <f t="array" ref="X18">IFERROR(INDEX(_xlfn.UNIQUE(TRIM(_xlfn.TEXTSPLIT(Table2614[[#This Row],[Selection Options]:[Selection Options]],","))),,X$11),"")</f>
        <v/>
      </c>
      <c r="Y18" s="30" cm="1">
        <f t="array" ref="Y18">IF(Table2614[[#This Row],[1]]="","",Table2614[[#This Row],[Weight]:[Weight]]-(Table2614[[#This Row],[Weight]:[Weight]]*((_xlfn.XMATCH(Table2614[[#This Row],[1]],Table2614[[#This Row],[1]:[11]],0))-1)/(COUNTA(Table2614[[#This Row],[1]:[11]])-COUNTBLANK(Table2614[[#This Row],[1]:[11]])-1)))</f>
        <v>4.5454545454545456E-2</v>
      </c>
      <c r="Z18" s="30" cm="1">
        <f t="array" ref="Z18">IF(Table2614[[#This Row],[2]]="","",Table2614[[#This Row],[Weight]:[Weight]]-(Table2614[[#This Row],[Weight]:[Weight]]*((_xlfn.XMATCH(Table2614[[#This Row],[2]],Table2614[[#This Row],[1]:[11]],0))-1)/(COUNTA(Table2614[[#This Row],[1]:[11]])-COUNTBLANK(Table2614[[#This Row],[1]:[11]])-1)))</f>
        <v>3.0303030303030304E-2</v>
      </c>
      <c r="AA18" s="30" cm="1">
        <f t="array" ref="AA18">IF(Table2614[[#This Row],[3]]="","",Table2614[[#This Row],[Weight]:[Weight]]-(Table2614[[#This Row],[Weight]:[Weight]]*((_xlfn.XMATCH(Table2614[[#This Row],[3]],Table2614[[#This Row],[1]:[11]],0))-1)/(COUNTA(Table2614[[#This Row],[1]:[11]])-COUNTBLANK(Table2614[[#This Row],[1]:[11]])-1)))</f>
        <v>1.5151515151515152E-2</v>
      </c>
      <c r="AB18" s="30" cm="1">
        <f t="array" ref="AB18">IF(Table2614[[#This Row],[4]]="","",Table2614[[#This Row],[Weight]:[Weight]]-(Table2614[[#This Row],[Weight]:[Weight]]*((_xlfn.XMATCH(Table2614[[#This Row],[4]],Table2614[[#This Row],[1]:[11]],0))-1)/(COUNTA(Table2614[[#This Row],[1]:[11]])-COUNTBLANK(Table2614[[#This Row],[1]:[11]])-1)))</f>
        <v>6.9388939039072284E-18</v>
      </c>
      <c r="AC18" s="30" t="str" cm="1">
        <f t="array" ref="AC18">IF(Table2614[[#This Row],[5]]="","",Table2614[[#This Row],[Weight]:[Weight]]-(Table2614[[#This Row],[Weight]:[Weight]]*((_xlfn.XMATCH(Table2614[[#This Row],[5]],Table2614[[#This Row],[1]:[11]],0))-1)/(COUNTA(Table2614[[#This Row],[1]:[11]])-COUNTBLANK(Table2614[[#This Row],[1]:[11]])-1)))</f>
        <v/>
      </c>
      <c r="AD18" s="30" t="str" cm="1">
        <f t="array" ref="AD18">IF(Table2614[[#This Row],[6]]="","",Table2614[[#This Row],[Weight]:[Weight]]-(Table2614[[#This Row],[Weight]:[Weight]]*((_xlfn.XMATCH(Table2614[[#This Row],[6]],Table2614[[#This Row],[1]:[11]],0))-1)/(COUNTA(Table2614[[#This Row],[1]:[11]])-COUNTBLANK(Table2614[[#This Row],[1]:[11]])-1)))</f>
        <v/>
      </c>
      <c r="AE18" s="30" t="str" cm="1">
        <f t="array" ref="AE18">IF(Table2614[[#This Row],[7]]="","",Table2614[[#This Row],[Weight]:[Weight]]-(Table2614[[#This Row],[Weight]:[Weight]]*((_xlfn.XMATCH(Table2614[[#This Row],[7]],Table2614[[#This Row],[1]:[11]],0))-1)/(COUNTA(Table2614[[#This Row],[1]:[11]])-COUNTBLANK(Table2614[[#This Row],[1]:[11]])-1)))</f>
        <v/>
      </c>
      <c r="AF18" s="30" t="str" cm="1">
        <f t="array" ref="AF18">IF(Table2614[[#This Row],[8]]="","",Table2614[[#This Row],[Weight]:[Weight]]-(Table2614[[#This Row],[Weight]:[Weight]]*((_xlfn.XMATCH(Table2614[[#This Row],[8]],Table2614[[#This Row],[1]:[11]],0))-1)/(COUNTA(Table2614[[#This Row],[1]:[11]])-COUNTBLANK(Table2614[[#This Row],[1]:[11]])-1)))</f>
        <v/>
      </c>
      <c r="AG18" s="30" t="str" cm="1">
        <f t="array" ref="AG18">IF(Table2614[[#This Row],[9]]="","",Table2614[[#This Row],[Weight]:[Weight]]-(Table2614[[#This Row],[Weight]:[Weight]]*((_xlfn.XMATCH(Table2614[[#This Row],[9]],Table2614[[#This Row],[1]:[11]],0))-1)/(COUNTA(Table2614[[#This Row],[1]:[11]])-COUNTBLANK(Table2614[[#This Row],[1]:[11]])-1)))</f>
        <v/>
      </c>
      <c r="AH18" s="30" t="str" cm="1">
        <f t="array" ref="AH18">IF(Table2614[[#This Row],[10]]="","",Table2614[[#This Row],[Weight]:[Weight]]-(Table2614[[#This Row],[Weight]:[Weight]]*((_xlfn.XMATCH(Table2614[[#This Row],[10]],Table2614[[#This Row],[1]:[11]],0))-1)/(COUNTA(Table2614[[#This Row],[1]:[11]])-COUNTBLANK(Table2614[[#This Row],[1]:[11]])-1)))</f>
        <v/>
      </c>
      <c r="AI18" s="30" t="str" cm="1">
        <f t="array" ref="AI18">IF(Table2614[[#This Row],[11]]="","",Table2614[[#This Row],[Weight]:[Weight]]-(Table2614[[#This Row],[Weight]:[Weight]]*((_xlfn.XMATCH(Table2614[[#This Row],[11]],Table2614[[#This Row],[1]:[11]],0))-1)/(COUNTA(Table2614[[#This Row],[1]:[11]])-COUNTBLANK(Table2614[[#This Row],[1]:[11]])-1)))</f>
        <v/>
      </c>
    </row>
    <row r="19" spans="1:35" ht="156" x14ac:dyDescent="0.2">
      <c r="A19" s="142">
        <v>7</v>
      </c>
      <c r="B19" s="119" t="s">
        <v>195</v>
      </c>
      <c r="C19" s="119" t="s">
        <v>196</v>
      </c>
      <c r="D19" s="147"/>
      <c r="E19" s="32"/>
      <c r="F19" s="121" t="s">
        <v>60</v>
      </c>
      <c r="G19" s="33" cm="1">
        <f t="array" ref="G19">_xlfn.IFS(F19="","",F19="No interest",0,F19="Nice to have",1,F19="Useful",2,F19="Important",3,F19="Very important",4,F19="Critical",5,F19="Show stopper",6)</f>
        <v>6</v>
      </c>
      <c r="H19" s="34">
        <f t="shared" si="1"/>
        <v>4.5454545454545456E-2</v>
      </c>
      <c r="I19" s="119" t="s">
        <v>197</v>
      </c>
      <c r="J19" s="119" t="str" cm="1">
        <f t="array" ref="J19">_xlfn.TEXTJOIN(","&amp;CHAR(10),,TEXT(Table2614[[#This Row],[12]:[22]],"0,00%"))</f>
        <v>0,05%,
0,03%,
0,02%,
0,00%</v>
      </c>
      <c r="K19" s="36"/>
      <c r="L19" s="37" t="e">
        <f>H19-(H19*((MATCH(Table2614[[#This Row],[Evaluators Response (SELECT)]],Table2614[[#This Row],[1]:[11]],0)-1)/(COUNTA(Table2614[[#This Row],[1]:[11]])-COUNTBLANK(Table2614[[#This Row],[1]:[11]])-1)))</f>
        <v>#N/A</v>
      </c>
      <c r="M19" s="38"/>
      <c r="N19" s="29" t="str" cm="1">
        <f t="array" ref="N19">IFERROR(INDEX(_xlfn.UNIQUE(TRIM(_xlfn.TEXTSPLIT(Table2614[[#This Row],[Selection Options]:[Selection Options]],","))),,N$11),"")</f>
        <v>100%: Comprehensive information that reflects proactive and value adding customer and performance management</v>
      </c>
      <c r="O19" s="29" t="str" cm="1">
        <f t="array" ref="O19">IFERROR(INDEX(_xlfn.UNIQUE(TRIM(_xlfn.TEXTSPLIT(Table2614[[#This Row],[Selection Options]:[Selection Options]],","))),,O$11),"")</f>
        <v xml:space="preserve">
75%: Most information provided with minor deficiencies in proactive customer and performance management</v>
      </c>
      <c r="P19" s="29" t="str" cm="1">
        <f t="array" ref="P19">IFERROR(INDEX(_xlfn.UNIQUE(TRIM(_xlfn.TEXTSPLIT(Table2614[[#This Row],[Selection Options]:[Selection Options]],","))),,P$11),"")</f>
        <v xml:space="preserve">
50%: Information provided with gaps in performance management onsite representatives and customer engagement</v>
      </c>
      <c r="Q19" s="29" t="str" cm="1">
        <f t="array" ref="Q19">IFERROR(INDEX(_xlfn.UNIQUE(TRIM(_xlfn.TEXTSPLIT(Table2614[[#This Row],[Selection Options]:[Selection Options]],","))),,Q$11),"")</f>
        <v xml:space="preserve">
0%: No information provided/blank</v>
      </c>
      <c r="R19" s="29" t="str" cm="1">
        <f t="array" ref="R19">IFERROR(INDEX(_xlfn.UNIQUE(TRIM(_xlfn.TEXTSPLIT(Table2614[[#This Row],[Selection Options]:[Selection Options]],","))),,R$11),"")</f>
        <v/>
      </c>
      <c r="S19" s="29" t="str" cm="1">
        <f t="array" ref="S19">IFERROR(INDEX(_xlfn.UNIQUE(TRIM(_xlfn.TEXTSPLIT(Table2614[[#This Row],[Selection Options]:[Selection Options]],","))),,S$11),"")</f>
        <v/>
      </c>
      <c r="T19" s="29" t="str" cm="1">
        <f t="array" ref="T19">IFERROR(INDEX(_xlfn.UNIQUE(TRIM(_xlfn.TEXTSPLIT(Table2614[[#This Row],[Selection Options]:[Selection Options]],","))),,T$11),"")</f>
        <v/>
      </c>
      <c r="U19" s="29" t="str" cm="1">
        <f t="array" ref="U19">IFERROR(INDEX(_xlfn.UNIQUE(TRIM(_xlfn.TEXTSPLIT(Table2614[[#This Row],[Selection Options]:[Selection Options]],","))),,U$11),"")</f>
        <v/>
      </c>
      <c r="V19" s="29" t="str" cm="1">
        <f t="array" ref="V19">IFERROR(INDEX(_xlfn.UNIQUE(TRIM(_xlfn.TEXTSPLIT(Table2614[[#This Row],[Selection Options]:[Selection Options]],","))),,V$11),"")</f>
        <v/>
      </c>
      <c r="W19" s="29" t="str" cm="1">
        <f t="array" ref="W19">IFERROR(INDEX(_xlfn.UNIQUE(TRIM(_xlfn.TEXTSPLIT(Table2614[[#This Row],[Selection Options]:[Selection Options]],","))),,W$11),"")</f>
        <v/>
      </c>
      <c r="X19" s="29" t="str" cm="1">
        <f t="array" ref="X19">IFERROR(INDEX(_xlfn.UNIQUE(TRIM(_xlfn.TEXTSPLIT(Table2614[[#This Row],[Selection Options]:[Selection Options]],","))),,X$11),"")</f>
        <v/>
      </c>
      <c r="Y19" s="30" cm="1">
        <f t="array" ref="Y19">IF(Table2614[[#This Row],[1]]="","",Table2614[[#This Row],[Weight]:[Weight]]-(Table2614[[#This Row],[Weight]:[Weight]]*((_xlfn.XMATCH(Table2614[[#This Row],[1]],Table2614[[#This Row],[1]:[11]],0))-1)/(COUNTA(Table2614[[#This Row],[1]:[11]])-COUNTBLANK(Table2614[[#This Row],[1]:[11]])-1)))</f>
        <v>4.5454545454545456E-2</v>
      </c>
      <c r="Z19" s="30" cm="1">
        <f t="array" ref="Z19">IF(Table2614[[#This Row],[2]]="","",Table2614[[#This Row],[Weight]:[Weight]]-(Table2614[[#This Row],[Weight]:[Weight]]*((_xlfn.XMATCH(Table2614[[#This Row],[2]],Table2614[[#This Row],[1]:[11]],0))-1)/(COUNTA(Table2614[[#This Row],[1]:[11]])-COUNTBLANK(Table2614[[#This Row],[1]:[11]])-1)))</f>
        <v>3.0303030303030304E-2</v>
      </c>
      <c r="AA19" s="30" cm="1">
        <f t="array" ref="AA19">IF(Table2614[[#This Row],[3]]="","",Table2614[[#This Row],[Weight]:[Weight]]-(Table2614[[#This Row],[Weight]:[Weight]]*((_xlfn.XMATCH(Table2614[[#This Row],[3]],Table2614[[#This Row],[1]:[11]],0))-1)/(COUNTA(Table2614[[#This Row],[1]:[11]])-COUNTBLANK(Table2614[[#This Row],[1]:[11]])-1)))</f>
        <v>1.5151515151515152E-2</v>
      </c>
      <c r="AB19" s="30" cm="1">
        <f t="array" ref="AB19">IF(Table2614[[#This Row],[4]]="","",Table2614[[#This Row],[Weight]:[Weight]]-(Table2614[[#This Row],[Weight]:[Weight]]*((_xlfn.XMATCH(Table2614[[#This Row],[4]],Table2614[[#This Row],[1]:[11]],0))-1)/(COUNTA(Table2614[[#This Row],[1]:[11]])-COUNTBLANK(Table2614[[#This Row],[1]:[11]])-1)))</f>
        <v>6.9388939039072284E-18</v>
      </c>
      <c r="AC19" s="30" t="str" cm="1">
        <f t="array" ref="AC19">IF(Table2614[[#This Row],[5]]="","",Table2614[[#This Row],[Weight]:[Weight]]-(Table2614[[#This Row],[Weight]:[Weight]]*((_xlfn.XMATCH(Table2614[[#This Row],[5]],Table2614[[#This Row],[1]:[11]],0))-1)/(COUNTA(Table2614[[#This Row],[1]:[11]])-COUNTBLANK(Table2614[[#This Row],[1]:[11]])-1)))</f>
        <v/>
      </c>
      <c r="AD19" s="30" t="str" cm="1">
        <f t="array" ref="AD19">IF(Table2614[[#This Row],[6]]="","",Table2614[[#This Row],[Weight]:[Weight]]-(Table2614[[#This Row],[Weight]:[Weight]]*((_xlfn.XMATCH(Table2614[[#This Row],[6]],Table2614[[#This Row],[1]:[11]],0))-1)/(COUNTA(Table2614[[#This Row],[1]:[11]])-COUNTBLANK(Table2614[[#This Row],[1]:[11]])-1)))</f>
        <v/>
      </c>
      <c r="AE19" s="30" t="str" cm="1">
        <f t="array" ref="AE19">IF(Table2614[[#This Row],[7]]="","",Table2614[[#This Row],[Weight]:[Weight]]-(Table2614[[#This Row],[Weight]:[Weight]]*((_xlfn.XMATCH(Table2614[[#This Row],[7]],Table2614[[#This Row],[1]:[11]],0))-1)/(COUNTA(Table2614[[#This Row],[1]:[11]])-COUNTBLANK(Table2614[[#This Row],[1]:[11]])-1)))</f>
        <v/>
      </c>
      <c r="AF19" s="30" t="str" cm="1">
        <f t="array" ref="AF19">IF(Table2614[[#This Row],[8]]="","",Table2614[[#This Row],[Weight]:[Weight]]-(Table2614[[#This Row],[Weight]:[Weight]]*((_xlfn.XMATCH(Table2614[[#This Row],[8]],Table2614[[#This Row],[1]:[11]],0))-1)/(COUNTA(Table2614[[#This Row],[1]:[11]])-COUNTBLANK(Table2614[[#This Row],[1]:[11]])-1)))</f>
        <v/>
      </c>
      <c r="AG19" s="30" t="str" cm="1">
        <f t="array" ref="AG19">IF(Table2614[[#This Row],[9]]="","",Table2614[[#This Row],[Weight]:[Weight]]-(Table2614[[#This Row],[Weight]:[Weight]]*((_xlfn.XMATCH(Table2614[[#This Row],[9]],Table2614[[#This Row],[1]:[11]],0))-1)/(COUNTA(Table2614[[#This Row],[1]:[11]])-COUNTBLANK(Table2614[[#This Row],[1]:[11]])-1)))</f>
        <v/>
      </c>
      <c r="AH19" s="30" t="str" cm="1">
        <f t="array" ref="AH19">IF(Table2614[[#This Row],[10]]="","",Table2614[[#This Row],[Weight]:[Weight]]-(Table2614[[#This Row],[Weight]:[Weight]]*((_xlfn.XMATCH(Table2614[[#This Row],[10]],Table2614[[#This Row],[1]:[11]],0))-1)/(COUNTA(Table2614[[#This Row],[1]:[11]])-COUNTBLANK(Table2614[[#This Row],[1]:[11]])-1)))</f>
        <v/>
      </c>
      <c r="AI19" s="30" t="str" cm="1">
        <f t="array" ref="AI19">IF(Table2614[[#This Row],[11]]="","",Table2614[[#This Row],[Weight]:[Weight]]-(Table2614[[#This Row],[Weight]:[Weight]]*((_xlfn.XMATCH(Table2614[[#This Row],[11]],Table2614[[#This Row],[1]:[11]],0))-1)/(COUNTA(Table2614[[#This Row],[1]:[11]])-COUNTBLANK(Table2614[[#This Row],[1]:[11]])-1)))</f>
        <v/>
      </c>
    </row>
    <row r="20" spans="1:35" ht="409.15" customHeight="1" x14ac:dyDescent="0.2">
      <c r="A20" s="142">
        <v>8</v>
      </c>
      <c r="B20" s="119" t="s">
        <v>198</v>
      </c>
      <c r="C20" s="90" t="s">
        <v>199</v>
      </c>
      <c r="D20" s="147"/>
      <c r="E20" s="32"/>
      <c r="F20" s="121" t="s">
        <v>60</v>
      </c>
      <c r="G20" s="33" cm="1">
        <f t="array" ref="G20">_xlfn.IFS(F20="","",F20="No interest",0,F20="Nice to have",1,F20="Useful",2,F20="Important",3,F20="Very important",4,F20="Critical",5,F20="Show stopper",6)</f>
        <v>6</v>
      </c>
      <c r="H20" s="34">
        <f t="shared" ref="H20:H24" si="2">(G20/$G$11)*$F$11</f>
        <v>4.5454545454545456E-2</v>
      </c>
      <c r="I20" s="119" t="s">
        <v>200</v>
      </c>
      <c r="J20" s="119" t="str" cm="1">
        <f t="array" ref="J20">_xlfn.TEXTJOIN(","&amp;CHAR(10),,TEXT(Table2614[[#This Row],[12]:[22]],"0,00%"))</f>
        <v>0,05%,
0,03%,
0,02%,
0,01%,
0,00%</v>
      </c>
      <c r="K20" s="36"/>
      <c r="L20" s="37" t="e">
        <f>H20-(H20*((MATCH(Table2614[[#This Row],[Evaluators Response (SELECT)]],Table2614[[#This Row],[1]:[11]],0)-1)/(COUNTA(Table2614[[#This Row],[1]:[11]])-COUNTBLANK(Table2614[[#This Row],[1]:[11]])-1)))</f>
        <v>#N/A</v>
      </c>
      <c r="M20" s="38"/>
      <c r="N20" s="29" t="str" cm="1">
        <f t="array" ref="N20">IFERROR(INDEX(_xlfn.UNIQUE(TRIM(_xlfn.TEXTSPLIT(Table2614[[#This Row],[Selection Options]:[Selection Options]],","))),,N$11),"")</f>
        <v>100%: 5 valid company reference letters &gt; 1000 employees utility industry and or public sector &gt; 1000 users implementation scope (procurement management sourcing supplier performance management spend management contract lifecycle management)</v>
      </c>
      <c r="O20" s="29" t="str" cm="1">
        <f t="array" ref="O20">IFERROR(INDEX(_xlfn.UNIQUE(TRIM(_xlfn.TEXTSPLIT(Table2614[[#This Row],[Selection Options]:[Selection Options]],","))),,O$11),"")</f>
        <v xml:space="preserve">
75%: 4 valid company reference letters &gt; 1000 employees other industry (i.e. nonutility or public sector) &gt; 1000 users implementation scope (procurement management sourcing supplier performance management spend management contract lifecycle management)</v>
      </c>
      <c r="P20" s="29" t="str" cm="1">
        <f t="array" ref="P20">IFERROR(INDEX(_xlfn.UNIQUE(TRIM(_xlfn.TEXTSPLIT(Table2614[[#This Row],[Selection Options]:[Selection Options]],","))),,P$11),"")</f>
        <v xml:space="preserve">
50%: 3 valid company reference letters 1 to 1000 employees utility and or public sector 1 to 1000 users implementation scope (procurement management sourcing supplier performance management spend management contract lifecycle management)</v>
      </c>
      <c r="Q20" s="29" t="str" cm="1">
        <f t="array" ref="Q20">IFERROR(INDEX(_xlfn.UNIQUE(TRIM(_xlfn.TEXTSPLIT(Table2614[[#This Row],[Selection Options]:[Selection Options]],","))),,Q$11),"")</f>
        <v xml:space="preserve">
25%: 1 to 2 valid company reference letters 1 to 1000 employees other industries (i.e. nonutility or public sector) 1 to 1000 users implementation scope (procurement management sourcing supplier performance management spend contract lifecycle management)</v>
      </c>
      <c r="R20" s="29" t="str" cm="1">
        <f t="array" ref="R20">IFERROR(INDEX(_xlfn.UNIQUE(TRIM(_xlfn.TEXTSPLIT(Table2614[[#This Row],[Selection Options]:[Selection Options]],","))),,R$11),"")</f>
        <v xml:space="preserve">
0%: no valid company reference letters or &lt;3 companies implementation of similar scope or not all in scope implemented
</v>
      </c>
      <c r="S20" s="29" t="str" cm="1">
        <f t="array" ref="S20">IFERROR(INDEX(_xlfn.UNIQUE(TRIM(_xlfn.TEXTSPLIT(Table2614[[#This Row],[Selection Options]:[Selection Options]],","))),,S$11),"")</f>
        <v/>
      </c>
      <c r="T20" s="29" t="str" cm="1">
        <f t="array" ref="T20">IFERROR(INDEX(_xlfn.UNIQUE(TRIM(_xlfn.TEXTSPLIT(Table2614[[#This Row],[Selection Options]:[Selection Options]],","))),,T$11),"")</f>
        <v/>
      </c>
      <c r="U20" s="29" t="str" cm="1">
        <f t="array" ref="U20">IFERROR(INDEX(_xlfn.UNIQUE(TRIM(_xlfn.TEXTSPLIT(Table2614[[#This Row],[Selection Options]:[Selection Options]],","))),,U$11),"")</f>
        <v/>
      </c>
      <c r="V20" s="29" t="str" cm="1">
        <f t="array" ref="V20">IFERROR(INDEX(_xlfn.UNIQUE(TRIM(_xlfn.TEXTSPLIT(Table2614[[#This Row],[Selection Options]:[Selection Options]],","))),,V$11),"")</f>
        <v/>
      </c>
      <c r="W20" s="29" t="str" cm="1">
        <f t="array" ref="W20">IFERROR(INDEX(_xlfn.UNIQUE(TRIM(_xlfn.TEXTSPLIT(Table2614[[#This Row],[Selection Options]:[Selection Options]],","))),,W$11),"")</f>
        <v/>
      </c>
      <c r="X20" s="29" t="str" cm="1">
        <f t="array" ref="X20">IFERROR(INDEX(_xlfn.UNIQUE(TRIM(_xlfn.TEXTSPLIT(Table2614[[#This Row],[Selection Options]:[Selection Options]],","))),,X$11),"")</f>
        <v/>
      </c>
      <c r="Y20" s="30" cm="1">
        <f t="array" ref="Y20">IF(Table2614[[#This Row],[1]]="","",Table2614[[#This Row],[Weight]:[Weight]]-(Table2614[[#This Row],[Weight]:[Weight]]*((_xlfn.XMATCH(Table2614[[#This Row],[1]],Table2614[[#This Row],[1]:[11]],0))-1)/(COUNTA(Table2614[[#This Row],[1]:[11]])-COUNTBLANK(Table2614[[#This Row],[1]:[11]])-1)))</f>
        <v>4.5454545454545456E-2</v>
      </c>
      <c r="Z20" s="30" cm="1">
        <f t="array" ref="Z20">IF(Table2614[[#This Row],[2]]="","",Table2614[[#This Row],[Weight]:[Weight]]-(Table2614[[#This Row],[Weight]:[Weight]]*((_xlfn.XMATCH(Table2614[[#This Row],[2]],Table2614[[#This Row],[1]:[11]],0))-1)/(COUNTA(Table2614[[#This Row],[1]:[11]])-COUNTBLANK(Table2614[[#This Row],[1]:[11]])-1)))</f>
        <v>3.4090909090909088E-2</v>
      </c>
      <c r="AA20" s="30" cm="1">
        <f t="array" ref="AA20">IF(Table2614[[#This Row],[3]]="","",Table2614[[#This Row],[Weight]:[Weight]]-(Table2614[[#This Row],[Weight]:[Weight]]*((_xlfn.XMATCH(Table2614[[#This Row],[3]],Table2614[[#This Row],[1]:[11]],0))-1)/(COUNTA(Table2614[[#This Row],[1]:[11]])-COUNTBLANK(Table2614[[#This Row],[1]:[11]])-1)))</f>
        <v>2.2727272727272728E-2</v>
      </c>
      <c r="AB20" s="30" cm="1">
        <f t="array" ref="AB20">IF(Table2614[[#This Row],[4]]="","",Table2614[[#This Row],[Weight]:[Weight]]-(Table2614[[#This Row],[Weight]:[Weight]]*((_xlfn.XMATCH(Table2614[[#This Row],[4]],Table2614[[#This Row],[1]:[11]],0))-1)/(COUNTA(Table2614[[#This Row],[1]:[11]])-COUNTBLANK(Table2614[[#This Row],[1]:[11]])-1)))</f>
        <v>1.1363636363636367E-2</v>
      </c>
      <c r="AC20" s="30" cm="1">
        <f t="array" ref="AC20">IF(Table2614[[#This Row],[5]]="","",Table2614[[#This Row],[Weight]:[Weight]]-(Table2614[[#This Row],[Weight]:[Weight]]*((_xlfn.XMATCH(Table2614[[#This Row],[5]],Table2614[[#This Row],[1]:[11]],0))-1)/(COUNTA(Table2614[[#This Row],[1]:[11]])-COUNTBLANK(Table2614[[#This Row],[1]:[11]])-1)))</f>
        <v>0</v>
      </c>
      <c r="AD20" s="30" t="str" cm="1">
        <f t="array" ref="AD20">IF(Table2614[[#This Row],[6]]="","",Table2614[[#This Row],[Weight]:[Weight]]-(Table2614[[#This Row],[Weight]:[Weight]]*((_xlfn.XMATCH(Table2614[[#This Row],[6]],Table2614[[#This Row],[1]:[11]],0))-1)/(COUNTA(Table2614[[#This Row],[1]:[11]])-COUNTBLANK(Table2614[[#This Row],[1]:[11]])-1)))</f>
        <v/>
      </c>
      <c r="AE20" s="30" t="str" cm="1">
        <f t="array" ref="AE20">IF(Table2614[[#This Row],[7]]="","",Table2614[[#This Row],[Weight]:[Weight]]-(Table2614[[#This Row],[Weight]:[Weight]]*((_xlfn.XMATCH(Table2614[[#This Row],[7]],Table2614[[#This Row],[1]:[11]],0))-1)/(COUNTA(Table2614[[#This Row],[1]:[11]])-COUNTBLANK(Table2614[[#This Row],[1]:[11]])-1)))</f>
        <v/>
      </c>
      <c r="AF20" s="30" t="str" cm="1">
        <f t="array" ref="AF20">IF(Table2614[[#This Row],[8]]="","",Table2614[[#This Row],[Weight]:[Weight]]-(Table2614[[#This Row],[Weight]:[Weight]]*((_xlfn.XMATCH(Table2614[[#This Row],[8]],Table2614[[#This Row],[1]:[11]],0))-1)/(COUNTA(Table2614[[#This Row],[1]:[11]])-COUNTBLANK(Table2614[[#This Row],[1]:[11]])-1)))</f>
        <v/>
      </c>
      <c r="AG20" s="30" t="str" cm="1">
        <f t="array" ref="AG20">IF(Table2614[[#This Row],[9]]="","",Table2614[[#This Row],[Weight]:[Weight]]-(Table2614[[#This Row],[Weight]:[Weight]]*((_xlfn.XMATCH(Table2614[[#This Row],[9]],Table2614[[#This Row],[1]:[11]],0))-1)/(COUNTA(Table2614[[#This Row],[1]:[11]])-COUNTBLANK(Table2614[[#This Row],[1]:[11]])-1)))</f>
        <v/>
      </c>
      <c r="AH20" s="30" t="str" cm="1">
        <f t="array" ref="AH20">IF(Table2614[[#This Row],[10]]="","",Table2614[[#This Row],[Weight]:[Weight]]-(Table2614[[#This Row],[Weight]:[Weight]]*((_xlfn.XMATCH(Table2614[[#This Row],[10]],Table2614[[#This Row],[1]:[11]],0))-1)/(COUNTA(Table2614[[#This Row],[1]:[11]])-COUNTBLANK(Table2614[[#This Row],[1]:[11]])-1)))</f>
        <v/>
      </c>
      <c r="AI20" s="30" t="str" cm="1">
        <f t="array" ref="AI20">IF(Table2614[[#This Row],[11]]="","",Table2614[[#This Row],[Weight]:[Weight]]-(Table2614[[#This Row],[Weight]:[Weight]]*((_xlfn.XMATCH(Table2614[[#This Row],[11]],Table2614[[#This Row],[1]:[11]],0))-1)/(COUNTA(Table2614[[#This Row],[1]:[11]])-COUNTBLANK(Table2614[[#This Row],[1]:[11]])-1)))</f>
        <v/>
      </c>
    </row>
    <row r="21" spans="1:35" ht="133.9" customHeight="1" x14ac:dyDescent="0.2">
      <c r="A21" s="142">
        <v>9</v>
      </c>
      <c r="B21" s="90" t="s">
        <v>201</v>
      </c>
      <c r="C21" s="119" t="s">
        <v>202</v>
      </c>
      <c r="D21" s="146"/>
      <c r="E21" s="31"/>
      <c r="F21" s="121" t="s">
        <v>60</v>
      </c>
      <c r="G21" s="23" cm="1">
        <f t="array" ref="G21">_xlfn.IFS(F21="","",F21="No interest",0,F21="Nice to have",1,F21="Useful",2,F21="Important",3,F21="Very important",4,F21="Critical",5,F21="Show stopper",6)</f>
        <v>6</v>
      </c>
      <c r="H21" s="24">
        <f t="shared" si="2"/>
        <v>4.5454545454545456E-2</v>
      </c>
      <c r="I21" s="119" t="s">
        <v>203</v>
      </c>
      <c r="J21" s="119" t="str" cm="1">
        <f t="array" ref="J21">_xlfn.TEXTJOIN(","&amp;CHAR(10),,TEXT(Table2614[[#This Row],[12]:[22]],"0,00%"))</f>
        <v>0,05%,
0,03%,
0,02%,
0,01%,
0,00%</v>
      </c>
      <c r="K21" s="26"/>
      <c r="L21" s="27" t="e">
        <f>H21-(H21*((MATCH(Table2614[[#This Row],[Evaluators Response (SELECT)]],Table2614[[#This Row],[1]:[11]],0)-1)/(COUNTA(Table2614[[#This Row],[1]:[11]])-COUNTBLANK(Table2614[[#This Row],[1]:[11]])-1)))</f>
        <v>#N/A</v>
      </c>
      <c r="M21" s="28"/>
      <c r="N21" s="29" t="str" cm="1">
        <f t="array" ref="N21">IFERROR(INDEX(_xlfn.UNIQUE(TRIM(_xlfn.TEXTSPLIT(Table2614[[#This Row],[Selection Options]:[Selection Options]],","))),,N$11),"")</f>
        <v>100%: The average of dimension 1 to 4 &gt;= 7 for 5 companies with valid references</v>
      </c>
      <c r="O21" s="29" t="str" cm="1">
        <f t="array" ref="O21">IFERROR(INDEX(_xlfn.UNIQUE(TRIM(_xlfn.TEXTSPLIT(Table2614[[#This Row],[Selection Options]:[Selection Options]],","))),,O$11),"")</f>
        <v xml:space="preserve">
75%: The average of dimension 1 to 4 &gt;= 7 for 4 companies with valid references</v>
      </c>
      <c r="P21" s="29" t="str" cm="1">
        <f t="array" ref="P21">IFERROR(INDEX(_xlfn.UNIQUE(TRIM(_xlfn.TEXTSPLIT(Table2614[[#This Row],[Selection Options]:[Selection Options]],","))),,P$11),"")</f>
        <v xml:space="preserve">
50%: The average of dimension 1 to 4 &gt;= 7 for 3 companies with valid references</v>
      </c>
      <c r="Q21" s="29" t="str" cm="1">
        <f t="array" ref="Q21">IFERROR(INDEX(_xlfn.UNIQUE(TRIM(_xlfn.TEXTSPLIT(Table2614[[#This Row],[Selection Options]:[Selection Options]],","))),,Q$11),"")</f>
        <v xml:space="preserve">
25%: The average of dimension 1 to 4 &gt;= 7 for 2 companies with valid references</v>
      </c>
      <c r="R21" s="29" t="str" cm="1">
        <f t="array" ref="R21">IFERROR(INDEX(_xlfn.UNIQUE(TRIM(_xlfn.TEXTSPLIT(Table2614[[#This Row],[Selection Options]:[Selection Options]],","))),,R$11),"")</f>
        <v xml:space="preserve">
0%: The average of dimension 1 to 4 &lt; 7 for 3 or more companies with valid references or no data provided</v>
      </c>
      <c r="S21" s="29" t="str" cm="1">
        <f t="array" ref="S21">IFERROR(INDEX(_xlfn.UNIQUE(TRIM(_xlfn.TEXTSPLIT(Table2614[[#This Row],[Selection Options]:[Selection Options]],","))),,S$11),"")</f>
        <v/>
      </c>
      <c r="T21" s="29" t="str" cm="1">
        <f t="array" ref="T21">IFERROR(INDEX(_xlfn.UNIQUE(TRIM(_xlfn.TEXTSPLIT(Table2614[[#This Row],[Selection Options]:[Selection Options]],","))),,T$11),"")</f>
        <v/>
      </c>
      <c r="U21" s="29" t="str" cm="1">
        <f t="array" ref="U21">IFERROR(INDEX(_xlfn.UNIQUE(TRIM(_xlfn.TEXTSPLIT(Table2614[[#This Row],[Selection Options]:[Selection Options]],","))),,U$11),"")</f>
        <v/>
      </c>
      <c r="V21" s="29" t="str" cm="1">
        <f t="array" ref="V21">IFERROR(INDEX(_xlfn.UNIQUE(TRIM(_xlfn.TEXTSPLIT(Table2614[[#This Row],[Selection Options]:[Selection Options]],","))),,V$11),"")</f>
        <v/>
      </c>
      <c r="W21" s="29" t="str" cm="1">
        <f t="array" ref="W21">IFERROR(INDEX(_xlfn.UNIQUE(TRIM(_xlfn.TEXTSPLIT(Table2614[[#This Row],[Selection Options]:[Selection Options]],","))),,W$11),"")</f>
        <v/>
      </c>
      <c r="X21" s="29" t="str" cm="1">
        <f t="array" ref="X21">IFERROR(INDEX(_xlfn.UNIQUE(TRIM(_xlfn.TEXTSPLIT(Table2614[[#This Row],[Selection Options]:[Selection Options]],","))),,X$11),"")</f>
        <v/>
      </c>
      <c r="Y21" s="30" cm="1">
        <f t="array" ref="Y21">IF(Table2614[[#This Row],[1]]="","",Table2614[[#This Row],[Weight]:[Weight]]-(Table2614[[#This Row],[Weight]:[Weight]]*((_xlfn.XMATCH(Table2614[[#This Row],[1]],Table2614[[#This Row],[1]:[11]],0))-1)/(COUNTA(Table2614[[#This Row],[1]:[11]])-COUNTBLANK(Table2614[[#This Row],[1]:[11]])-1)))</f>
        <v>4.5454545454545456E-2</v>
      </c>
      <c r="Z21" s="30" cm="1">
        <f t="array" ref="Z21">IF(Table2614[[#This Row],[2]]="","",Table2614[[#This Row],[Weight]:[Weight]]-(Table2614[[#This Row],[Weight]:[Weight]]*((_xlfn.XMATCH(Table2614[[#This Row],[2]],Table2614[[#This Row],[1]:[11]],0))-1)/(COUNTA(Table2614[[#This Row],[1]:[11]])-COUNTBLANK(Table2614[[#This Row],[1]:[11]])-1)))</f>
        <v>3.4090909090909088E-2</v>
      </c>
      <c r="AA21" s="30" cm="1">
        <f t="array" ref="AA21">IF(Table2614[[#This Row],[3]]="","",Table2614[[#This Row],[Weight]:[Weight]]-(Table2614[[#This Row],[Weight]:[Weight]]*((_xlfn.XMATCH(Table2614[[#This Row],[3]],Table2614[[#This Row],[1]:[11]],0))-1)/(COUNTA(Table2614[[#This Row],[1]:[11]])-COUNTBLANK(Table2614[[#This Row],[1]:[11]])-1)))</f>
        <v>2.2727272727272728E-2</v>
      </c>
      <c r="AB21" s="30" cm="1">
        <f t="array" ref="AB21">IF(Table2614[[#This Row],[4]]="","",Table2614[[#This Row],[Weight]:[Weight]]-(Table2614[[#This Row],[Weight]:[Weight]]*((_xlfn.XMATCH(Table2614[[#This Row],[4]],Table2614[[#This Row],[1]:[11]],0))-1)/(COUNTA(Table2614[[#This Row],[1]:[11]])-COUNTBLANK(Table2614[[#This Row],[1]:[11]])-1)))</f>
        <v>1.1363636363636367E-2</v>
      </c>
      <c r="AC21" s="30" cm="1">
        <f t="array" ref="AC21">IF(Table2614[[#This Row],[5]]="","",Table2614[[#This Row],[Weight]:[Weight]]-(Table2614[[#This Row],[Weight]:[Weight]]*((_xlfn.XMATCH(Table2614[[#This Row],[5]],Table2614[[#This Row],[1]:[11]],0))-1)/(COUNTA(Table2614[[#This Row],[1]:[11]])-COUNTBLANK(Table2614[[#This Row],[1]:[11]])-1)))</f>
        <v>0</v>
      </c>
      <c r="AD21" s="30" t="str" cm="1">
        <f t="array" ref="AD21">IF(Table2614[[#This Row],[6]]="","",Table2614[[#This Row],[Weight]:[Weight]]-(Table2614[[#This Row],[Weight]:[Weight]]*((_xlfn.XMATCH(Table2614[[#This Row],[6]],Table2614[[#This Row],[1]:[11]],0))-1)/(COUNTA(Table2614[[#This Row],[1]:[11]])-COUNTBLANK(Table2614[[#This Row],[1]:[11]])-1)))</f>
        <v/>
      </c>
      <c r="AE21" s="30" t="str" cm="1">
        <f t="array" ref="AE21">IF(Table2614[[#This Row],[7]]="","",Table2614[[#This Row],[Weight]:[Weight]]-(Table2614[[#This Row],[Weight]:[Weight]]*((_xlfn.XMATCH(Table2614[[#This Row],[7]],Table2614[[#This Row],[1]:[11]],0))-1)/(COUNTA(Table2614[[#This Row],[1]:[11]])-COUNTBLANK(Table2614[[#This Row],[1]:[11]])-1)))</f>
        <v/>
      </c>
      <c r="AF21" s="30" t="str" cm="1">
        <f t="array" ref="AF21">IF(Table2614[[#This Row],[8]]="","",Table2614[[#This Row],[Weight]:[Weight]]-(Table2614[[#This Row],[Weight]:[Weight]]*((_xlfn.XMATCH(Table2614[[#This Row],[8]],Table2614[[#This Row],[1]:[11]],0))-1)/(COUNTA(Table2614[[#This Row],[1]:[11]])-COUNTBLANK(Table2614[[#This Row],[1]:[11]])-1)))</f>
        <v/>
      </c>
      <c r="AG21" s="30" t="str" cm="1">
        <f t="array" ref="AG21">IF(Table2614[[#This Row],[9]]="","",Table2614[[#This Row],[Weight]:[Weight]]-(Table2614[[#This Row],[Weight]:[Weight]]*((_xlfn.XMATCH(Table2614[[#This Row],[9]],Table2614[[#This Row],[1]:[11]],0))-1)/(COUNTA(Table2614[[#This Row],[1]:[11]])-COUNTBLANK(Table2614[[#This Row],[1]:[11]])-1)))</f>
        <v/>
      </c>
      <c r="AH21" s="30" t="str" cm="1">
        <f t="array" ref="AH21">IF(Table2614[[#This Row],[10]]="","",Table2614[[#This Row],[Weight]:[Weight]]-(Table2614[[#This Row],[Weight]:[Weight]]*((_xlfn.XMATCH(Table2614[[#This Row],[10]],Table2614[[#This Row],[1]:[11]],0))-1)/(COUNTA(Table2614[[#This Row],[1]:[11]])-COUNTBLANK(Table2614[[#This Row],[1]:[11]])-1)))</f>
        <v/>
      </c>
      <c r="AI21" s="30" t="str" cm="1">
        <f t="array" ref="AI21">IF(Table2614[[#This Row],[11]]="","",Table2614[[#This Row],[Weight]:[Weight]]-(Table2614[[#This Row],[Weight]:[Weight]]*((_xlfn.XMATCH(Table2614[[#This Row],[11]],Table2614[[#This Row],[1]:[11]],0))-1)/(COUNTA(Table2614[[#This Row],[1]:[11]])-COUNTBLANK(Table2614[[#This Row],[1]:[11]])-1)))</f>
        <v/>
      </c>
    </row>
    <row r="22" spans="1:35" ht="324" x14ac:dyDescent="0.2">
      <c r="A22" s="142">
        <v>10</v>
      </c>
      <c r="B22" s="90" t="s">
        <v>204</v>
      </c>
      <c r="C22" s="90" t="s">
        <v>205</v>
      </c>
      <c r="D22" s="146"/>
      <c r="E22" s="31"/>
      <c r="F22" s="121" t="s">
        <v>60</v>
      </c>
      <c r="G22" s="23" cm="1">
        <f t="array" ref="G22">_xlfn.IFS(F22="","",F22="No interest",0,F22="Nice to have",1,F22="Useful",2,F22="Important",3,F22="Very important",4,F22="Critical",5,F22="Show stopper",6)</f>
        <v>6</v>
      </c>
      <c r="H22" s="24">
        <f t="shared" si="2"/>
        <v>4.5454545454545456E-2</v>
      </c>
      <c r="I22" s="119" t="s">
        <v>206</v>
      </c>
      <c r="J22" s="119" t="str" cm="1">
        <f t="array" ref="J22">_xlfn.TEXTJOIN(","&amp;CHAR(10),,TEXT(Table2614[[#This Row],[12]:[22]],"0,00%"))</f>
        <v>0,05%,
0,03%,
0,02%,
0,00%</v>
      </c>
      <c r="K22" s="26"/>
      <c r="L22" s="27" t="e">
        <f>H22-(H22*((MATCH(Table2614[[#This Row],[Evaluators Response (SELECT)]],Table2614[[#This Row],[1]:[11]],0)-1)/(COUNTA(Table2614[[#This Row],[1]:[11]])-COUNTBLANK(Table2614[[#This Row],[1]:[11]])-1)))</f>
        <v>#N/A</v>
      </c>
      <c r="M22" s="28"/>
      <c r="N22" s="29" t="str" cm="1">
        <f t="array" ref="N22">IFERROR(INDEX(_xlfn.UNIQUE(TRIM(_xlfn.TEXTSPLIT(Table2614[[#This Row],[Selection Options]:[Selection Options]],","))),,N$11),"")</f>
        <v>100%: Accelerated implementation plan with timelines of not more than 12 months for all phases a phased approach aimed at exposing priority functionality first legal separation clearly defined resource allocation and ramp up per milestone</v>
      </c>
      <c r="O22" s="29" t="str" cm="1">
        <f t="array" ref="O22">IFERROR(INDEX(_xlfn.UNIQUE(TRIM(_xlfn.TEXTSPLIT(Table2614[[#This Row],[Selection Options]:[Selection Options]],","))),,O$11),"")</f>
        <v xml:space="preserve">
75%: Implementation plan with timelines between 12 and 15 months for all phases a phased approach aimed at exposing priority functionality first legal separation clearly defined resource allocation and ramp up per milestone</v>
      </c>
      <c r="P22" s="29" t="str" cm="1">
        <f t="array" ref="P22">IFERROR(INDEX(_xlfn.UNIQUE(TRIM(_xlfn.TEXTSPLIT(Table2614[[#This Row],[Selection Options]:[Selection Options]],","))),,P$11),"")</f>
        <v xml:space="preserve">
50%: Implementation plan with timelines between 15 and 18 months for all phases a phased approach aimed at exposing priority functionality first legal separation clearly defined resource allocation and ramp up per milestone</v>
      </c>
      <c r="Q22" s="29" t="str" cm="1">
        <f t="array" ref="Q22">IFERROR(INDEX(_xlfn.UNIQUE(TRIM(_xlfn.TEXTSPLIT(Table2614[[#This Row],[Selection Options]:[Selection Options]],","))),,Q$11),"")</f>
        <v xml:space="preserve">
0%: Implementation plan with timelines beyond 18 months for all phases a phased approach aimed at exposing priority functionality first legal separation clearly defined resource allocation and ramp up per milestone</v>
      </c>
      <c r="R22" s="29" t="str" cm="1">
        <f t="array" ref="R22">IFERROR(INDEX(_xlfn.UNIQUE(TRIM(_xlfn.TEXTSPLIT(Table2614[[#This Row],[Selection Options]:[Selection Options]],","))),,R$11),"")</f>
        <v/>
      </c>
      <c r="S22" s="29" t="str" cm="1">
        <f t="array" ref="S22">IFERROR(INDEX(_xlfn.UNIQUE(TRIM(_xlfn.TEXTSPLIT(Table2614[[#This Row],[Selection Options]:[Selection Options]],","))),,S$11),"")</f>
        <v/>
      </c>
      <c r="T22" s="29" t="str" cm="1">
        <f t="array" ref="T22">IFERROR(INDEX(_xlfn.UNIQUE(TRIM(_xlfn.TEXTSPLIT(Table2614[[#This Row],[Selection Options]:[Selection Options]],","))),,T$11),"")</f>
        <v/>
      </c>
      <c r="U22" s="29" t="str" cm="1">
        <f t="array" ref="U22">IFERROR(INDEX(_xlfn.UNIQUE(TRIM(_xlfn.TEXTSPLIT(Table2614[[#This Row],[Selection Options]:[Selection Options]],","))),,U$11),"")</f>
        <v/>
      </c>
      <c r="V22" s="29" t="str" cm="1">
        <f t="array" ref="V22">IFERROR(INDEX(_xlfn.UNIQUE(TRIM(_xlfn.TEXTSPLIT(Table2614[[#This Row],[Selection Options]:[Selection Options]],","))),,V$11),"")</f>
        <v/>
      </c>
      <c r="W22" s="29" t="str" cm="1">
        <f t="array" ref="W22">IFERROR(INDEX(_xlfn.UNIQUE(TRIM(_xlfn.TEXTSPLIT(Table2614[[#This Row],[Selection Options]:[Selection Options]],","))),,W$11),"")</f>
        <v/>
      </c>
      <c r="X22" s="29" t="str" cm="1">
        <f t="array" ref="X22">IFERROR(INDEX(_xlfn.UNIQUE(TRIM(_xlfn.TEXTSPLIT(Table2614[[#This Row],[Selection Options]:[Selection Options]],","))),,X$11),"")</f>
        <v/>
      </c>
      <c r="Y22" s="30" cm="1">
        <f t="array" ref="Y22">IF(Table2614[[#This Row],[1]]="","",Table2614[[#This Row],[Weight]:[Weight]]-(Table2614[[#This Row],[Weight]:[Weight]]*((_xlfn.XMATCH(Table2614[[#This Row],[1]],Table2614[[#This Row],[1]:[11]],0))-1)/(COUNTA(Table2614[[#This Row],[1]:[11]])-COUNTBLANK(Table2614[[#This Row],[1]:[11]])-1)))</f>
        <v>4.5454545454545456E-2</v>
      </c>
      <c r="Z22" s="30" cm="1">
        <f t="array" ref="Z22">IF(Table2614[[#This Row],[2]]="","",Table2614[[#This Row],[Weight]:[Weight]]-(Table2614[[#This Row],[Weight]:[Weight]]*((_xlfn.XMATCH(Table2614[[#This Row],[2]],Table2614[[#This Row],[1]:[11]],0))-1)/(COUNTA(Table2614[[#This Row],[1]:[11]])-COUNTBLANK(Table2614[[#This Row],[1]:[11]])-1)))</f>
        <v>3.0303030303030304E-2</v>
      </c>
      <c r="AA22" s="30" cm="1">
        <f t="array" ref="AA22">IF(Table2614[[#This Row],[3]]="","",Table2614[[#This Row],[Weight]:[Weight]]-(Table2614[[#This Row],[Weight]:[Weight]]*((_xlfn.XMATCH(Table2614[[#This Row],[3]],Table2614[[#This Row],[1]:[11]],0))-1)/(COUNTA(Table2614[[#This Row],[1]:[11]])-COUNTBLANK(Table2614[[#This Row],[1]:[11]])-1)))</f>
        <v>1.5151515151515152E-2</v>
      </c>
      <c r="AB22" s="30" cm="1">
        <f t="array" ref="AB22">IF(Table2614[[#This Row],[4]]="","",Table2614[[#This Row],[Weight]:[Weight]]-(Table2614[[#This Row],[Weight]:[Weight]]*((_xlfn.XMATCH(Table2614[[#This Row],[4]],Table2614[[#This Row],[1]:[11]],0))-1)/(COUNTA(Table2614[[#This Row],[1]:[11]])-COUNTBLANK(Table2614[[#This Row],[1]:[11]])-1)))</f>
        <v>6.9388939039072284E-18</v>
      </c>
      <c r="AC22" s="30" t="str" cm="1">
        <f t="array" ref="AC22">IF(Table2614[[#This Row],[5]]="","",Table2614[[#This Row],[Weight]:[Weight]]-(Table2614[[#This Row],[Weight]:[Weight]]*((_xlfn.XMATCH(Table2614[[#This Row],[5]],Table2614[[#This Row],[1]:[11]],0))-1)/(COUNTA(Table2614[[#This Row],[1]:[11]])-COUNTBLANK(Table2614[[#This Row],[1]:[11]])-1)))</f>
        <v/>
      </c>
      <c r="AD22" s="30" t="str" cm="1">
        <f t="array" ref="AD22">IF(Table2614[[#This Row],[6]]="","",Table2614[[#This Row],[Weight]:[Weight]]-(Table2614[[#This Row],[Weight]:[Weight]]*((_xlfn.XMATCH(Table2614[[#This Row],[6]],Table2614[[#This Row],[1]:[11]],0))-1)/(COUNTA(Table2614[[#This Row],[1]:[11]])-COUNTBLANK(Table2614[[#This Row],[1]:[11]])-1)))</f>
        <v/>
      </c>
      <c r="AE22" s="30" t="str" cm="1">
        <f t="array" ref="AE22">IF(Table2614[[#This Row],[7]]="","",Table2614[[#This Row],[Weight]:[Weight]]-(Table2614[[#This Row],[Weight]:[Weight]]*((_xlfn.XMATCH(Table2614[[#This Row],[7]],Table2614[[#This Row],[1]:[11]],0))-1)/(COUNTA(Table2614[[#This Row],[1]:[11]])-COUNTBLANK(Table2614[[#This Row],[1]:[11]])-1)))</f>
        <v/>
      </c>
      <c r="AF22" s="30" t="str" cm="1">
        <f t="array" ref="AF22">IF(Table2614[[#This Row],[8]]="","",Table2614[[#This Row],[Weight]:[Weight]]-(Table2614[[#This Row],[Weight]:[Weight]]*((_xlfn.XMATCH(Table2614[[#This Row],[8]],Table2614[[#This Row],[1]:[11]],0))-1)/(COUNTA(Table2614[[#This Row],[1]:[11]])-COUNTBLANK(Table2614[[#This Row],[1]:[11]])-1)))</f>
        <v/>
      </c>
      <c r="AG22" s="30" t="str" cm="1">
        <f t="array" ref="AG22">IF(Table2614[[#This Row],[9]]="","",Table2614[[#This Row],[Weight]:[Weight]]-(Table2614[[#This Row],[Weight]:[Weight]]*((_xlfn.XMATCH(Table2614[[#This Row],[9]],Table2614[[#This Row],[1]:[11]],0))-1)/(COUNTA(Table2614[[#This Row],[1]:[11]])-COUNTBLANK(Table2614[[#This Row],[1]:[11]])-1)))</f>
        <v/>
      </c>
      <c r="AH22" s="30" t="str" cm="1">
        <f t="array" ref="AH22">IF(Table2614[[#This Row],[10]]="","",Table2614[[#This Row],[Weight]:[Weight]]-(Table2614[[#This Row],[Weight]:[Weight]]*((_xlfn.XMATCH(Table2614[[#This Row],[10]],Table2614[[#This Row],[1]:[11]],0))-1)/(COUNTA(Table2614[[#This Row],[1]:[11]])-COUNTBLANK(Table2614[[#This Row],[1]:[11]])-1)))</f>
        <v/>
      </c>
      <c r="AI22" s="30" t="str" cm="1">
        <f t="array" ref="AI22">IF(Table2614[[#This Row],[11]]="","",Table2614[[#This Row],[Weight]:[Weight]]-(Table2614[[#This Row],[Weight]:[Weight]]*((_xlfn.XMATCH(Table2614[[#This Row],[11]],Table2614[[#This Row],[1]:[11]],0))-1)/(COUNTA(Table2614[[#This Row],[1]:[11]])-COUNTBLANK(Table2614[[#This Row],[1]:[11]])-1)))</f>
        <v/>
      </c>
    </row>
    <row r="23" spans="1:35" ht="312" x14ac:dyDescent="0.2">
      <c r="A23" s="142">
        <v>11</v>
      </c>
      <c r="B23" s="90" t="s">
        <v>207</v>
      </c>
      <c r="C23" s="90" t="s">
        <v>208</v>
      </c>
      <c r="D23" s="146"/>
      <c r="E23" s="31"/>
      <c r="F23" s="121" t="s">
        <v>60</v>
      </c>
      <c r="G23" s="23" cm="1">
        <f t="array" ref="G23">_xlfn.IFS(F23="","",F23="No interest",0,F23="Nice to have",1,F23="Useful",2,F23="Important",3,F23="Very important",4,F23="Critical",5,F23="Show stopper",6)</f>
        <v>6</v>
      </c>
      <c r="H23" s="24">
        <f t="shared" si="2"/>
        <v>4.5454545454545456E-2</v>
      </c>
      <c r="I23" s="119" t="s">
        <v>209</v>
      </c>
      <c r="J23" s="119" t="str" cm="1">
        <f t="array" ref="J23">_xlfn.TEXTJOIN(","&amp;CHAR(10),,TEXT(Table2614[[#This Row],[12]:[22]],"0,00%"))</f>
        <v>0,05%,
0,03%,
0,02%,
0,00%</v>
      </c>
      <c r="K23" s="26"/>
      <c r="L23" s="27" t="e">
        <f>H23-(H23*((MATCH(Table2614[[#This Row],[Evaluators Response (SELECT)]],Table2614[[#This Row],[1]:[11]],0)-1)/(COUNTA(Table2614[[#This Row],[1]:[11]])-COUNTBLANK(Table2614[[#This Row],[1]:[11]])-1)))</f>
        <v>#N/A</v>
      </c>
      <c r="M23" s="28"/>
      <c r="N23" s="29" t="str" cm="1">
        <f t="array" ref="N23">IFERROR(INDEX(_xlfn.UNIQUE(TRIM(_xlfn.TEXTSPLIT(Table2614[[#This Row],[Selection Options]:[Selection Options]],","))),,N$11),"")</f>
        <v>100%: Training is delivered through various interactive methods (online trainer the trainer instructor led) aligned to project milestones with assessments and refresher courses ensuring knowledge transfer and tracking adoption</v>
      </c>
      <c r="O23" s="29" t="str" cm="1">
        <f t="array" ref="O23">IFERROR(INDEX(_xlfn.UNIQUE(TRIM(_xlfn.TEXTSPLIT(Table2614[[#This Row],[Selection Options]:[Selection Options]],","))),,O$11),"")</f>
        <v xml:space="preserve">
75%: Training is delivered through limited methods (no online only trainer the trainer and instructor led) aligned to project milestones with assessments and refresher courses ensuring knowledge transfer and tracking adoption</v>
      </c>
      <c r="P23" s="29" t="str" cm="1">
        <f t="array" ref="P23">IFERROR(INDEX(_xlfn.UNIQUE(TRIM(_xlfn.TEXTSPLIT(Table2614[[#This Row],[Selection Options]:[Selection Options]],","))),,P$11),"")</f>
        <v xml:space="preserve">
50%: Training is delivered through limited methods (e.g. no online only trainer the trainer and instructor led only) limited alignment with project milestones with assessments and limited to no refresher courses and knowledge transfer</v>
      </c>
      <c r="Q23" s="29" t="str" cm="1">
        <f t="array" ref="Q23">IFERROR(INDEX(_xlfn.UNIQUE(TRIM(_xlfn.TEXTSPLIT(Table2614[[#This Row],[Selection Options]:[Selection Options]],","))),,Q$11),"")</f>
        <v xml:space="preserve">
0%: Training is delivered through limited methods no alignment with project milestones no assessments and no refresher courses and knowledge transfer</v>
      </c>
      <c r="R23" s="29" t="str" cm="1">
        <f t="array" ref="R23">IFERROR(INDEX(_xlfn.UNIQUE(TRIM(_xlfn.TEXTSPLIT(Table2614[[#This Row],[Selection Options]:[Selection Options]],","))),,R$11),"")</f>
        <v/>
      </c>
      <c r="S23" s="29" t="str" cm="1">
        <f t="array" ref="S23">IFERROR(INDEX(_xlfn.UNIQUE(TRIM(_xlfn.TEXTSPLIT(Table2614[[#This Row],[Selection Options]:[Selection Options]],","))),,S$11),"")</f>
        <v/>
      </c>
      <c r="T23" s="29" t="str" cm="1">
        <f t="array" ref="T23">IFERROR(INDEX(_xlfn.UNIQUE(TRIM(_xlfn.TEXTSPLIT(Table2614[[#This Row],[Selection Options]:[Selection Options]],","))),,T$11),"")</f>
        <v/>
      </c>
      <c r="U23" s="29" t="str" cm="1">
        <f t="array" ref="U23">IFERROR(INDEX(_xlfn.UNIQUE(TRIM(_xlfn.TEXTSPLIT(Table2614[[#This Row],[Selection Options]:[Selection Options]],","))),,U$11),"")</f>
        <v/>
      </c>
      <c r="V23" s="29" t="str" cm="1">
        <f t="array" ref="V23">IFERROR(INDEX(_xlfn.UNIQUE(TRIM(_xlfn.TEXTSPLIT(Table2614[[#This Row],[Selection Options]:[Selection Options]],","))),,V$11),"")</f>
        <v/>
      </c>
      <c r="W23" s="29" t="str" cm="1">
        <f t="array" ref="W23">IFERROR(INDEX(_xlfn.UNIQUE(TRIM(_xlfn.TEXTSPLIT(Table2614[[#This Row],[Selection Options]:[Selection Options]],","))),,W$11),"")</f>
        <v/>
      </c>
      <c r="X23" s="29" t="str" cm="1">
        <f t="array" ref="X23">IFERROR(INDEX(_xlfn.UNIQUE(TRIM(_xlfn.TEXTSPLIT(Table2614[[#This Row],[Selection Options]:[Selection Options]],","))),,X$11),"")</f>
        <v/>
      </c>
      <c r="Y23" s="30" cm="1">
        <f t="array" ref="Y23">IF(Table2614[[#This Row],[1]]="","",Table2614[[#This Row],[Weight]:[Weight]]-(Table2614[[#This Row],[Weight]:[Weight]]*((_xlfn.XMATCH(Table2614[[#This Row],[1]],Table2614[[#This Row],[1]:[11]],0))-1)/(COUNTA(Table2614[[#This Row],[1]:[11]])-COUNTBLANK(Table2614[[#This Row],[1]:[11]])-1)))</f>
        <v>4.5454545454545456E-2</v>
      </c>
      <c r="Z23" s="30" cm="1">
        <f t="array" ref="Z23">IF(Table2614[[#This Row],[2]]="","",Table2614[[#This Row],[Weight]:[Weight]]-(Table2614[[#This Row],[Weight]:[Weight]]*((_xlfn.XMATCH(Table2614[[#This Row],[2]],Table2614[[#This Row],[1]:[11]],0))-1)/(COUNTA(Table2614[[#This Row],[1]:[11]])-COUNTBLANK(Table2614[[#This Row],[1]:[11]])-1)))</f>
        <v>3.0303030303030304E-2</v>
      </c>
      <c r="AA23" s="30" cm="1">
        <f t="array" ref="AA23">IF(Table2614[[#This Row],[3]]="","",Table2614[[#This Row],[Weight]:[Weight]]-(Table2614[[#This Row],[Weight]:[Weight]]*((_xlfn.XMATCH(Table2614[[#This Row],[3]],Table2614[[#This Row],[1]:[11]],0))-1)/(COUNTA(Table2614[[#This Row],[1]:[11]])-COUNTBLANK(Table2614[[#This Row],[1]:[11]])-1)))</f>
        <v>1.5151515151515152E-2</v>
      </c>
      <c r="AB23" s="30" cm="1">
        <f t="array" ref="AB23">IF(Table2614[[#This Row],[4]]="","",Table2614[[#This Row],[Weight]:[Weight]]-(Table2614[[#This Row],[Weight]:[Weight]]*((_xlfn.XMATCH(Table2614[[#This Row],[4]],Table2614[[#This Row],[1]:[11]],0))-1)/(COUNTA(Table2614[[#This Row],[1]:[11]])-COUNTBLANK(Table2614[[#This Row],[1]:[11]])-1)))</f>
        <v>6.9388939039072284E-18</v>
      </c>
      <c r="AC23" s="30" t="str" cm="1">
        <f t="array" ref="AC23">IF(Table2614[[#This Row],[5]]="","",Table2614[[#This Row],[Weight]:[Weight]]-(Table2614[[#This Row],[Weight]:[Weight]]*((_xlfn.XMATCH(Table2614[[#This Row],[5]],Table2614[[#This Row],[1]:[11]],0))-1)/(COUNTA(Table2614[[#This Row],[1]:[11]])-COUNTBLANK(Table2614[[#This Row],[1]:[11]])-1)))</f>
        <v/>
      </c>
      <c r="AD23" s="30" t="str" cm="1">
        <f t="array" ref="AD23">IF(Table2614[[#This Row],[6]]="","",Table2614[[#This Row],[Weight]:[Weight]]-(Table2614[[#This Row],[Weight]:[Weight]]*((_xlfn.XMATCH(Table2614[[#This Row],[6]],Table2614[[#This Row],[1]:[11]],0))-1)/(COUNTA(Table2614[[#This Row],[1]:[11]])-COUNTBLANK(Table2614[[#This Row],[1]:[11]])-1)))</f>
        <v/>
      </c>
      <c r="AE23" s="30" t="str" cm="1">
        <f t="array" ref="AE23">IF(Table2614[[#This Row],[7]]="","",Table2614[[#This Row],[Weight]:[Weight]]-(Table2614[[#This Row],[Weight]:[Weight]]*((_xlfn.XMATCH(Table2614[[#This Row],[7]],Table2614[[#This Row],[1]:[11]],0))-1)/(COUNTA(Table2614[[#This Row],[1]:[11]])-COUNTBLANK(Table2614[[#This Row],[1]:[11]])-1)))</f>
        <v/>
      </c>
      <c r="AF23" s="30" t="str" cm="1">
        <f t="array" ref="AF23">IF(Table2614[[#This Row],[8]]="","",Table2614[[#This Row],[Weight]:[Weight]]-(Table2614[[#This Row],[Weight]:[Weight]]*((_xlfn.XMATCH(Table2614[[#This Row],[8]],Table2614[[#This Row],[1]:[11]],0))-1)/(COUNTA(Table2614[[#This Row],[1]:[11]])-COUNTBLANK(Table2614[[#This Row],[1]:[11]])-1)))</f>
        <v/>
      </c>
      <c r="AG23" s="30" t="str" cm="1">
        <f t="array" ref="AG23">IF(Table2614[[#This Row],[9]]="","",Table2614[[#This Row],[Weight]:[Weight]]-(Table2614[[#This Row],[Weight]:[Weight]]*((_xlfn.XMATCH(Table2614[[#This Row],[9]],Table2614[[#This Row],[1]:[11]],0))-1)/(COUNTA(Table2614[[#This Row],[1]:[11]])-COUNTBLANK(Table2614[[#This Row],[1]:[11]])-1)))</f>
        <v/>
      </c>
      <c r="AH23" s="30" t="str" cm="1">
        <f t="array" ref="AH23">IF(Table2614[[#This Row],[10]]="","",Table2614[[#This Row],[Weight]:[Weight]]-(Table2614[[#This Row],[Weight]:[Weight]]*((_xlfn.XMATCH(Table2614[[#This Row],[10]],Table2614[[#This Row],[1]:[11]],0))-1)/(COUNTA(Table2614[[#This Row],[1]:[11]])-COUNTBLANK(Table2614[[#This Row],[1]:[11]])-1)))</f>
        <v/>
      </c>
      <c r="AI23" s="30" t="str" cm="1">
        <f t="array" ref="AI23">IF(Table2614[[#This Row],[11]]="","",Table2614[[#This Row],[Weight]:[Weight]]-(Table2614[[#This Row],[Weight]:[Weight]]*((_xlfn.XMATCH(Table2614[[#This Row],[11]],Table2614[[#This Row],[1]:[11]],0))-1)/(COUNTA(Table2614[[#This Row],[1]:[11]])-COUNTBLANK(Table2614[[#This Row],[1]:[11]])-1)))</f>
        <v/>
      </c>
    </row>
    <row r="24" spans="1:35" ht="336" x14ac:dyDescent="0.2">
      <c r="A24" s="142">
        <v>12</v>
      </c>
      <c r="B24" s="90" t="s">
        <v>210</v>
      </c>
      <c r="C24" s="90" t="s">
        <v>211</v>
      </c>
      <c r="D24" s="31"/>
      <c r="E24" s="31"/>
      <c r="F24" s="121" t="s">
        <v>60</v>
      </c>
      <c r="G24" s="23" cm="1">
        <f t="array" ref="G24">_xlfn.IFS(F24="","",F24="No interest",0,F24="Nice to have",1,F24="Useful",2,F24="Important",3,F24="Very important",4,F24="Critical",5,F24="Show stopper",6)</f>
        <v>6</v>
      </c>
      <c r="H24" s="24">
        <f t="shared" si="2"/>
        <v>4.5454545454545456E-2</v>
      </c>
      <c r="I24" s="119" t="s">
        <v>212</v>
      </c>
      <c r="J24" s="119" t="str" cm="1">
        <f t="array" ref="J24">_xlfn.TEXTJOIN(","&amp;CHAR(10),,TEXT(Table2614[[#This Row],[12]:[22]],"0,00%"))</f>
        <v>0,05%,
0,02%,
0,00%</v>
      </c>
      <c r="K24" s="26"/>
      <c r="L24" s="27" t="e">
        <f>H24-(H24*((MATCH(Table2614[[#This Row],[Evaluators Response (SELECT)]],Table2614[[#This Row],[1]:[11]],0)-1)/(COUNTA(Table2614[[#This Row],[1]:[11]])-COUNTBLANK(Table2614[[#This Row],[1]:[11]])-1)))</f>
        <v>#N/A</v>
      </c>
      <c r="M24" s="28"/>
      <c r="N24" s="29" t="str" cm="1">
        <f t="array" ref="N24">IFERROR(INDEX(_xlfn.UNIQUE(TRIM(_xlfn.TEXTSPLIT(Table2614[[#This Row],[Selection Options]:[Selection Options]],","))),,N$11),"")</f>
        <v>100%: SLA uptime exceeds 99% with penalty clauses in contract Automated backups defined restoration times system redundancy and a tested disaster recovery plan Service desk available locally with over five years of SaaS support for similar projects</v>
      </c>
      <c r="O24" s="29" t="str" cm="1">
        <f t="array" ref="O24">IFERROR(INDEX(_xlfn.UNIQUE(TRIM(_xlfn.TEXTSPLIT(Table2614[[#This Row],[Selection Options]:[Selection Options]],","))),,O$11),"")</f>
        <v xml:space="preserve">
50%: SLA uptime exceeds 99% with penalty clauses in contract Automated backups defined restoration times system redundancy and a tested disaster recovery plan 3 to 5 years of SaaS support for similar projects</v>
      </c>
      <c r="P24" s="29" t="str" cm="1">
        <f t="array" ref="P24">IFERROR(INDEX(_xlfn.UNIQUE(TRIM(_xlfn.TEXTSPLIT(Table2614[[#This Row],[Selection Options]:[Selection Options]],","))),,P$11),"")</f>
        <v xml:space="preserve">
0%: SLA uptime exceeds 99% with penalty clauses in contract Automated backups defined restoration times system redundancy and a tested disaster recovery plan less than3 years of SaaS support for similar projects</v>
      </c>
      <c r="Q24" s="29" t="str" cm="1">
        <f t="array" ref="Q24">IFERROR(INDEX(_xlfn.UNIQUE(TRIM(_xlfn.TEXTSPLIT(Table2614[[#This Row],[Selection Options]:[Selection Options]],","))),,Q$11),"")</f>
        <v/>
      </c>
      <c r="R24" s="29" t="str" cm="1">
        <f t="array" ref="R24">IFERROR(INDEX(_xlfn.UNIQUE(TRIM(_xlfn.TEXTSPLIT(Table2614[[#This Row],[Selection Options]:[Selection Options]],","))),,R$11),"")</f>
        <v/>
      </c>
      <c r="S24" s="29" t="str" cm="1">
        <f t="array" ref="S24">IFERROR(INDEX(_xlfn.UNIQUE(TRIM(_xlfn.TEXTSPLIT(Table2614[[#This Row],[Selection Options]:[Selection Options]],","))),,S$11),"")</f>
        <v/>
      </c>
      <c r="T24" s="29" t="str" cm="1">
        <f t="array" ref="T24">IFERROR(INDEX(_xlfn.UNIQUE(TRIM(_xlfn.TEXTSPLIT(Table2614[[#This Row],[Selection Options]:[Selection Options]],","))),,T$11),"")</f>
        <v/>
      </c>
      <c r="U24" s="29" t="str" cm="1">
        <f t="array" ref="U24">IFERROR(INDEX(_xlfn.UNIQUE(TRIM(_xlfn.TEXTSPLIT(Table2614[[#This Row],[Selection Options]:[Selection Options]],","))),,U$11),"")</f>
        <v/>
      </c>
      <c r="V24" s="29" t="str" cm="1">
        <f t="array" ref="V24">IFERROR(INDEX(_xlfn.UNIQUE(TRIM(_xlfn.TEXTSPLIT(Table2614[[#This Row],[Selection Options]:[Selection Options]],","))),,V$11),"")</f>
        <v/>
      </c>
      <c r="W24" s="29" t="str" cm="1">
        <f t="array" ref="W24">IFERROR(INDEX(_xlfn.UNIQUE(TRIM(_xlfn.TEXTSPLIT(Table2614[[#This Row],[Selection Options]:[Selection Options]],","))),,W$11),"")</f>
        <v/>
      </c>
      <c r="X24" s="29" t="str" cm="1">
        <f t="array" ref="X24">IFERROR(INDEX(_xlfn.UNIQUE(TRIM(_xlfn.TEXTSPLIT(Table2614[[#This Row],[Selection Options]:[Selection Options]],","))),,X$11),"")</f>
        <v/>
      </c>
      <c r="Y24" s="30" cm="1">
        <f t="array" ref="Y24">IF(Table2614[[#This Row],[1]]="","",Table2614[[#This Row],[Weight]:[Weight]]-(Table2614[[#This Row],[Weight]:[Weight]]*((_xlfn.XMATCH(Table2614[[#This Row],[1]],Table2614[[#This Row],[1]:[11]],0))-1)/(COUNTA(Table2614[[#This Row],[1]:[11]])-COUNTBLANK(Table2614[[#This Row],[1]:[11]])-1)))</f>
        <v>4.5454545454545456E-2</v>
      </c>
      <c r="Z24" s="30" cm="1">
        <f t="array" ref="Z24">IF(Table2614[[#This Row],[2]]="","",Table2614[[#This Row],[Weight]:[Weight]]-(Table2614[[#This Row],[Weight]:[Weight]]*((_xlfn.XMATCH(Table2614[[#This Row],[2]],Table2614[[#This Row],[1]:[11]],0))-1)/(COUNTA(Table2614[[#This Row],[1]:[11]])-COUNTBLANK(Table2614[[#This Row],[1]:[11]])-1)))</f>
        <v>2.2727272727272728E-2</v>
      </c>
      <c r="AA24" s="30" cm="1">
        <f t="array" ref="AA24">IF(Table2614[[#This Row],[3]]="","",Table2614[[#This Row],[Weight]:[Weight]]-(Table2614[[#This Row],[Weight]:[Weight]]*((_xlfn.XMATCH(Table2614[[#This Row],[3]],Table2614[[#This Row],[1]:[11]],0))-1)/(COUNTA(Table2614[[#This Row],[1]:[11]])-COUNTBLANK(Table2614[[#This Row],[1]:[11]])-1)))</f>
        <v>0</v>
      </c>
      <c r="AB24" s="30" t="str" cm="1">
        <f t="array" ref="AB24">IF(Table2614[[#This Row],[4]]="","",Table2614[[#This Row],[Weight]:[Weight]]-(Table2614[[#This Row],[Weight]:[Weight]]*((_xlfn.XMATCH(Table2614[[#This Row],[4]],Table2614[[#This Row],[1]:[11]],0))-1)/(COUNTA(Table2614[[#This Row],[1]:[11]])-COUNTBLANK(Table2614[[#This Row],[1]:[11]])-1)))</f>
        <v/>
      </c>
      <c r="AC24" s="30" t="str" cm="1">
        <f t="array" ref="AC24">IF(Table2614[[#This Row],[5]]="","",Table2614[[#This Row],[Weight]:[Weight]]-(Table2614[[#This Row],[Weight]:[Weight]]*((_xlfn.XMATCH(Table2614[[#This Row],[5]],Table2614[[#This Row],[1]:[11]],0))-1)/(COUNTA(Table2614[[#This Row],[1]:[11]])-COUNTBLANK(Table2614[[#This Row],[1]:[11]])-1)))</f>
        <v/>
      </c>
      <c r="AD24" s="30" t="str" cm="1">
        <f t="array" ref="AD24">IF(Table2614[[#This Row],[6]]="","",Table2614[[#This Row],[Weight]:[Weight]]-(Table2614[[#This Row],[Weight]:[Weight]]*((_xlfn.XMATCH(Table2614[[#This Row],[6]],Table2614[[#This Row],[1]:[11]],0))-1)/(COUNTA(Table2614[[#This Row],[1]:[11]])-COUNTBLANK(Table2614[[#This Row],[1]:[11]])-1)))</f>
        <v/>
      </c>
      <c r="AE24" s="30" t="str" cm="1">
        <f t="array" ref="AE24">IF(Table2614[[#This Row],[7]]="","",Table2614[[#This Row],[Weight]:[Weight]]-(Table2614[[#This Row],[Weight]:[Weight]]*((_xlfn.XMATCH(Table2614[[#This Row],[7]],Table2614[[#This Row],[1]:[11]],0))-1)/(COUNTA(Table2614[[#This Row],[1]:[11]])-COUNTBLANK(Table2614[[#This Row],[1]:[11]])-1)))</f>
        <v/>
      </c>
      <c r="AF24" s="30" t="str" cm="1">
        <f t="array" ref="AF24">IF(Table2614[[#This Row],[8]]="","",Table2614[[#This Row],[Weight]:[Weight]]-(Table2614[[#This Row],[Weight]:[Weight]]*((_xlfn.XMATCH(Table2614[[#This Row],[8]],Table2614[[#This Row],[1]:[11]],0))-1)/(COUNTA(Table2614[[#This Row],[1]:[11]])-COUNTBLANK(Table2614[[#This Row],[1]:[11]])-1)))</f>
        <v/>
      </c>
      <c r="AG24" s="30" t="str" cm="1">
        <f t="array" ref="AG24">IF(Table2614[[#This Row],[9]]="","",Table2614[[#This Row],[Weight]:[Weight]]-(Table2614[[#This Row],[Weight]:[Weight]]*((_xlfn.XMATCH(Table2614[[#This Row],[9]],Table2614[[#This Row],[1]:[11]],0))-1)/(COUNTA(Table2614[[#This Row],[1]:[11]])-COUNTBLANK(Table2614[[#This Row],[1]:[11]])-1)))</f>
        <v/>
      </c>
      <c r="AH24" s="30" t="str" cm="1">
        <f t="array" ref="AH24">IF(Table2614[[#This Row],[10]]="","",Table2614[[#This Row],[Weight]:[Weight]]-(Table2614[[#This Row],[Weight]:[Weight]]*((_xlfn.XMATCH(Table2614[[#This Row],[10]],Table2614[[#This Row],[1]:[11]],0))-1)/(COUNTA(Table2614[[#This Row],[1]:[11]])-COUNTBLANK(Table2614[[#This Row],[1]:[11]])-1)))</f>
        <v/>
      </c>
      <c r="AI24" s="30" t="str" cm="1">
        <f t="array" ref="AI24">IF(Table2614[[#This Row],[11]]="","",Table2614[[#This Row],[Weight]:[Weight]]-(Table2614[[#This Row],[Weight]:[Weight]]*((_xlfn.XMATCH(Table2614[[#This Row],[11]],Table2614[[#This Row],[1]:[11]],0))-1)/(COUNTA(Table2614[[#This Row],[1]:[11]])-COUNTBLANK(Table2614[[#This Row],[1]:[11]])-1)))</f>
        <v/>
      </c>
    </row>
  </sheetData>
  <sheetProtection insertRows="0" insertHyperlinks="0" deleteRows="0" autoFilter="0"/>
  <mergeCells count="4">
    <mergeCell ref="E2:F3"/>
    <mergeCell ref="A10:A11"/>
    <mergeCell ref="B10:C11"/>
    <mergeCell ref="D10:E11"/>
  </mergeCells>
  <conditionalFormatting sqref="K13:K24">
    <cfRule type="expression" dxfId="574" priority="1">
      <formula>COUNTIF(N13:X13,K13)&lt;&gt;1</formula>
    </cfRule>
  </conditionalFormatting>
  <dataValidations count="4">
    <dataValidation type="list" allowBlank="1" showInputMessage="1" showErrorMessage="1" sqref="M14" xr:uid="{BB53FFFF-D1B2-4C2F-A171-D4A8AAE72972}">
      <formula1>_xlfn.UNIQUE(TRIM(_xlfn.TEXTSPLIT(#REF!,",")))</formula1>
    </dataValidation>
    <dataValidation type="list" allowBlank="1" showInputMessage="1" showErrorMessage="1" sqref="F13:F24" xr:uid="{A0082CE7-9359-45EF-A146-1028F3C1BB58}">
      <formula1>"No interest,Nice to have,Useful,Important,Very important,Critical,Show stopper"</formula1>
    </dataValidation>
    <dataValidation type="list" allowBlank="1" showInputMessage="1" showErrorMessage="1" sqref="H13:H24" xr:uid="{57A30CFB-7951-462A-9025-49530E0EF965}">
      <formula1>N13:R13</formula1>
    </dataValidation>
    <dataValidation type="list" allowBlank="1" showInputMessage="1" showErrorMessage="1" sqref="K13:K24" xr:uid="{8D040893-2DD6-4B22-A36A-84E252956B82}">
      <formula1>$N13:$X13</formula1>
    </dataValidation>
  </dataValidations>
  <pageMargins left="0.7" right="0.7" top="0.75" bottom="0.75" header="0.3" footer="0.3"/>
  <pageSetup paperSize="9" scale="32" fitToHeight="0" orientation="landscape"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8C0D6-5E7E-4334-ABC8-8435680B88E4}">
  <sheetPr>
    <tabColor rgb="FF92D050"/>
    <pageSetUpPr fitToPage="1"/>
  </sheetPr>
  <dimension ref="A2:AJ115"/>
  <sheetViews>
    <sheetView topLeftCell="A32" zoomScale="77" zoomScaleNormal="77" workbookViewId="0">
      <selection activeCell="E7" sqref="E7"/>
    </sheetView>
  </sheetViews>
  <sheetFormatPr defaultColWidth="5.42578125" defaultRowHeight="12" customHeight="1" x14ac:dyDescent="0.2"/>
  <cols>
    <col min="1" max="1" width="5.42578125" style="6" customWidth="1"/>
    <col min="2" max="2" width="38.42578125" style="6" customWidth="1"/>
    <col min="3" max="4" width="48.28515625" style="6" customWidth="1"/>
    <col min="5" max="5" width="32.42578125" style="6" customWidth="1"/>
    <col min="6" max="6" width="31.28515625" style="6" bestFit="1" customWidth="1"/>
    <col min="7" max="7" width="18.42578125" style="6" bestFit="1" customWidth="1"/>
    <col min="8" max="8" width="11.28515625" style="6" bestFit="1" customWidth="1"/>
    <col min="9" max="9" width="10.28515625" style="6" customWidth="1"/>
    <col min="10" max="10" width="39" style="6" customWidth="1"/>
    <col min="11" max="11" width="8" style="6" customWidth="1"/>
    <col min="12" max="12" width="15.85546875" style="6" customWidth="1"/>
    <col min="13" max="13" width="7.85546875" style="40" customWidth="1"/>
    <col min="14" max="14" width="19.7109375" style="6" customWidth="1"/>
    <col min="15" max="15" width="8.28515625" style="41" customWidth="1"/>
    <col min="16" max="25" width="6.42578125" style="41" customWidth="1"/>
    <col min="26" max="26" width="8" style="6" customWidth="1"/>
    <col min="27" max="27" width="6.42578125" style="6" bestFit="1" customWidth="1"/>
    <col min="28" max="33" width="6.140625" style="6" customWidth="1"/>
    <col min="34" max="38" width="5.42578125" style="6" customWidth="1"/>
    <col min="39" max="16384" width="5.42578125" style="6"/>
  </cols>
  <sheetData>
    <row r="2" spans="1:36" ht="15" x14ac:dyDescent="0.25">
      <c r="B2" s="64" t="s">
        <v>82</v>
      </c>
      <c r="C2" s="65" t="s">
        <v>83</v>
      </c>
      <c r="D2" s="172"/>
      <c r="F2" s="374" t="s">
        <v>177</v>
      </c>
      <c r="G2" s="375"/>
    </row>
    <row r="3" spans="1:36" ht="15.75" customHeight="1" x14ac:dyDescent="0.25">
      <c r="B3" s="64" t="s">
        <v>84</v>
      </c>
      <c r="C3" s="65" t="s">
        <v>83</v>
      </c>
      <c r="D3" s="172"/>
      <c r="F3" s="376"/>
      <c r="G3" s="377"/>
    </row>
    <row r="4" spans="1:36" ht="15" customHeight="1" x14ac:dyDescent="0.25">
      <c r="B4" s="64" t="s">
        <v>85</v>
      </c>
      <c r="C4" s="67" t="s">
        <v>86</v>
      </c>
      <c r="D4" s="172"/>
      <c r="E4" s="140"/>
      <c r="F4" s="108" t="s">
        <v>72</v>
      </c>
      <c r="G4" s="114"/>
    </row>
    <row r="5" spans="1:36" ht="15.75" x14ac:dyDescent="0.25">
      <c r="B5" s="64" t="s">
        <v>87</v>
      </c>
      <c r="C5" s="67" t="s">
        <v>86</v>
      </c>
      <c r="D5" s="172"/>
      <c r="E5" s="140"/>
      <c r="F5" s="110"/>
      <c r="G5" s="113"/>
    </row>
    <row r="6" spans="1:36" ht="15.75" x14ac:dyDescent="0.25">
      <c r="B6" s="64" t="s">
        <v>89</v>
      </c>
      <c r="C6" s="67" t="s">
        <v>86</v>
      </c>
      <c r="D6" s="172"/>
      <c r="E6" s="140"/>
      <c r="F6" s="140"/>
    </row>
    <row r="7" spans="1:36" ht="42.75" customHeight="1" x14ac:dyDescent="0.25">
      <c r="B7" s="64" t="s">
        <v>90</v>
      </c>
      <c r="C7" s="67"/>
      <c r="D7" s="172"/>
      <c r="E7" s="49"/>
      <c r="F7" s="140"/>
    </row>
    <row r="10" spans="1:36" ht="15" customHeight="1" x14ac:dyDescent="0.2">
      <c r="A10" s="350"/>
      <c r="B10" s="352" t="s">
        <v>14</v>
      </c>
      <c r="C10" s="352"/>
      <c r="D10" s="169"/>
      <c r="E10" s="354" t="s">
        <v>15</v>
      </c>
      <c r="F10" s="355"/>
      <c r="G10" s="1" t="s">
        <v>16</v>
      </c>
      <c r="H10" s="2"/>
      <c r="I10" s="3"/>
      <c r="J10" s="3"/>
      <c r="K10" s="3"/>
      <c r="L10" s="3"/>
      <c r="M10" s="4"/>
      <c r="N10" s="5"/>
      <c r="O10" s="4"/>
      <c r="P10" s="4"/>
      <c r="Q10" s="4"/>
      <c r="R10" s="4"/>
      <c r="S10" s="4"/>
      <c r="T10" s="4"/>
      <c r="U10" s="4"/>
      <c r="V10" s="4"/>
      <c r="W10" s="4"/>
      <c r="X10" s="4"/>
      <c r="Y10" s="4"/>
      <c r="Z10" s="4"/>
      <c r="AA10" s="4"/>
      <c r="AB10" s="4"/>
      <c r="AC10" s="4"/>
      <c r="AD10" s="4"/>
      <c r="AE10" s="4"/>
      <c r="AF10" s="4"/>
      <c r="AG10" s="4"/>
      <c r="AH10" s="4"/>
      <c r="AI10" s="4"/>
      <c r="AJ10" s="4"/>
    </row>
    <row r="11" spans="1:36" x14ac:dyDescent="0.2">
      <c r="A11" s="351"/>
      <c r="B11" s="353"/>
      <c r="C11" s="353"/>
      <c r="D11" s="170"/>
      <c r="E11" s="356"/>
      <c r="F11" s="356"/>
      <c r="G11" s="136">
        <f>'Scoring Summary'!C15</f>
        <v>3.7499999999999999E-2</v>
      </c>
      <c r="H11" s="43">
        <f>SUM(Table261424[Priority])</f>
        <v>549</v>
      </c>
      <c r="I11" s="8">
        <f>SUM(Table261424[Weight])</f>
        <v>3.7499999999999999E-2</v>
      </c>
      <c r="J11" s="7"/>
      <c r="K11" s="7"/>
      <c r="L11" s="9" t="s">
        <v>17</v>
      </c>
      <c r="M11" s="8" t="e">
        <f>SUM(Table261424[Score])</f>
        <v>#N/A</v>
      </c>
      <c r="N11" s="7"/>
      <c r="O11" s="10">
        <v>1</v>
      </c>
      <c r="P11" s="10">
        <v>2</v>
      </c>
      <c r="Q11" s="10">
        <v>3</v>
      </c>
      <c r="R11" s="10">
        <v>4</v>
      </c>
      <c r="S11" s="10">
        <v>5</v>
      </c>
      <c r="T11" s="10">
        <v>6</v>
      </c>
      <c r="U11" s="10">
        <v>7</v>
      </c>
      <c r="V11" s="10">
        <v>8</v>
      </c>
      <c r="W11" s="10">
        <v>9</v>
      </c>
      <c r="X11" s="10">
        <v>10</v>
      </c>
      <c r="Y11" s="10">
        <v>11</v>
      </c>
      <c r="Z11" s="10">
        <v>12</v>
      </c>
      <c r="AA11" s="10">
        <v>13</v>
      </c>
      <c r="AB11" s="10">
        <v>14</v>
      </c>
      <c r="AC11" s="10">
        <v>15</v>
      </c>
      <c r="AD11" s="10">
        <v>16</v>
      </c>
      <c r="AE11" s="10">
        <v>17</v>
      </c>
      <c r="AF11" s="10">
        <v>18</v>
      </c>
      <c r="AG11" s="10">
        <v>19</v>
      </c>
      <c r="AH11" s="10">
        <v>20</v>
      </c>
      <c r="AI11" s="10">
        <v>21</v>
      </c>
      <c r="AJ11" s="10">
        <v>22</v>
      </c>
    </row>
    <row r="12" spans="1:36" ht="65.25" customHeight="1" x14ac:dyDescent="0.2">
      <c r="A12" s="11" t="s">
        <v>178</v>
      </c>
      <c r="B12" s="12" t="s">
        <v>19</v>
      </c>
      <c r="C12" s="13" t="s">
        <v>179</v>
      </c>
      <c r="D12" s="13" t="s">
        <v>213</v>
      </c>
      <c r="E12" s="14" t="s">
        <v>21</v>
      </c>
      <c r="F12" s="14" t="s">
        <v>22</v>
      </c>
      <c r="G12" s="15" t="s">
        <v>23</v>
      </c>
      <c r="H12" s="16" t="s">
        <v>24</v>
      </c>
      <c r="I12" s="16" t="s">
        <v>25</v>
      </c>
      <c r="J12" s="15" t="s">
        <v>180</v>
      </c>
      <c r="K12" s="16" t="s">
        <v>27</v>
      </c>
      <c r="L12" s="15" t="s">
        <v>28</v>
      </c>
      <c r="M12" s="17" t="s">
        <v>29</v>
      </c>
      <c r="N12" s="15" t="s">
        <v>30</v>
      </c>
      <c r="O12" s="18" t="s">
        <v>31</v>
      </c>
      <c r="P12" s="18" t="s">
        <v>32</v>
      </c>
      <c r="Q12" s="18" t="s">
        <v>33</v>
      </c>
      <c r="R12" s="18" t="s">
        <v>34</v>
      </c>
      <c r="S12" s="18" t="s">
        <v>35</v>
      </c>
      <c r="T12" s="18" t="s">
        <v>36</v>
      </c>
      <c r="U12" s="18" t="s">
        <v>37</v>
      </c>
      <c r="V12" s="18" t="s">
        <v>38</v>
      </c>
      <c r="W12" s="18" t="s">
        <v>39</v>
      </c>
      <c r="X12" s="18" t="s">
        <v>40</v>
      </c>
      <c r="Y12" s="18" t="s">
        <v>41</v>
      </c>
      <c r="Z12" s="19" t="s">
        <v>42</v>
      </c>
      <c r="AA12" s="19" t="s">
        <v>43</v>
      </c>
      <c r="AB12" s="19" t="s">
        <v>44</v>
      </c>
      <c r="AC12" s="19" t="s">
        <v>45</v>
      </c>
      <c r="AD12" s="19" t="s">
        <v>46</v>
      </c>
      <c r="AE12" s="19" t="s">
        <v>47</v>
      </c>
      <c r="AF12" s="19" t="s">
        <v>48</v>
      </c>
      <c r="AG12" s="19" t="s">
        <v>49</v>
      </c>
      <c r="AH12" s="19" t="s">
        <v>50</v>
      </c>
      <c r="AI12" s="19" t="s">
        <v>51</v>
      </c>
      <c r="AJ12" s="19" t="s">
        <v>52</v>
      </c>
    </row>
    <row r="13" spans="1:36" ht="78" customHeight="1" x14ac:dyDescent="0.2">
      <c r="A13" s="174">
        <v>1</v>
      </c>
      <c r="B13" s="90" t="s">
        <v>214</v>
      </c>
      <c r="C13" s="119" t="s">
        <v>215</v>
      </c>
      <c r="D13" s="119"/>
      <c r="E13" s="90"/>
      <c r="F13" s="90" t="s">
        <v>55</v>
      </c>
      <c r="G13" s="120" t="s">
        <v>60</v>
      </c>
      <c r="H13" s="148" cm="1">
        <f t="array" ref="H13">_xlfn.IFS(G13="","",G13="No interest",0,G13="Nice to have",1,G13="Useful",2,G13="Important",3,G13="Very important",4,G13="Critical",5,G13="Show stopper",6)</f>
        <v>6</v>
      </c>
      <c r="I13" s="149">
        <f t="shared" ref="I13:I16" si="0">(H13/$H$11)*$G$11</f>
        <v>4.0983606557377049E-4</v>
      </c>
      <c r="J13" s="150" t="s">
        <v>216</v>
      </c>
      <c r="K13" s="25" t="str" cm="1">
        <f t="array" ref="K13">_xlfn.TEXTJOIN(","&amp;CHAR(10),,TEXT(Table261424[[#This Row],[12]:[22]],"0,00%"))</f>
        <v>0,00%,
0,00%,
0,00%,
0,00%,
0,00%</v>
      </c>
      <c r="L13" s="26"/>
      <c r="M13" s="27" t="e">
        <f>I13-(I13*((MATCH(Table261424[[#This Row],[Evaluators Response (SELECT)]],Table261424[[#This Row],[1]:[11]],0)-1)/(COUNTA(Table261424[[#This Row],[1]:[11]])-COUNTBLANK(Table261424[[#This Row],[1]:[11]])-1)))</f>
        <v>#N/A</v>
      </c>
      <c r="N13" s="28"/>
      <c r="O13" s="29" t="str" cm="1">
        <f t="array" ref="O13">IFERROR(INDEX(_xlfn.UNIQUE(TRIM(_xlfn.TEXTSPLIT(Table261424[[#This Row],[Selection Options]:[Selection Options]],","))),,O$11),"")</f>
        <v>100%: Supported as delivered out of the box</v>
      </c>
      <c r="P13" s="29" t="str" cm="1">
        <f t="array" ref="P13">IFERROR(INDEX(_xlfn.UNIQUE(TRIM(_xlfn.TEXTSPLIT(Table261424[[#This Row],[Selection Options]:[Selection Options]],","))),,P$11),"")</f>
        <v xml:space="preserve">
75%: Supported via modifications (config)</v>
      </c>
      <c r="Q13" s="29" t="str" cm="1">
        <f t="array" ref="Q13">IFERROR(INDEX(_xlfn.UNIQUE(TRIM(_xlfn.TEXTSPLIT(Table261424[[#This Row],[Selection Options]:[Selection Options]],","))),,Q$11),"")</f>
        <v xml:space="preserve">
50%: Supported via a third party solution</v>
      </c>
      <c r="R13" s="29" t="str" cm="1">
        <f t="array" ref="R13">IFERROR(INDEX(_xlfn.UNIQUE(TRIM(_xlfn.TEXTSPLIT(Table261424[[#This Row],[Selection Options]:[Selection Options]],","))),,R$11),"")</f>
        <v xml:space="preserve">
25%: Supported via customisation (source code changes)</v>
      </c>
      <c r="S13" s="29" t="str" cm="1">
        <f t="array" ref="S13">IFERROR(INDEX(_xlfn.UNIQUE(TRIM(_xlfn.TEXTSPLIT(Table261424[[#This Row],[Selection Options]:[Selection Options]],","))),,S$11),"")</f>
        <v xml:space="preserve">
 0%: Not currently supported</v>
      </c>
      <c r="T13" s="29" t="str" cm="1">
        <f t="array" ref="T13">IFERROR(INDEX(_xlfn.UNIQUE(TRIM(_xlfn.TEXTSPLIT(Table261424[[#This Row],[Selection Options]:[Selection Options]],","))),,T$11),"")</f>
        <v/>
      </c>
      <c r="U13" s="29" t="str" cm="1">
        <f t="array" ref="U13">IFERROR(INDEX(_xlfn.UNIQUE(TRIM(_xlfn.TEXTSPLIT(Table261424[[#This Row],[Selection Options]:[Selection Options]],","))),,U$11),"")</f>
        <v/>
      </c>
      <c r="V13" s="29" t="str" cm="1">
        <f t="array" ref="V13">IFERROR(INDEX(_xlfn.UNIQUE(TRIM(_xlfn.TEXTSPLIT(Table261424[[#This Row],[Selection Options]:[Selection Options]],","))),,V$11),"")</f>
        <v/>
      </c>
      <c r="W13" s="29" t="str" cm="1">
        <f t="array" ref="W13">IFERROR(INDEX(_xlfn.UNIQUE(TRIM(_xlfn.TEXTSPLIT(Table261424[[#This Row],[Selection Options]:[Selection Options]],","))),,W$11),"")</f>
        <v/>
      </c>
      <c r="X13" s="29" t="str" cm="1">
        <f t="array" ref="X13">IFERROR(INDEX(_xlfn.UNIQUE(TRIM(_xlfn.TEXTSPLIT(Table261424[[#This Row],[Selection Options]:[Selection Options]],","))),,X$11),"")</f>
        <v/>
      </c>
      <c r="Y13" s="29" t="str" cm="1">
        <f t="array" ref="Y13">IFERROR(INDEX(_xlfn.UNIQUE(TRIM(_xlfn.TEXTSPLIT(Table261424[[#This Row],[Selection Options]:[Selection Options]],","))),,Y$11),"")</f>
        <v/>
      </c>
      <c r="Z13" s="30" cm="1">
        <f t="array" ref="Z13">IF(Table261424[[#This Row],[1]]="","",Table261424[[#This Row],[Weight]:[Weight]]-(Table261424[[#This Row],[Weight]:[Weight]]*((_xlfn.XMATCH(Table261424[[#This Row],[1]],Table261424[[#This Row],[1]:[11]],0))-1)/(COUNTA(Table261424[[#This Row],[1]:[11]])-COUNTBLANK(Table261424[[#This Row],[1]:[11]])-1)))</f>
        <v>4.0983606557377049E-4</v>
      </c>
      <c r="AA13" s="30" cm="1">
        <f t="array" ref="AA13">IF(Table261424[[#This Row],[2]]="","",Table261424[[#This Row],[Weight]:[Weight]]-(Table261424[[#This Row],[Weight]:[Weight]]*((_xlfn.XMATCH(Table261424[[#This Row],[2]],Table261424[[#This Row],[1]:[11]],0))-1)/(COUNTA(Table261424[[#This Row],[1]:[11]])-COUNTBLANK(Table261424[[#This Row],[1]:[11]])-1)))</f>
        <v>3.0737704918032784E-4</v>
      </c>
      <c r="AB13" s="30" cm="1">
        <f t="array" ref="AB13">IF(Table261424[[#This Row],[3]]="","",Table261424[[#This Row],[Weight]:[Weight]]-(Table261424[[#This Row],[Weight]:[Weight]]*((_xlfn.XMATCH(Table261424[[#This Row],[3]],Table261424[[#This Row],[1]:[11]],0))-1)/(COUNTA(Table261424[[#This Row],[1]:[11]])-COUNTBLANK(Table261424[[#This Row],[1]:[11]])-1)))</f>
        <v>2.0491803278688525E-4</v>
      </c>
      <c r="AC13" s="30" cm="1">
        <f t="array" ref="AC13">IF(Table261424[[#This Row],[4]]="","",Table261424[[#This Row],[Weight]:[Weight]]-(Table261424[[#This Row],[Weight]:[Weight]]*((_xlfn.XMATCH(Table261424[[#This Row],[4]],Table261424[[#This Row],[1]:[11]],0))-1)/(COUNTA(Table261424[[#This Row],[1]:[11]])-COUNTBLANK(Table261424[[#This Row],[1]:[11]])-1)))</f>
        <v>1.0245901639344265E-4</v>
      </c>
      <c r="AD13" s="30" cm="1">
        <f t="array" ref="AD13">IF(Table261424[[#This Row],[5]]="","",Table261424[[#This Row],[Weight]:[Weight]]-(Table261424[[#This Row],[Weight]:[Weight]]*((_xlfn.XMATCH(Table261424[[#This Row],[5]],Table261424[[#This Row],[1]:[11]],0))-1)/(COUNTA(Table261424[[#This Row],[1]:[11]])-COUNTBLANK(Table261424[[#This Row],[1]:[11]])-1)))</f>
        <v>0</v>
      </c>
      <c r="AE13" s="30" t="str" cm="1">
        <f t="array" ref="AE13">IF(Table261424[[#This Row],[6]]="","",Table261424[[#This Row],[Weight]:[Weight]]-(Table261424[[#This Row],[Weight]:[Weight]]*((_xlfn.XMATCH(Table261424[[#This Row],[6]],Table261424[[#This Row],[1]:[11]],0))-1)/(COUNTA(Table261424[[#This Row],[1]:[11]])-COUNTBLANK(Table261424[[#This Row],[1]:[11]])-1)))</f>
        <v/>
      </c>
      <c r="AF13" s="30" t="str" cm="1">
        <f t="array" ref="AF13">IF(Table261424[[#This Row],[7]]="","",Table261424[[#This Row],[Weight]:[Weight]]-(Table261424[[#This Row],[Weight]:[Weight]]*((_xlfn.XMATCH(Table261424[[#This Row],[7]],Table261424[[#This Row],[1]:[11]],0))-1)/(COUNTA(Table261424[[#This Row],[1]:[11]])-COUNTBLANK(Table261424[[#This Row],[1]:[11]])-1)))</f>
        <v/>
      </c>
      <c r="AG13" s="30" t="str" cm="1">
        <f t="array" ref="AG13">IF(Table261424[[#This Row],[8]]="","",Table261424[[#This Row],[Weight]:[Weight]]-(Table261424[[#This Row],[Weight]:[Weight]]*((_xlfn.XMATCH(Table261424[[#This Row],[8]],Table261424[[#This Row],[1]:[11]],0))-1)/(COUNTA(Table261424[[#This Row],[1]:[11]])-COUNTBLANK(Table261424[[#This Row],[1]:[11]])-1)))</f>
        <v/>
      </c>
      <c r="AH13" s="30" t="str" cm="1">
        <f t="array" ref="AH13">IF(Table261424[[#This Row],[9]]="","",Table261424[[#This Row],[Weight]:[Weight]]-(Table261424[[#This Row],[Weight]:[Weight]]*((_xlfn.XMATCH(Table261424[[#This Row],[9]],Table261424[[#This Row],[1]:[11]],0))-1)/(COUNTA(Table261424[[#This Row],[1]:[11]])-COUNTBLANK(Table261424[[#This Row],[1]:[11]])-1)))</f>
        <v/>
      </c>
      <c r="AI13" s="30" t="str" cm="1">
        <f t="array" ref="AI13">IF(Table261424[[#This Row],[10]]="","",Table261424[[#This Row],[Weight]:[Weight]]-(Table261424[[#This Row],[Weight]:[Weight]]*((_xlfn.XMATCH(Table261424[[#This Row],[10]],Table261424[[#This Row],[1]:[11]],0))-1)/(COUNTA(Table261424[[#This Row],[1]:[11]])-COUNTBLANK(Table261424[[#This Row],[1]:[11]])-1)))</f>
        <v/>
      </c>
      <c r="AJ13" s="30" t="str" cm="1">
        <f t="array" ref="AJ13">IF(Table261424[[#This Row],[11]]="","",Table261424[[#This Row],[Weight]:[Weight]]-(Table261424[[#This Row],[Weight]:[Weight]]*((_xlfn.XMATCH(Table261424[[#This Row],[11]],Table261424[[#This Row],[1]:[11]],0))-1)/(COUNTA(Table261424[[#This Row],[1]:[11]])-COUNTBLANK(Table261424[[#This Row],[1]:[11]])-1)))</f>
        <v/>
      </c>
    </row>
    <row r="14" spans="1:36" ht="78" customHeight="1" x14ac:dyDescent="0.2">
      <c r="A14" s="174">
        <v>2</v>
      </c>
      <c r="B14" s="90" t="s">
        <v>217</v>
      </c>
      <c r="C14" s="119" t="s">
        <v>215</v>
      </c>
      <c r="D14" s="119"/>
      <c r="E14" s="146"/>
      <c r="F14" s="146"/>
      <c r="G14" s="120" t="s">
        <v>60</v>
      </c>
      <c r="H14" s="148" cm="1">
        <f t="array" ref="H14">_xlfn.IFS(G14="","",G14="No interest",0,G14="Nice to have",1,G14="Useful",2,G14="Important",3,G14="Very important",4,G14="Critical",5,G14="Show stopper",6)</f>
        <v>6</v>
      </c>
      <c r="I14" s="149">
        <f t="shared" si="0"/>
        <v>4.0983606557377049E-4</v>
      </c>
      <c r="J14" s="150" t="s">
        <v>216</v>
      </c>
      <c r="K14" s="25" t="str" cm="1">
        <f t="array" ref="K14">_xlfn.TEXTJOIN(","&amp;CHAR(10),,TEXT(Table261424[[#This Row],[12]:[22]],"0,00%"))</f>
        <v>0,00%,
0,00%,
0,00%,
0,00%,
0,00%</v>
      </c>
      <c r="L14" s="26"/>
      <c r="M14" s="27" t="e">
        <f>I14-(I14*((MATCH(Table261424[[#This Row],[Evaluators Response (SELECT)]],Table261424[[#This Row],[1]:[11]],0)-1)/(COUNTA(Table261424[[#This Row],[1]:[11]])-COUNTBLANK(Table261424[[#This Row],[1]:[11]])-1)))</f>
        <v>#N/A</v>
      </c>
      <c r="N14" s="28"/>
      <c r="O14" s="29" t="str" cm="1">
        <f t="array" ref="O14">IFERROR(INDEX(_xlfn.UNIQUE(TRIM(_xlfn.TEXTSPLIT(Table261424[[#This Row],[Selection Options]:[Selection Options]],","))),,O$11),"")</f>
        <v>100%: Supported as delivered out of the box</v>
      </c>
      <c r="P14" s="29" t="str" cm="1">
        <f t="array" ref="P14">IFERROR(INDEX(_xlfn.UNIQUE(TRIM(_xlfn.TEXTSPLIT(Table261424[[#This Row],[Selection Options]:[Selection Options]],","))),,P$11),"")</f>
        <v xml:space="preserve">
75%: Supported via modifications (config)</v>
      </c>
      <c r="Q14" s="29" t="str" cm="1">
        <f t="array" ref="Q14">IFERROR(INDEX(_xlfn.UNIQUE(TRIM(_xlfn.TEXTSPLIT(Table261424[[#This Row],[Selection Options]:[Selection Options]],","))),,Q$11),"")</f>
        <v xml:space="preserve">
50%: Supported via a third party solution</v>
      </c>
      <c r="R14" s="29" t="str" cm="1">
        <f t="array" ref="R14">IFERROR(INDEX(_xlfn.UNIQUE(TRIM(_xlfn.TEXTSPLIT(Table261424[[#This Row],[Selection Options]:[Selection Options]],","))),,R$11),"")</f>
        <v xml:space="preserve">
25%: Supported via customisation (source code changes)</v>
      </c>
      <c r="S14" s="29" t="str" cm="1">
        <f t="array" ref="S14">IFERROR(INDEX(_xlfn.UNIQUE(TRIM(_xlfn.TEXTSPLIT(Table261424[[#This Row],[Selection Options]:[Selection Options]],","))),,S$11),"")</f>
        <v xml:space="preserve">
 0%: Not currently supported</v>
      </c>
      <c r="T14" s="29" t="str" cm="1">
        <f t="array" ref="T14">IFERROR(INDEX(_xlfn.UNIQUE(TRIM(_xlfn.TEXTSPLIT(Table261424[[#This Row],[Selection Options]:[Selection Options]],","))),,T$11),"")</f>
        <v/>
      </c>
      <c r="U14" s="29" t="str" cm="1">
        <f t="array" ref="U14">IFERROR(INDEX(_xlfn.UNIQUE(TRIM(_xlfn.TEXTSPLIT(Table261424[[#This Row],[Selection Options]:[Selection Options]],","))),,U$11),"")</f>
        <v/>
      </c>
      <c r="V14" s="29" t="str" cm="1">
        <f t="array" ref="V14">IFERROR(INDEX(_xlfn.UNIQUE(TRIM(_xlfn.TEXTSPLIT(Table261424[[#This Row],[Selection Options]:[Selection Options]],","))),,V$11),"")</f>
        <v/>
      </c>
      <c r="W14" s="29" t="str" cm="1">
        <f t="array" ref="W14">IFERROR(INDEX(_xlfn.UNIQUE(TRIM(_xlfn.TEXTSPLIT(Table261424[[#This Row],[Selection Options]:[Selection Options]],","))),,W$11),"")</f>
        <v/>
      </c>
      <c r="X14" s="29" t="str" cm="1">
        <f t="array" ref="X14">IFERROR(INDEX(_xlfn.UNIQUE(TRIM(_xlfn.TEXTSPLIT(Table261424[[#This Row],[Selection Options]:[Selection Options]],","))),,X$11),"")</f>
        <v/>
      </c>
      <c r="Y14" s="29" t="str" cm="1">
        <f t="array" ref="Y14">IFERROR(INDEX(_xlfn.UNIQUE(TRIM(_xlfn.TEXTSPLIT(Table261424[[#This Row],[Selection Options]:[Selection Options]],","))),,Y$11),"")</f>
        <v/>
      </c>
      <c r="Z14" s="30" cm="1">
        <f t="array" ref="Z14">IF(Table261424[[#This Row],[1]]="","",Table261424[[#This Row],[Weight]:[Weight]]-(Table261424[[#This Row],[Weight]:[Weight]]*((_xlfn.XMATCH(Table261424[[#This Row],[1]],Table261424[[#This Row],[1]:[11]],0))-1)/(COUNTA(Table261424[[#This Row],[1]:[11]])-COUNTBLANK(Table261424[[#This Row],[1]:[11]])-1)))</f>
        <v>4.0983606557377049E-4</v>
      </c>
      <c r="AA14" s="30" cm="1">
        <f t="array" ref="AA14">IF(Table261424[[#This Row],[2]]="","",Table261424[[#This Row],[Weight]:[Weight]]-(Table261424[[#This Row],[Weight]:[Weight]]*((_xlfn.XMATCH(Table261424[[#This Row],[2]],Table261424[[#This Row],[1]:[11]],0))-1)/(COUNTA(Table261424[[#This Row],[1]:[11]])-COUNTBLANK(Table261424[[#This Row],[1]:[11]])-1)))</f>
        <v>3.0737704918032784E-4</v>
      </c>
      <c r="AB14" s="30" cm="1">
        <f t="array" ref="AB14">IF(Table261424[[#This Row],[3]]="","",Table261424[[#This Row],[Weight]:[Weight]]-(Table261424[[#This Row],[Weight]:[Weight]]*((_xlfn.XMATCH(Table261424[[#This Row],[3]],Table261424[[#This Row],[1]:[11]],0))-1)/(COUNTA(Table261424[[#This Row],[1]:[11]])-COUNTBLANK(Table261424[[#This Row],[1]:[11]])-1)))</f>
        <v>2.0491803278688525E-4</v>
      </c>
      <c r="AC14" s="30" cm="1">
        <f t="array" ref="AC14">IF(Table261424[[#This Row],[4]]="","",Table261424[[#This Row],[Weight]:[Weight]]-(Table261424[[#This Row],[Weight]:[Weight]]*((_xlfn.XMATCH(Table261424[[#This Row],[4]],Table261424[[#This Row],[1]:[11]],0))-1)/(COUNTA(Table261424[[#This Row],[1]:[11]])-COUNTBLANK(Table261424[[#This Row],[1]:[11]])-1)))</f>
        <v>1.0245901639344265E-4</v>
      </c>
      <c r="AD14" s="30" cm="1">
        <f t="array" ref="AD14">IF(Table261424[[#This Row],[5]]="","",Table261424[[#This Row],[Weight]:[Weight]]-(Table261424[[#This Row],[Weight]:[Weight]]*((_xlfn.XMATCH(Table261424[[#This Row],[5]],Table261424[[#This Row],[1]:[11]],0))-1)/(COUNTA(Table261424[[#This Row],[1]:[11]])-COUNTBLANK(Table261424[[#This Row],[1]:[11]])-1)))</f>
        <v>0</v>
      </c>
      <c r="AE14" s="30" t="str" cm="1">
        <f t="array" ref="AE14">IF(Table261424[[#This Row],[6]]="","",Table261424[[#This Row],[Weight]:[Weight]]-(Table261424[[#This Row],[Weight]:[Weight]]*((_xlfn.XMATCH(Table261424[[#This Row],[6]],Table261424[[#This Row],[1]:[11]],0))-1)/(COUNTA(Table261424[[#This Row],[1]:[11]])-COUNTBLANK(Table261424[[#This Row],[1]:[11]])-1)))</f>
        <v/>
      </c>
      <c r="AF14" s="30" t="str" cm="1">
        <f t="array" ref="AF14">IF(Table261424[[#This Row],[7]]="","",Table261424[[#This Row],[Weight]:[Weight]]-(Table261424[[#This Row],[Weight]:[Weight]]*((_xlfn.XMATCH(Table261424[[#This Row],[7]],Table261424[[#This Row],[1]:[11]],0))-1)/(COUNTA(Table261424[[#This Row],[1]:[11]])-COUNTBLANK(Table261424[[#This Row],[1]:[11]])-1)))</f>
        <v/>
      </c>
      <c r="AG14" s="30" t="str" cm="1">
        <f t="array" ref="AG14">IF(Table261424[[#This Row],[8]]="","",Table261424[[#This Row],[Weight]:[Weight]]-(Table261424[[#This Row],[Weight]:[Weight]]*((_xlfn.XMATCH(Table261424[[#This Row],[8]],Table261424[[#This Row],[1]:[11]],0))-1)/(COUNTA(Table261424[[#This Row],[1]:[11]])-COUNTBLANK(Table261424[[#This Row],[1]:[11]])-1)))</f>
        <v/>
      </c>
      <c r="AH14" s="30" t="str" cm="1">
        <f t="array" ref="AH14">IF(Table261424[[#This Row],[9]]="","",Table261424[[#This Row],[Weight]:[Weight]]-(Table261424[[#This Row],[Weight]:[Weight]]*((_xlfn.XMATCH(Table261424[[#This Row],[9]],Table261424[[#This Row],[1]:[11]],0))-1)/(COUNTA(Table261424[[#This Row],[1]:[11]])-COUNTBLANK(Table261424[[#This Row],[1]:[11]])-1)))</f>
        <v/>
      </c>
      <c r="AI14" s="30" t="str" cm="1">
        <f t="array" ref="AI14">IF(Table261424[[#This Row],[10]]="","",Table261424[[#This Row],[Weight]:[Weight]]-(Table261424[[#This Row],[Weight]:[Weight]]*((_xlfn.XMATCH(Table261424[[#This Row],[10]],Table261424[[#This Row],[1]:[11]],0))-1)/(COUNTA(Table261424[[#This Row],[1]:[11]])-COUNTBLANK(Table261424[[#This Row],[1]:[11]])-1)))</f>
        <v/>
      </c>
      <c r="AJ14" s="30" t="str" cm="1">
        <f t="array" ref="AJ14">IF(Table261424[[#This Row],[11]]="","",Table261424[[#This Row],[Weight]:[Weight]]-(Table261424[[#This Row],[Weight]:[Weight]]*((_xlfn.XMATCH(Table261424[[#This Row],[11]],Table261424[[#This Row],[1]:[11]],0))-1)/(COUNTA(Table261424[[#This Row],[1]:[11]])-COUNTBLANK(Table261424[[#This Row],[1]:[11]])-1)))</f>
        <v/>
      </c>
    </row>
    <row r="15" spans="1:36" ht="81" customHeight="1" x14ac:dyDescent="0.2">
      <c r="A15" s="174">
        <v>3</v>
      </c>
      <c r="B15" s="119" t="s">
        <v>218</v>
      </c>
      <c r="C15" s="119" t="s">
        <v>215</v>
      </c>
      <c r="D15" s="119"/>
      <c r="E15" s="147"/>
      <c r="F15" s="147"/>
      <c r="G15" s="121" t="s">
        <v>60</v>
      </c>
      <c r="H15" s="151" cm="1">
        <f t="array" ref="H15">_xlfn.IFS(G15="","",G15="No interest",0,G15="Nice to have",1,G15="Useful",2,G15="Important",3,G15="Very important",4,G15="Critical",5,G15="Show stopper",6)</f>
        <v>6</v>
      </c>
      <c r="I15" s="152">
        <f t="shared" si="0"/>
        <v>4.0983606557377049E-4</v>
      </c>
      <c r="J15" s="150" t="s">
        <v>216</v>
      </c>
      <c r="K15" s="35" t="str" cm="1">
        <f t="array" ref="K15">_xlfn.TEXTJOIN(","&amp;CHAR(10),,TEXT(Table261424[[#This Row],[12]:[22]],"0,00%"))</f>
        <v>0,00%,
0,00%,
0,00%,
0,00%,
0,00%</v>
      </c>
      <c r="L15" s="36"/>
      <c r="M15" s="37" t="e">
        <f>I15-(I15*((MATCH(Table261424[[#This Row],[Evaluators Response (SELECT)]],Table261424[[#This Row],[1]:[11]],0)-1)/(COUNTA(Table261424[[#This Row],[1]:[11]])-COUNTBLANK(Table261424[[#This Row],[1]:[11]])-1)))</f>
        <v>#N/A</v>
      </c>
      <c r="N15" s="38"/>
      <c r="O15" s="29" t="str" cm="1">
        <f t="array" ref="O15">IFERROR(INDEX(_xlfn.UNIQUE(TRIM(_xlfn.TEXTSPLIT(Table261424[[#This Row],[Selection Options]:[Selection Options]],","))),,O$11),"")</f>
        <v>100%: Supported as delivered out of the box</v>
      </c>
      <c r="P15" s="29" t="str" cm="1">
        <f t="array" ref="P15">IFERROR(INDEX(_xlfn.UNIQUE(TRIM(_xlfn.TEXTSPLIT(Table261424[[#This Row],[Selection Options]:[Selection Options]],","))),,P$11),"")</f>
        <v xml:space="preserve">
75%: Supported via modifications (config)</v>
      </c>
      <c r="Q15" s="29" t="str" cm="1">
        <f t="array" ref="Q15">IFERROR(INDEX(_xlfn.UNIQUE(TRIM(_xlfn.TEXTSPLIT(Table261424[[#This Row],[Selection Options]:[Selection Options]],","))),,Q$11),"")</f>
        <v xml:space="preserve">
50%: Supported via a third party solution</v>
      </c>
      <c r="R15" s="29" t="str" cm="1">
        <f t="array" ref="R15">IFERROR(INDEX(_xlfn.UNIQUE(TRIM(_xlfn.TEXTSPLIT(Table261424[[#This Row],[Selection Options]:[Selection Options]],","))),,R$11),"")</f>
        <v xml:space="preserve">
25%: Supported via customisation (source code changes)</v>
      </c>
      <c r="S15" s="29" t="str" cm="1">
        <f t="array" ref="S15">IFERROR(INDEX(_xlfn.UNIQUE(TRIM(_xlfn.TEXTSPLIT(Table261424[[#This Row],[Selection Options]:[Selection Options]],","))),,S$11),"")</f>
        <v xml:space="preserve">
 0%: Not currently supported</v>
      </c>
      <c r="T15" s="29" t="str" cm="1">
        <f t="array" ref="T15">IFERROR(INDEX(_xlfn.UNIQUE(TRIM(_xlfn.TEXTSPLIT(Table261424[[#This Row],[Selection Options]:[Selection Options]],","))),,T$11),"")</f>
        <v/>
      </c>
      <c r="U15" s="29" t="str" cm="1">
        <f t="array" ref="U15">IFERROR(INDEX(_xlfn.UNIQUE(TRIM(_xlfn.TEXTSPLIT(Table261424[[#This Row],[Selection Options]:[Selection Options]],","))),,U$11),"")</f>
        <v/>
      </c>
      <c r="V15" s="29" t="str" cm="1">
        <f t="array" ref="V15">IFERROR(INDEX(_xlfn.UNIQUE(TRIM(_xlfn.TEXTSPLIT(Table261424[[#This Row],[Selection Options]:[Selection Options]],","))),,V$11),"")</f>
        <v/>
      </c>
      <c r="W15" s="29" t="str" cm="1">
        <f t="array" ref="W15">IFERROR(INDEX(_xlfn.UNIQUE(TRIM(_xlfn.TEXTSPLIT(Table261424[[#This Row],[Selection Options]:[Selection Options]],","))),,W$11),"")</f>
        <v/>
      </c>
      <c r="X15" s="29" t="str" cm="1">
        <f t="array" ref="X15">IFERROR(INDEX(_xlfn.UNIQUE(TRIM(_xlfn.TEXTSPLIT(Table261424[[#This Row],[Selection Options]:[Selection Options]],","))),,X$11),"")</f>
        <v/>
      </c>
      <c r="Y15" s="29" t="str" cm="1">
        <f t="array" ref="Y15">IFERROR(INDEX(_xlfn.UNIQUE(TRIM(_xlfn.TEXTSPLIT(Table261424[[#This Row],[Selection Options]:[Selection Options]],","))),,Y$11),"")</f>
        <v/>
      </c>
      <c r="Z15" s="30" cm="1">
        <f t="array" ref="Z15">IF(Table261424[[#This Row],[1]]="","",Table261424[[#This Row],[Weight]:[Weight]]-(Table261424[[#This Row],[Weight]:[Weight]]*((_xlfn.XMATCH(Table261424[[#This Row],[1]],Table261424[[#This Row],[1]:[11]],0))-1)/(COUNTA(Table261424[[#This Row],[1]:[11]])-COUNTBLANK(Table261424[[#This Row],[1]:[11]])-1)))</f>
        <v>4.0983606557377049E-4</v>
      </c>
      <c r="AA15" s="30" cm="1">
        <f t="array" ref="AA15">IF(Table261424[[#This Row],[2]]="","",Table261424[[#This Row],[Weight]:[Weight]]-(Table261424[[#This Row],[Weight]:[Weight]]*((_xlfn.XMATCH(Table261424[[#This Row],[2]],Table261424[[#This Row],[1]:[11]],0))-1)/(COUNTA(Table261424[[#This Row],[1]:[11]])-COUNTBLANK(Table261424[[#This Row],[1]:[11]])-1)))</f>
        <v>3.0737704918032784E-4</v>
      </c>
      <c r="AB15" s="30" cm="1">
        <f t="array" ref="AB15">IF(Table261424[[#This Row],[3]]="","",Table261424[[#This Row],[Weight]:[Weight]]-(Table261424[[#This Row],[Weight]:[Weight]]*((_xlfn.XMATCH(Table261424[[#This Row],[3]],Table261424[[#This Row],[1]:[11]],0))-1)/(COUNTA(Table261424[[#This Row],[1]:[11]])-COUNTBLANK(Table261424[[#This Row],[1]:[11]])-1)))</f>
        <v>2.0491803278688525E-4</v>
      </c>
      <c r="AC15" s="30" cm="1">
        <f t="array" ref="AC15">IF(Table261424[[#This Row],[4]]="","",Table261424[[#This Row],[Weight]:[Weight]]-(Table261424[[#This Row],[Weight]:[Weight]]*((_xlfn.XMATCH(Table261424[[#This Row],[4]],Table261424[[#This Row],[1]:[11]],0))-1)/(COUNTA(Table261424[[#This Row],[1]:[11]])-COUNTBLANK(Table261424[[#This Row],[1]:[11]])-1)))</f>
        <v>1.0245901639344265E-4</v>
      </c>
      <c r="AD15" s="30" cm="1">
        <f t="array" ref="AD15">IF(Table261424[[#This Row],[5]]="","",Table261424[[#This Row],[Weight]:[Weight]]-(Table261424[[#This Row],[Weight]:[Weight]]*((_xlfn.XMATCH(Table261424[[#This Row],[5]],Table261424[[#This Row],[1]:[11]],0))-1)/(COUNTA(Table261424[[#This Row],[1]:[11]])-COUNTBLANK(Table261424[[#This Row],[1]:[11]])-1)))</f>
        <v>0</v>
      </c>
      <c r="AE15" s="30" t="str" cm="1">
        <f t="array" ref="AE15">IF(Table261424[[#This Row],[6]]="","",Table261424[[#This Row],[Weight]:[Weight]]-(Table261424[[#This Row],[Weight]:[Weight]]*((_xlfn.XMATCH(Table261424[[#This Row],[6]],Table261424[[#This Row],[1]:[11]],0))-1)/(COUNTA(Table261424[[#This Row],[1]:[11]])-COUNTBLANK(Table261424[[#This Row],[1]:[11]])-1)))</f>
        <v/>
      </c>
      <c r="AF15" s="30" t="str" cm="1">
        <f t="array" ref="AF15">IF(Table261424[[#This Row],[7]]="","",Table261424[[#This Row],[Weight]:[Weight]]-(Table261424[[#This Row],[Weight]:[Weight]]*((_xlfn.XMATCH(Table261424[[#This Row],[7]],Table261424[[#This Row],[1]:[11]],0))-1)/(COUNTA(Table261424[[#This Row],[1]:[11]])-COUNTBLANK(Table261424[[#This Row],[1]:[11]])-1)))</f>
        <v/>
      </c>
      <c r="AG15" s="30" t="str" cm="1">
        <f t="array" ref="AG15">IF(Table261424[[#This Row],[8]]="","",Table261424[[#This Row],[Weight]:[Weight]]-(Table261424[[#This Row],[Weight]:[Weight]]*((_xlfn.XMATCH(Table261424[[#This Row],[8]],Table261424[[#This Row],[1]:[11]],0))-1)/(COUNTA(Table261424[[#This Row],[1]:[11]])-COUNTBLANK(Table261424[[#This Row],[1]:[11]])-1)))</f>
        <v/>
      </c>
      <c r="AH15" s="30" t="str" cm="1">
        <f t="array" ref="AH15">IF(Table261424[[#This Row],[9]]="","",Table261424[[#This Row],[Weight]:[Weight]]-(Table261424[[#This Row],[Weight]:[Weight]]*((_xlfn.XMATCH(Table261424[[#This Row],[9]],Table261424[[#This Row],[1]:[11]],0))-1)/(COUNTA(Table261424[[#This Row],[1]:[11]])-COUNTBLANK(Table261424[[#This Row],[1]:[11]])-1)))</f>
        <v/>
      </c>
      <c r="AI15" s="30" t="str" cm="1">
        <f t="array" ref="AI15">IF(Table261424[[#This Row],[10]]="","",Table261424[[#This Row],[Weight]:[Weight]]-(Table261424[[#This Row],[Weight]:[Weight]]*((_xlfn.XMATCH(Table261424[[#This Row],[10]],Table261424[[#This Row],[1]:[11]],0))-1)/(COUNTA(Table261424[[#This Row],[1]:[11]])-COUNTBLANK(Table261424[[#This Row],[1]:[11]])-1)))</f>
        <v/>
      </c>
      <c r="AJ15" s="30" t="str" cm="1">
        <f t="array" ref="AJ15">IF(Table261424[[#This Row],[11]]="","",Table261424[[#This Row],[Weight]:[Weight]]-(Table261424[[#This Row],[Weight]:[Weight]]*((_xlfn.XMATCH(Table261424[[#This Row],[11]],Table261424[[#This Row],[1]:[11]],0))-1)/(COUNTA(Table261424[[#This Row],[1]:[11]])-COUNTBLANK(Table261424[[#This Row],[1]:[11]])-1)))</f>
        <v/>
      </c>
    </row>
    <row r="16" spans="1:36" ht="76.5" customHeight="1" x14ac:dyDescent="0.2">
      <c r="A16" s="174">
        <v>4</v>
      </c>
      <c r="B16" s="90" t="s">
        <v>219</v>
      </c>
      <c r="C16" s="119" t="s">
        <v>215</v>
      </c>
      <c r="D16" s="119"/>
      <c r="E16" s="146"/>
      <c r="F16" s="146"/>
      <c r="G16" s="120" t="s">
        <v>60</v>
      </c>
      <c r="H16" s="148" cm="1">
        <f t="array" ref="H16">_xlfn.IFS(G16="","",G16="No interest",0,G16="Nice to have",1,G16="Useful",2,G16="Important",3,G16="Very important",4,G16="Critical",5,G16="Show stopper",6)</f>
        <v>6</v>
      </c>
      <c r="I16" s="149">
        <f t="shared" si="0"/>
        <v>4.0983606557377049E-4</v>
      </c>
      <c r="J16" s="150" t="s">
        <v>216</v>
      </c>
      <c r="K16" s="25" t="str" cm="1">
        <f t="array" ref="K16">_xlfn.TEXTJOIN(","&amp;CHAR(10),,TEXT(Table261424[[#This Row],[12]:[22]],"0,00%"))</f>
        <v>0,00%,
0,00%,
0,00%,
0,00%,
0,00%</v>
      </c>
      <c r="L16" s="26"/>
      <c r="M16" s="27" t="e">
        <f>I16-(I16*((MATCH(Table261424[[#This Row],[Evaluators Response (SELECT)]],Table261424[[#This Row],[1]:[11]],0)-1)/(COUNTA(Table261424[[#This Row],[1]:[11]])-COUNTBLANK(Table261424[[#This Row],[1]:[11]])-1)))</f>
        <v>#N/A</v>
      </c>
      <c r="N16" s="28"/>
      <c r="O16" s="29" t="str" cm="1">
        <f t="array" ref="O16">IFERROR(INDEX(_xlfn.UNIQUE(TRIM(_xlfn.TEXTSPLIT(Table261424[[#This Row],[Selection Options]:[Selection Options]],","))),,O$11),"")</f>
        <v>100%: Supported as delivered out of the box</v>
      </c>
      <c r="P16" s="29" t="str" cm="1">
        <f t="array" ref="P16">IFERROR(INDEX(_xlfn.UNIQUE(TRIM(_xlfn.TEXTSPLIT(Table261424[[#This Row],[Selection Options]:[Selection Options]],","))),,P$11),"")</f>
        <v xml:space="preserve">
75%: Supported via modifications (config)</v>
      </c>
      <c r="Q16" s="29" t="str" cm="1">
        <f t="array" ref="Q16">IFERROR(INDEX(_xlfn.UNIQUE(TRIM(_xlfn.TEXTSPLIT(Table261424[[#This Row],[Selection Options]:[Selection Options]],","))),,Q$11),"")</f>
        <v xml:space="preserve">
50%: Supported via a third party solution</v>
      </c>
      <c r="R16" s="29" t="str" cm="1">
        <f t="array" ref="R16">IFERROR(INDEX(_xlfn.UNIQUE(TRIM(_xlfn.TEXTSPLIT(Table261424[[#This Row],[Selection Options]:[Selection Options]],","))),,R$11),"")</f>
        <v xml:space="preserve">
25%: Supported via customisation (source code changes)</v>
      </c>
      <c r="S16" s="29" t="str" cm="1">
        <f t="array" ref="S16">IFERROR(INDEX(_xlfn.UNIQUE(TRIM(_xlfn.TEXTSPLIT(Table261424[[#This Row],[Selection Options]:[Selection Options]],","))),,S$11),"")</f>
        <v xml:space="preserve">
 0%: Not currently supported</v>
      </c>
      <c r="T16" s="29" t="str" cm="1">
        <f t="array" ref="T16">IFERROR(INDEX(_xlfn.UNIQUE(TRIM(_xlfn.TEXTSPLIT(Table261424[[#This Row],[Selection Options]:[Selection Options]],","))),,T$11),"")</f>
        <v/>
      </c>
      <c r="U16" s="29" t="str" cm="1">
        <f t="array" ref="U16">IFERROR(INDEX(_xlfn.UNIQUE(TRIM(_xlfn.TEXTSPLIT(Table261424[[#This Row],[Selection Options]:[Selection Options]],","))),,U$11),"")</f>
        <v/>
      </c>
      <c r="V16" s="29" t="str" cm="1">
        <f t="array" ref="V16">IFERROR(INDEX(_xlfn.UNIQUE(TRIM(_xlfn.TEXTSPLIT(Table261424[[#This Row],[Selection Options]:[Selection Options]],","))),,V$11),"")</f>
        <v/>
      </c>
      <c r="W16" s="29" t="str" cm="1">
        <f t="array" ref="W16">IFERROR(INDEX(_xlfn.UNIQUE(TRIM(_xlfn.TEXTSPLIT(Table261424[[#This Row],[Selection Options]:[Selection Options]],","))),,W$11),"")</f>
        <v/>
      </c>
      <c r="X16" s="29" t="str" cm="1">
        <f t="array" ref="X16">IFERROR(INDEX(_xlfn.UNIQUE(TRIM(_xlfn.TEXTSPLIT(Table261424[[#This Row],[Selection Options]:[Selection Options]],","))),,X$11),"")</f>
        <v/>
      </c>
      <c r="Y16" s="29" t="str" cm="1">
        <f t="array" ref="Y16">IFERROR(INDEX(_xlfn.UNIQUE(TRIM(_xlfn.TEXTSPLIT(Table261424[[#This Row],[Selection Options]:[Selection Options]],","))),,Y$11),"")</f>
        <v/>
      </c>
      <c r="Z16" s="30" cm="1">
        <f t="array" ref="Z16">IF(Table261424[[#This Row],[1]]="","",Table261424[[#This Row],[Weight]:[Weight]]-(Table261424[[#This Row],[Weight]:[Weight]]*((_xlfn.XMATCH(Table261424[[#This Row],[1]],Table261424[[#This Row],[1]:[11]],0))-1)/(COUNTA(Table261424[[#This Row],[1]:[11]])-COUNTBLANK(Table261424[[#This Row],[1]:[11]])-1)))</f>
        <v>4.0983606557377049E-4</v>
      </c>
      <c r="AA16" s="30" cm="1">
        <f t="array" ref="AA16">IF(Table261424[[#This Row],[2]]="","",Table261424[[#This Row],[Weight]:[Weight]]-(Table261424[[#This Row],[Weight]:[Weight]]*((_xlfn.XMATCH(Table261424[[#This Row],[2]],Table261424[[#This Row],[1]:[11]],0))-1)/(COUNTA(Table261424[[#This Row],[1]:[11]])-COUNTBLANK(Table261424[[#This Row],[1]:[11]])-1)))</f>
        <v>3.0737704918032784E-4</v>
      </c>
      <c r="AB16" s="30" cm="1">
        <f t="array" ref="AB16">IF(Table261424[[#This Row],[3]]="","",Table261424[[#This Row],[Weight]:[Weight]]-(Table261424[[#This Row],[Weight]:[Weight]]*((_xlfn.XMATCH(Table261424[[#This Row],[3]],Table261424[[#This Row],[1]:[11]],0))-1)/(COUNTA(Table261424[[#This Row],[1]:[11]])-COUNTBLANK(Table261424[[#This Row],[1]:[11]])-1)))</f>
        <v>2.0491803278688525E-4</v>
      </c>
      <c r="AC16" s="30" cm="1">
        <f t="array" ref="AC16">IF(Table261424[[#This Row],[4]]="","",Table261424[[#This Row],[Weight]:[Weight]]-(Table261424[[#This Row],[Weight]:[Weight]]*((_xlfn.XMATCH(Table261424[[#This Row],[4]],Table261424[[#This Row],[1]:[11]],0))-1)/(COUNTA(Table261424[[#This Row],[1]:[11]])-COUNTBLANK(Table261424[[#This Row],[1]:[11]])-1)))</f>
        <v>1.0245901639344265E-4</v>
      </c>
      <c r="AD16" s="30" cm="1">
        <f t="array" ref="AD16">IF(Table261424[[#This Row],[5]]="","",Table261424[[#This Row],[Weight]:[Weight]]-(Table261424[[#This Row],[Weight]:[Weight]]*((_xlfn.XMATCH(Table261424[[#This Row],[5]],Table261424[[#This Row],[1]:[11]],0))-1)/(COUNTA(Table261424[[#This Row],[1]:[11]])-COUNTBLANK(Table261424[[#This Row],[1]:[11]])-1)))</f>
        <v>0</v>
      </c>
      <c r="AE16" s="30" t="str" cm="1">
        <f t="array" ref="AE16">IF(Table261424[[#This Row],[6]]="","",Table261424[[#This Row],[Weight]:[Weight]]-(Table261424[[#This Row],[Weight]:[Weight]]*((_xlfn.XMATCH(Table261424[[#This Row],[6]],Table261424[[#This Row],[1]:[11]],0))-1)/(COUNTA(Table261424[[#This Row],[1]:[11]])-COUNTBLANK(Table261424[[#This Row],[1]:[11]])-1)))</f>
        <v/>
      </c>
      <c r="AF16" s="30" t="str" cm="1">
        <f t="array" ref="AF16">IF(Table261424[[#This Row],[7]]="","",Table261424[[#This Row],[Weight]:[Weight]]-(Table261424[[#This Row],[Weight]:[Weight]]*((_xlfn.XMATCH(Table261424[[#This Row],[7]],Table261424[[#This Row],[1]:[11]],0))-1)/(COUNTA(Table261424[[#This Row],[1]:[11]])-COUNTBLANK(Table261424[[#This Row],[1]:[11]])-1)))</f>
        <v/>
      </c>
      <c r="AG16" s="30" t="str" cm="1">
        <f t="array" ref="AG16">IF(Table261424[[#This Row],[8]]="","",Table261424[[#This Row],[Weight]:[Weight]]-(Table261424[[#This Row],[Weight]:[Weight]]*((_xlfn.XMATCH(Table261424[[#This Row],[8]],Table261424[[#This Row],[1]:[11]],0))-1)/(COUNTA(Table261424[[#This Row],[1]:[11]])-COUNTBLANK(Table261424[[#This Row],[1]:[11]])-1)))</f>
        <v/>
      </c>
      <c r="AH16" s="30" t="str" cm="1">
        <f t="array" ref="AH16">IF(Table261424[[#This Row],[9]]="","",Table261424[[#This Row],[Weight]:[Weight]]-(Table261424[[#This Row],[Weight]:[Weight]]*((_xlfn.XMATCH(Table261424[[#This Row],[9]],Table261424[[#This Row],[1]:[11]],0))-1)/(COUNTA(Table261424[[#This Row],[1]:[11]])-COUNTBLANK(Table261424[[#This Row],[1]:[11]])-1)))</f>
        <v/>
      </c>
      <c r="AI16" s="30" t="str" cm="1">
        <f t="array" ref="AI16">IF(Table261424[[#This Row],[10]]="","",Table261424[[#This Row],[Weight]:[Weight]]-(Table261424[[#This Row],[Weight]:[Weight]]*((_xlfn.XMATCH(Table261424[[#This Row],[10]],Table261424[[#This Row],[1]:[11]],0))-1)/(COUNTA(Table261424[[#This Row],[1]:[11]])-COUNTBLANK(Table261424[[#This Row],[1]:[11]])-1)))</f>
        <v/>
      </c>
      <c r="AJ16" s="30" t="str" cm="1">
        <f t="array" ref="AJ16">IF(Table261424[[#This Row],[11]]="","",Table261424[[#This Row],[Weight]:[Weight]]-(Table261424[[#This Row],[Weight]:[Weight]]*((_xlfn.XMATCH(Table261424[[#This Row],[11]],Table261424[[#This Row],[1]:[11]],0))-1)/(COUNTA(Table261424[[#This Row],[1]:[11]])-COUNTBLANK(Table261424[[#This Row],[1]:[11]])-1)))</f>
        <v/>
      </c>
    </row>
    <row r="17" spans="1:36" ht="80.45" customHeight="1" x14ac:dyDescent="0.2">
      <c r="A17" s="174">
        <v>5</v>
      </c>
      <c r="B17" s="90" t="s">
        <v>220</v>
      </c>
      <c r="C17" s="119" t="s">
        <v>215</v>
      </c>
      <c r="D17" s="119"/>
      <c r="E17" s="146"/>
      <c r="F17" s="146"/>
      <c r="G17" s="120" t="s">
        <v>60</v>
      </c>
      <c r="H17" s="148" cm="1">
        <f t="array" ref="H17">_xlfn.IFS(G17="","",G17="No interest",0,G17="Nice to have",1,G17="Useful",2,G17="Important",3,G17="Very important",4,G17="Critical",5,G17="Show stopper",6)</f>
        <v>6</v>
      </c>
      <c r="I17" s="149">
        <f>(H17/$H$11)*$G$11</f>
        <v>4.0983606557377049E-4</v>
      </c>
      <c r="J17" s="150" t="s">
        <v>216</v>
      </c>
      <c r="K17" s="35" t="str" cm="1">
        <f t="array" ref="K17">_xlfn.TEXTJOIN(","&amp;CHAR(10),,TEXT(Table261424[[#This Row],[12]:[22]],"0,00%"))</f>
        <v>0,00%,
0,00%,
0,00%,
0,00%,
0,00%</v>
      </c>
      <c r="L17" s="26"/>
      <c r="M17" s="27" t="e">
        <f>I17-(I17*((MATCH(Table261424[[#This Row],[Evaluators Response (SELECT)]],Table261424[[#This Row],[1]:[11]],0)-1)/(COUNTA(Table261424[[#This Row],[1]:[11]])-COUNTBLANK(Table261424[[#This Row],[1]:[11]])-1)))</f>
        <v>#N/A</v>
      </c>
      <c r="N17" s="28"/>
      <c r="O17" s="29" t="str" cm="1">
        <f t="array" ref="O17">IFERROR(INDEX(_xlfn.UNIQUE(TRIM(_xlfn.TEXTSPLIT(Table261424[[#This Row],[Selection Options]:[Selection Options]],","))),,O$11),"")</f>
        <v>100%: Supported as delivered out of the box</v>
      </c>
      <c r="P17" s="29" t="str" cm="1">
        <f t="array" ref="P17">IFERROR(INDEX(_xlfn.UNIQUE(TRIM(_xlfn.TEXTSPLIT(Table261424[[#This Row],[Selection Options]:[Selection Options]],","))),,P$11),"")</f>
        <v xml:space="preserve">
75%: Supported via modifications (config)</v>
      </c>
      <c r="Q17" s="29" t="str" cm="1">
        <f t="array" ref="Q17">IFERROR(INDEX(_xlfn.UNIQUE(TRIM(_xlfn.TEXTSPLIT(Table261424[[#This Row],[Selection Options]:[Selection Options]],","))),,Q$11),"")</f>
        <v xml:space="preserve">
50%: Supported via a third party solution</v>
      </c>
      <c r="R17" s="29" t="str" cm="1">
        <f t="array" ref="R17">IFERROR(INDEX(_xlfn.UNIQUE(TRIM(_xlfn.TEXTSPLIT(Table261424[[#This Row],[Selection Options]:[Selection Options]],","))),,R$11),"")</f>
        <v xml:space="preserve">
25%: Supported via customisation (source code changes)</v>
      </c>
      <c r="S17" s="29" t="str" cm="1">
        <f t="array" ref="S17">IFERROR(INDEX(_xlfn.UNIQUE(TRIM(_xlfn.TEXTSPLIT(Table261424[[#This Row],[Selection Options]:[Selection Options]],","))),,S$11),"")</f>
        <v xml:space="preserve">
 0%: Not currently supported</v>
      </c>
      <c r="T17" s="29" t="str" cm="1">
        <f t="array" ref="T17">IFERROR(INDEX(_xlfn.UNIQUE(TRIM(_xlfn.TEXTSPLIT(Table261424[[#This Row],[Selection Options]:[Selection Options]],","))),,T$11),"")</f>
        <v/>
      </c>
      <c r="U17" s="29" t="str" cm="1">
        <f t="array" ref="U17">IFERROR(INDEX(_xlfn.UNIQUE(TRIM(_xlfn.TEXTSPLIT(Table261424[[#This Row],[Selection Options]:[Selection Options]],","))),,U$11),"")</f>
        <v/>
      </c>
      <c r="V17" s="29" t="str" cm="1">
        <f t="array" ref="V17">IFERROR(INDEX(_xlfn.UNIQUE(TRIM(_xlfn.TEXTSPLIT(Table261424[[#This Row],[Selection Options]:[Selection Options]],","))),,V$11),"")</f>
        <v/>
      </c>
      <c r="W17" s="29" t="str" cm="1">
        <f t="array" ref="W17">IFERROR(INDEX(_xlfn.UNIQUE(TRIM(_xlfn.TEXTSPLIT(Table261424[[#This Row],[Selection Options]:[Selection Options]],","))),,W$11),"")</f>
        <v/>
      </c>
      <c r="X17" s="29" t="str" cm="1">
        <f t="array" ref="X17">IFERROR(INDEX(_xlfn.UNIQUE(TRIM(_xlfn.TEXTSPLIT(Table261424[[#This Row],[Selection Options]:[Selection Options]],","))),,X$11),"")</f>
        <v/>
      </c>
      <c r="Y17" s="29" t="str" cm="1">
        <f t="array" ref="Y17">IFERROR(INDEX(_xlfn.UNIQUE(TRIM(_xlfn.TEXTSPLIT(Table261424[[#This Row],[Selection Options]:[Selection Options]],","))),,Y$11),"")</f>
        <v/>
      </c>
      <c r="Z17" s="30" cm="1">
        <f t="array" ref="Z17">IF(Table261424[[#This Row],[1]]="","",Table261424[[#This Row],[Weight]:[Weight]]-(Table261424[[#This Row],[Weight]:[Weight]]*((_xlfn.XMATCH(Table261424[[#This Row],[1]],Table261424[[#This Row],[1]:[11]],0))-1)/(COUNTA(Table261424[[#This Row],[1]:[11]])-COUNTBLANK(Table261424[[#This Row],[1]:[11]])-1)))</f>
        <v>4.0983606557377049E-4</v>
      </c>
      <c r="AA17" s="30" cm="1">
        <f t="array" ref="AA17">IF(Table261424[[#This Row],[2]]="","",Table261424[[#This Row],[Weight]:[Weight]]-(Table261424[[#This Row],[Weight]:[Weight]]*((_xlfn.XMATCH(Table261424[[#This Row],[2]],Table261424[[#This Row],[1]:[11]],0))-1)/(COUNTA(Table261424[[#This Row],[1]:[11]])-COUNTBLANK(Table261424[[#This Row],[1]:[11]])-1)))</f>
        <v>3.0737704918032784E-4</v>
      </c>
      <c r="AB17" s="30" cm="1">
        <f t="array" ref="AB17">IF(Table261424[[#This Row],[3]]="","",Table261424[[#This Row],[Weight]:[Weight]]-(Table261424[[#This Row],[Weight]:[Weight]]*((_xlfn.XMATCH(Table261424[[#This Row],[3]],Table261424[[#This Row],[1]:[11]],0))-1)/(COUNTA(Table261424[[#This Row],[1]:[11]])-COUNTBLANK(Table261424[[#This Row],[1]:[11]])-1)))</f>
        <v>2.0491803278688525E-4</v>
      </c>
      <c r="AC17" s="30" cm="1">
        <f t="array" ref="AC17">IF(Table261424[[#This Row],[4]]="","",Table261424[[#This Row],[Weight]:[Weight]]-(Table261424[[#This Row],[Weight]:[Weight]]*((_xlfn.XMATCH(Table261424[[#This Row],[4]],Table261424[[#This Row],[1]:[11]],0))-1)/(COUNTA(Table261424[[#This Row],[1]:[11]])-COUNTBLANK(Table261424[[#This Row],[1]:[11]])-1)))</f>
        <v>1.0245901639344265E-4</v>
      </c>
      <c r="AD17" s="30" cm="1">
        <f t="array" ref="AD17">IF(Table261424[[#This Row],[5]]="","",Table261424[[#This Row],[Weight]:[Weight]]-(Table261424[[#This Row],[Weight]:[Weight]]*((_xlfn.XMATCH(Table261424[[#This Row],[5]],Table261424[[#This Row],[1]:[11]],0))-1)/(COUNTA(Table261424[[#This Row],[1]:[11]])-COUNTBLANK(Table261424[[#This Row],[1]:[11]])-1)))</f>
        <v>0</v>
      </c>
      <c r="AE17" s="30" t="str" cm="1">
        <f t="array" ref="AE17">IF(Table261424[[#This Row],[6]]="","",Table261424[[#This Row],[Weight]:[Weight]]-(Table261424[[#This Row],[Weight]:[Weight]]*((_xlfn.XMATCH(Table261424[[#This Row],[6]],Table261424[[#This Row],[1]:[11]],0))-1)/(COUNTA(Table261424[[#This Row],[1]:[11]])-COUNTBLANK(Table261424[[#This Row],[1]:[11]])-1)))</f>
        <v/>
      </c>
      <c r="AF17" s="30" t="str" cm="1">
        <f t="array" ref="AF17">IF(Table261424[[#This Row],[7]]="","",Table261424[[#This Row],[Weight]:[Weight]]-(Table261424[[#This Row],[Weight]:[Weight]]*((_xlfn.XMATCH(Table261424[[#This Row],[7]],Table261424[[#This Row],[1]:[11]],0))-1)/(COUNTA(Table261424[[#This Row],[1]:[11]])-COUNTBLANK(Table261424[[#This Row],[1]:[11]])-1)))</f>
        <v/>
      </c>
      <c r="AG17" s="30" t="str" cm="1">
        <f t="array" ref="AG17">IF(Table261424[[#This Row],[8]]="","",Table261424[[#This Row],[Weight]:[Weight]]-(Table261424[[#This Row],[Weight]:[Weight]]*((_xlfn.XMATCH(Table261424[[#This Row],[8]],Table261424[[#This Row],[1]:[11]],0))-1)/(COUNTA(Table261424[[#This Row],[1]:[11]])-COUNTBLANK(Table261424[[#This Row],[1]:[11]])-1)))</f>
        <v/>
      </c>
      <c r="AH17" s="30" t="str" cm="1">
        <f t="array" ref="AH17">IF(Table261424[[#This Row],[9]]="","",Table261424[[#This Row],[Weight]:[Weight]]-(Table261424[[#This Row],[Weight]:[Weight]]*((_xlfn.XMATCH(Table261424[[#This Row],[9]],Table261424[[#This Row],[1]:[11]],0))-1)/(COUNTA(Table261424[[#This Row],[1]:[11]])-COUNTBLANK(Table261424[[#This Row],[1]:[11]])-1)))</f>
        <v/>
      </c>
      <c r="AI17" s="30" t="str" cm="1">
        <f t="array" ref="AI17">IF(Table261424[[#This Row],[10]]="","",Table261424[[#This Row],[Weight]:[Weight]]-(Table261424[[#This Row],[Weight]:[Weight]]*((_xlfn.XMATCH(Table261424[[#This Row],[10]],Table261424[[#This Row],[1]:[11]],0))-1)/(COUNTA(Table261424[[#This Row],[1]:[11]])-COUNTBLANK(Table261424[[#This Row],[1]:[11]])-1)))</f>
        <v/>
      </c>
      <c r="AJ17" s="30" t="str" cm="1">
        <f t="array" ref="AJ17">IF(Table261424[[#This Row],[11]]="","",Table261424[[#This Row],[Weight]:[Weight]]-(Table261424[[#This Row],[Weight]:[Weight]]*((_xlfn.XMATCH(Table261424[[#This Row],[11]],Table261424[[#This Row],[1]:[11]],0))-1)/(COUNTA(Table261424[[#This Row],[1]:[11]])-COUNTBLANK(Table261424[[#This Row],[1]:[11]])-1)))</f>
        <v/>
      </c>
    </row>
    <row r="18" spans="1:36" ht="78" customHeight="1" x14ac:dyDescent="0.2">
      <c r="A18" s="174">
        <v>6</v>
      </c>
      <c r="B18" s="119" t="s">
        <v>221</v>
      </c>
      <c r="C18" s="119" t="s">
        <v>215</v>
      </c>
      <c r="D18" s="119"/>
      <c r="E18" s="147"/>
      <c r="F18" s="147"/>
      <c r="G18" s="121" t="s">
        <v>60</v>
      </c>
      <c r="H18" s="151" cm="1">
        <f t="array" ref="H18">_xlfn.IFS(G18="","",G18="No interest",0,G18="Nice to have",1,G18="Useful",2,G18="Important",3,G18="Very important",4,G18="Critical",5,G18="Show stopper",6)</f>
        <v>6</v>
      </c>
      <c r="I18" s="152">
        <f t="shared" ref="I18:I43" si="1">(H18/$H$11)*$G$11</f>
        <v>4.0983606557377049E-4</v>
      </c>
      <c r="J18" s="150" t="s">
        <v>216</v>
      </c>
      <c r="K18" s="35" t="str" cm="1">
        <f t="array" ref="K18">_xlfn.TEXTJOIN(","&amp;CHAR(10),,TEXT(Table261424[[#This Row],[12]:[22]],"0,00%"))</f>
        <v>0,00%,
0,00%,
0,00%,
0,00%,
0,00%</v>
      </c>
      <c r="L18" s="36"/>
      <c r="M18" s="37" t="e">
        <f>I18-(I18*((MATCH(Table261424[[#This Row],[Evaluators Response (SELECT)]],Table261424[[#This Row],[1]:[11]],0)-1)/(COUNTA(Table261424[[#This Row],[1]:[11]])-COUNTBLANK(Table261424[[#This Row],[1]:[11]])-1)))</f>
        <v>#N/A</v>
      </c>
      <c r="N18" s="38"/>
      <c r="O18" s="29" t="str" cm="1">
        <f t="array" ref="O18">IFERROR(INDEX(_xlfn.UNIQUE(TRIM(_xlfn.TEXTSPLIT(Table261424[[#This Row],[Selection Options]:[Selection Options]],","))),,O$11),"")</f>
        <v>100%: Supported as delivered out of the box</v>
      </c>
      <c r="P18" s="29" t="str" cm="1">
        <f t="array" ref="P18">IFERROR(INDEX(_xlfn.UNIQUE(TRIM(_xlfn.TEXTSPLIT(Table261424[[#This Row],[Selection Options]:[Selection Options]],","))),,P$11),"")</f>
        <v xml:space="preserve">
75%: Supported via modifications (config)</v>
      </c>
      <c r="Q18" s="29" t="str" cm="1">
        <f t="array" ref="Q18">IFERROR(INDEX(_xlfn.UNIQUE(TRIM(_xlfn.TEXTSPLIT(Table261424[[#This Row],[Selection Options]:[Selection Options]],","))),,Q$11),"")</f>
        <v xml:space="preserve">
50%: Supported via a third party solution</v>
      </c>
      <c r="R18" s="29" t="str" cm="1">
        <f t="array" ref="R18">IFERROR(INDEX(_xlfn.UNIQUE(TRIM(_xlfn.TEXTSPLIT(Table261424[[#This Row],[Selection Options]:[Selection Options]],","))),,R$11),"")</f>
        <v xml:space="preserve">
25%: Supported via customisation (source code changes)</v>
      </c>
      <c r="S18" s="29" t="str" cm="1">
        <f t="array" ref="S18">IFERROR(INDEX(_xlfn.UNIQUE(TRIM(_xlfn.TEXTSPLIT(Table261424[[#This Row],[Selection Options]:[Selection Options]],","))),,S$11),"")</f>
        <v xml:space="preserve">
 0%: Not currently supported</v>
      </c>
      <c r="T18" s="29" t="str" cm="1">
        <f t="array" ref="T18">IFERROR(INDEX(_xlfn.UNIQUE(TRIM(_xlfn.TEXTSPLIT(Table261424[[#This Row],[Selection Options]:[Selection Options]],","))),,T$11),"")</f>
        <v/>
      </c>
      <c r="U18" s="29" t="str" cm="1">
        <f t="array" ref="U18">IFERROR(INDEX(_xlfn.UNIQUE(TRIM(_xlfn.TEXTSPLIT(Table261424[[#This Row],[Selection Options]:[Selection Options]],","))),,U$11),"")</f>
        <v/>
      </c>
      <c r="V18" s="29" t="str" cm="1">
        <f t="array" ref="V18">IFERROR(INDEX(_xlfn.UNIQUE(TRIM(_xlfn.TEXTSPLIT(Table261424[[#This Row],[Selection Options]:[Selection Options]],","))),,V$11),"")</f>
        <v/>
      </c>
      <c r="W18" s="29" t="str" cm="1">
        <f t="array" ref="W18">IFERROR(INDEX(_xlfn.UNIQUE(TRIM(_xlfn.TEXTSPLIT(Table261424[[#This Row],[Selection Options]:[Selection Options]],","))),,W$11),"")</f>
        <v/>
      </c>
      <c r="X18" s="29" t="str" cm="1">
        <f t="array" ref="X18">IFERROR(INDEX(_xlfn.UNIQUE(TRIM(_xlfn.TEXTSPLIT(Table261424[[#This Row],[Selection Options]:[Selection Options]],","))),,X$11),"")</f>
        <v/>
      </c>
      <c r="Y18" s="29" t="str" cm="1">
        <f t="array" ref="Y18">IFERROR(INDEX(_xlfn.UNIQUE(TRIM(_xlfn.TEXTSPLIT(Table261424[[#This Row],[Selection Options]:[Selection Options]],","))),,Y$11),"")</f>
        <v/>
      </c>
      <c r="Z18" s="30" cm="1">
        <f t="array" ref="Z18">IF(Table261424[[#This Row],[1]]="","",Table261424[[#This Row],[Weight]:[Weight]]-(Table261424[[#This Row],[Weight]:[Weight]]*((_xlfn.XMATCH(Table261424[[#This Row],[1]],Table261424[[#This Row],[1]:[11]],0))-1)/(COUNTA(Table261424[[#This Row],[1]:[11]])-COUNTBLANK(Table261424[[#This Row],[1]:[11]])-1)))</f>
        <v>4.0983606557377049E-4</v>
      </c>
      <c r="AA18" s="30" cm="1">
        <f t="array" ref="AA18">IF(Table261424[[#This Row],[2]]="","",Table261424[[#This Row],[Weight]:[Weight]]-(Table261424[[#This Row],[Weight]:[Weight]]*((_xlfn.XMATCH(Table261424[[#This Row],[2]],Table261424[[#This Row],[1]:[11]],0))-1)/(COUNTA(Table261424[[#This Row],[1]:[11]])-COUNTBLANK(Table261424[[#This Row],[1]:[11]])-1)))</f>
        <v>3.0737704918032784E-4</v>
      </c>
      <c r="AB18" s="30" cm="1">
        <f t="array" ref="AB18">IF(Table261424[[#This Row],[3]]="","",Table261424[[#This Row],[Weight]:[Weight]]-(Table261424[[#This Row],[Weight]:[Weight]]*((_xlfn.XMATCH(Table261424[[#This Row],[3]],Table261424[[#This Row],[1]:[11]],0))-1)/(COUNTA(Table261424[[#This Row],[1]:[11]])-COUNTBLANK(Table261424[[#This Row],[1]:[11]])-1)))</f>
        <v>2.0491803278688525E-4</v>
      </c>
      <c r="AC18" s="30" cm="1">
        <f t="array" ref="AC18">IF(Table261424[[#This Row],[4]]="","",Table261424[[#This Row],[Weight]:[Weight]]-(Table261424[[#This Row],[Weight]:[Weight]]*((_xlfn.XMATCH(Table261424[[#This Row],[4]],Table261424[[#This Row],[1]:[11]],0))-1)/(COUNTA(Table261424[[#This Row],[1]:[11]])-COUNTBLANK(Table261424[[#This Row],[1]:[11]])-1)))</f>
        <v>1.0245901639344265E-4</v>
      </c>
      <c r="AD18" s="30" cm="1">
        <f t="array" ref="AD18">IF(Table261424[[#This Row],[5]]="","",Table261424[[#This Row],[Weight]:[Weight]]-(Table261424[[#This Row],[Weight]:[Weight]]*((_xlfn.XMATCH(Table261424[[#This Row],[5]],Table261424[[#This Row],[1]:[11]],0))-1)/(COUNTA(Table261424[[#This Row],[1]:[11]])-COUNTBLANK(Table261424[[#This Row],[1]:[11]])-1)))</f>
        <v>0</v>
      </c>
      <c r="AE18" s="30" t="str" cm="1">
        <f t="array" ref="AE18">IF(Table261424[[#This Row],[6]]="","",Table261424[[#This Row],[Weight]:[Weight]]-(Table261424[[#This Row],[Weight]:[Weight]]*((_xlfn.XMATCH(Table261424[[#This Row],[6]],Table261424[[#This Row],[1]:[11]],0))-1)/(COUNTA(Table261424[[#This Row],[1]:[11]])-COUNTBLANK(Table261424[[#This Row],[1]:[11]])-1)))</f>
        <v/>
      </c>
      <c r="AF18" s="30" t="str" cm="1">
        <f t="array" ref="AF18">IF(Table261424[[#This Row],[7]]="","",Table261424[[#This Row],[Weight]:[Weight]]-(Table261424[[#This Row],[Weight]:[Weight]]*((_xlfn.XMATCH(Table261424[[#This Row],[7]],Table261424[[#This Row],[1]:[11]],0))-1)/(COUNTA(Table261424[[#This Row],[1]:[11]])-COUNTBLANK(Table261424[[#This Row],[1]:[11]])-1)))</f>
        <v/>
      </c>
      <c r="AG18" s="30" t="str" cm="1">
        <f t="array" ref="AG18">IF(Table261424[[#This Row],[8]]="","",Table261424[[#This Row],[Weight]:[Weight]]-(Table261424[[#This Row],[Weight]:[Weight]]*((_xlfn.XMATCH(Table261424[[#This Row],[8]],Table261424[[#This Row],[1]:[11]],0))-1)/(COUNTA(Table261424[[#This Row],[1]:[11]])-COUNTBLANK(Table261424[[#This Row],[1]:[11]])-1)))</f>
        <v/>
      </c>
      <c r="AH18" s="30" t="str" cm="1">
        <f t="array" ref="AH18">IF(Table261424[[#This Row],[9]]="","",Table261424[[#This Row],[Weight]:[Weight]]-(Table261424[[#This Row],[Weight]:[Weight]]*((_xlfn.XMATCH(Table261424[[#This Row],[9]],Table261424[[#This Row],[1]:[11]],0))-1)/(COUNTA(Table261424[[#This Row],[1]:[11]])-COUNTBLANK(Table261424[[#This Row],[1]:[11]])-1)))</f>
        <v/>
      </c>
      <c r="AI18" s="30" t="str" cm="1">
        <f t="array" ref="AI18">IF(Table261424[[#This Row],[10]]="","",Table261424[[#This Row],[Weight]:[Weight]]-(Table261424[[#This Row],[Weight]:[Weight]]*((_xlfn.XMATCH(Table261424[[#This Row],[10]],Table261424[[#This Row],[1]:[11]],0))-1)/(COUNTA(Table261424[[#This Row],[1]:[11]])-COUNTBLANK(Table261424[[#This Row],[1]:[11]])-1)))</f>
        <v/>
      </c>
      <c r="AJ18" s="30" t="str" cm="1">
        <f t="array" ref="AJ18">IF(Table261424[[#This Row],[11]]="","",Table261424[[#This Row],[Weight]:[Weight]]-(Table261424[[#This Row],[Weight]:[Weight]]*((_xlfn.XMATCH(Table261424[[#This Row],[11]],Table261424[[#This Row],[1]:[11]],0))-1)/(COUNTA(Table261424[[#This Row],[1]:[11]])-COUNTBLANK(Table261424[[#This Row],[1]:[11]])-1)))</f>
        <v/>
      </c>
    </row>
    <row r="19" spans="1:36" ht="72" x14ac:dyDescent="0.2">
      <c r="A19" s="174">
        <v>7</v>
      </c>
      <c r="B19" s="119" t="s">
        <v>222</v>
      </c>
      <c r="C19" s="119" t="s">
        <v>215</v>
      </c>
      <c r="D19" s="119"/>
      <c r="E19" s="147"/>
      <c r="F19" s="147"/>
      <c r="G19" s="121" t="s">
        <v>60</v>
      </c>
      <c r="H19" s="151" cm="1">
        <f t="array" ref="H19">_xlfn.IFS(G19="","",G19="No interest",0,G19="Nice to have",1,G19="Useful",2,G19="Important",3,G19="Very important",4,G19="Critical",5,G19="Show stopper",6)</f>
        <v>6</v>
      </c>
      <c r="I19" s="152">
        <f t="shared" si="1"/>
        <v>4.0983606557377049E-4</v>
      </c>
      <c r="J19" s="150" t="s">
        <v>216</v>
      </c>
      <c r="K19" s="35" t="str" cm="1">
        <f t="array" ref="K19">_xlfn.TEXTJOIN(","&amp;CHAR(10),,TEXT(Table261424[[#This Row],[12]:[22]],"0,00%"))</f>
        <v>0,00%,
0,00%,
0,00%,
0,00%,
0,00%</v>
      </c>
      <c r="L19" s="36"/>
      <c r="M19" s="37" t="e">
        <f>I19-(I19*((MATCH(Table261424[[#This Row],[Evaluators Response (SELECT)]],Table261424[[#This Row],[1]:[11]],0)-1)/(COUNTA(Table261424[[#This Row],[1]:[11]])-COUNTBLANK(Table261424[[#This Row],[1]:[11]])-1)))</f>
        <v>#N/A</v>
      </c>
      <c r="N19" s="38"/>
      <c r="O19" s="29" t="str" cm="1">
        <f t="array" ref="O19">IFERROR(INDEX(_xlfn.UNIQUE(TRIM(_xlfn.TEXTSPLIT(Table261424[[#This Row],[Selection Options]:[Selection Options]],","))),,O$11),"")</f>
        <v>100%: Supported as delivered out of the box</v>
      </c>
      <c r="P19" s="29" t="str" cm="1">
        <f t="array" ref="P19">IFERROR(INDEX(_xlfn.UNIQUE(TRIM(_xlfn.TEXTSPLIT(Table261424[[#This Row],[Selection Options]:[Selection Options]],","))),,P$11),"")</f>
        <v xml:space="preserve">
75%: Supported via modifications (config)</v>
      </c>
      <c r="Q19" s="29" t="str" cm="1">
        <f t="array" ref="Q19">IFERROR(INDEX(_xlfn.UNIQUE(TRIM(_xlfn.TEXTSPLIT(Table261424[[#This Row],[Selection Options]:[Selection Options]],","))),,Q$11),"")</f>
        <v xml:space="preserve">
50%: Supported via a third party solution</v>
      </c>
      <c r="R19" s="29" t="str" cm="1">
        <f t="array" ref="R19">IFERROR(INDEX(_xlfn.UNIQUE(TRIM(_xlfn.TEXTSPLIT(Table261424[[#This Row],[Selection Options]:[Selection Options]],","))),,R$11),"")</f>
        <v xml:space="preserve">
25%: Supported via customisation (source code changes)</v>
      </c>
      <c r="S19" s="29" t="str" cm="1">
        <f t="array" ref="S19">IFERROR(INDEX(_xlfn.UNIQUE(TRIM(_xlfn.TEXTSPLIT(Table261424[[#This Row],[Selection Options]:[Selection Options]],","))),,S$11),"")</f>
        <v xml:space="preserve">
 0%: Not currently supported</v>
      </c>
      <c r="T19" s="29" t="str" cm="1">
        <f t="array" ref="T19">IFERROR(INDEX(_xlfn.UNIQUE(TRIM(_xlfn.TEXTSPLIT(Table261424[[#This Row],[Selection Options]:[Selection Options]],","))),,T$11),"")</f>
        <v/>
      </c>
      <c r="U19" s="29" t="str" cm="1">
        <f t="array" ref="U19">IFERROR(INDEX(_xlfn.UNIQUE(TRIM(_xlfn.TEXTSPLIT(Table261424[[#This Row],[Selection Options]:[Selection Options]],","))),,U$11),"")</f>
        <v/>
      </c>
      <c r="V19" s="29" t="str" cm="1">
        <f t="array" ref="V19">IFERROR(INDEX(_xlfn.UNIQUE(TRIM(_xlfn.TEXTSPLIT(Table261424[[#This Row],[Selection Options]:[Selection Options]],","))),,V$11),"")</f>
        <v/>
      </c>
      <c r="W19" s="29" t="str" cm="1">
        <f t="array" ref="W19">IFERROR(INDEX(_xlfn.UNIQUE(TRIM(_xlfn.TEXTSPLIT(Table261424[[#This Row],[Selection Options]:[Selection Options]],","))),,W$11),"")</f>
        <v/>
      </c>
      <c r="X19" s="29" t="str" cm="1">
        <f t="array" ref="X19">IFERROR(INDEX(_xlfn.UNIQUE(TRIM(_xlfn.TEXTSPLIT(Table261424[[#This Row],[Selection Options]:[Selection Options]],","))),,X$11),"")</f>
        <v/>
      </c>
      <c r="Y19" s="29" t="str" cm="1">
        <f t="array" ref="Y19">IFERROR(INDEX(_xlfn.UNIQUE(TRIM(_xlfn.TEXTSPLIT(Table261424[[#This Row],[Selection Options]:[Selection Options]],","))),,Y$11),"")</f>
        <v/>
      </c>
      <c r="Z19" s="30" cm="1">
        <f t="array" ref="Z19">IF(Table261424[[#This Row],[1]]="","",Table261424[[#This Row],[Weight]:[Weight]]-(Table261424[[#This Row],[Weight]:[Weight]]*((_xlfn.XMATCH(Table261424[[#This Row],[1]],Table261424[[#This Row],[1]:[11]],0))-1)/(COUNTA(Table261424[[#This Row],[1]:[11]])-COUNTBLANK(Table261424[[#This Row],[1]:[11]])-1)))</f>
        <v>4.0983606557377049E-4</v>
      </c>
      <c r="AA19" s="30" cm="1">
        <f t="array" ref="AA19">IF(Table261424[[#This Row],[2]]="","",Table261424[[#This Row],[Weight]:[Weight]]-(Table261424[[#This Row],[Weight]:[Weight]]*((_xlfn.XMATCH(Table261424[[#This Row],[2]],Table261424[[#This Row],[1]:[11]],0))-1)/(COUNTA(Table261424[[#This Row],[1]:[11]])-COUNTBLANK(Table261424[[#This Row],[1]:[11]])-1)))</f>
        <v>3.0737704918032784E-4</v>
      </c>
      <c r="AB19" s="30" cm="1">
        <f t="array" ref="AB19">IF(Table261424[[#This Row],[3]]="","",Table261424[[#This Row],[Weight]:[Weight]]-(Table261424[[#This Row],[Weight]:[Weight]]*((_xlfn.XMATCH(Table261424[[#This Row],[3]],Table261424[[#This Row],[1]:[11]],0))-1)/(COUNTA(Table261424[[#This Row],[1]:[11]])-COUNTBLANK(Table261424[[#This Row],[1]:[11]])-1)))</f>
        <v>2.0491803278688525E-4</v>
      </c>
      <c r="AC19" s="30" cm="1">
        <f t="array" ref="AC19">IF(Table261424[[#This Row],[4]]="","",Table261424[[#This Row],[Weight]:[Weight]]-(Table261424[[#This Row],[Weight]:[Weight]]*((_xlfn.XMATCH(Table261424[[#This Row],[4]],Table261424[[#This Row],[1]:[11]],0))-1)/(COUNTA(Table261424[[#This Row],[1]:[11]])-COUNTBLANK(Table261424[[#This Row],[1]:[11]])-1)))</f>
        <v>1.0245901639344265E-4</v>
      </c>
      <c r="AD19" s="30" cm="1">
        <f t="array" ref="AD19">IF(Table261424[[#This Row],[5]]="","",Table261424[[#This Row],[Weight]:[Weight]]-(Table261424[[#This Row],[Weight]:[Weight]]*((_xlfn.XMATCH(Table261424[[#This Row],[5]],Table261424[[#This Row],[1]:[11]],0))-1)/(COUNTA(Table261424[[#This Row],[1]:[11]])-COUNTBLANK(Table261424[[#This Row],[1]:[11]])-1)))</f>
        <v>0</v>
      </c>
      <c r="AE19" s="30" t="str" cm="1">
        <f t="array" ref="AE19">IF(Table261424[[#This Row],[6]]="","",Table261424[[#This Row],[Weight]:[Weight]]-(Table261424[[#This Row],[Weight]:[Weight]]*((_xlfn.XMATCH(Table261424[[#This Row],[6]],Table261424[[#This Row],[1]:[11]],0))-1)/(COUNTA(Table261424[[#This Row],[1]:[11]])-COUNTBLANK(Table261424[[#This Row],[1]:[11]])-1)))</f>
        <v/>
      </c>
      <c r="AF19" s="30" t="str" cm="1">
        <f t="array" ref="AF19">IF(Table261424[[#This Row],[7]]="","",Table261424[[#This Row],[Weight]:[Weight]]-(Table261424[[#This Row],[Weight]:[Weight]]*((_xlfn.XMATCH(Table261424[[#This Row],[7]],Table261424[[#This Row],[1]:[11]],0))-1)/(COUNTA(Table261424[[#This Row],[1]:[11]])-COUNTBLANK(Table261424[[#This Row],[1]:[11]])-1)))</f>
        <v/>
      </c>
      <c r="AG19" s="30" t="str" cm="1">
        <f t="array" ref="AG19">IF(Table261424[[#This Row],[8]]="","",Table261424[[#This Row],[Weight]:[Weight]]-(Table261424[[#This Row],[Weight]:[Weight]]*((_xlfn.XMATCH(Table261424[[#This Row],[8]],Table261424[[#This Row],[1]:[11]],0))-1)/(COUNTA(Table261424[[#This Row],[1]:[11]])-COUNTBLANK(Table261424[[#This Row],[1]:[11]])-1)))</f>
        <v/>
      </c>
      <c r="AH19" s="30" t="str" cm="1">
        <f t="array" ref="AH19">IF(Table261424[[#This Row],[9]]="","",Table261424[[#This Row],[Weight]:[Weight]]-(Table261424[[#This Row],[Weight]:[Weight]]*((_xlfn.XMATCH(Table261424[[#This Row],[9]],Table261424[[#This Row],[1]:[11]],0))-1)/(COUNTA(Table261424[[#This Row],[1]:[11]])-COUNTBLANK(Table261424[[#This Row],[1]:[11]])-1)))</f>
        <v/>
      </c>
      <c r="AI19" s="30" t="str" cm="1">
        <f t="array" ref="AI19">IF(Table261424[[#This Row],[10]]="","",Table261424[[#This Row],[Weight]:[Weight]]-(Table261424[[#This Row],[Weight]:[Weight]]*((_xlfn.XMATCH(Table261424[[#This Row],[10]],Table261424[[#This Row],[1]:[11]],0))-1)/(COUNTA(Table261424[[#This Row],[1]:[11]])-COUNTBLANK(Table261424[[#This Row],[1]:[11]])-1)))</f>
        <v/>
      </c>
      <c r="AJ19" s="30" t="str" cm="1">
        <f t="array" ref="AJ19">IF(Table261424[[#This Row],[11]]="","",Table261424[[#This Row],[Weight]:[Weight]]-(Table261424[[#This Row],[Weight]:[Weight]]*((_xlfn.XMATCH(Table261424[[#This Row],[11]],Table261424[[#This Row],[1]:[11]],0))-1)/(COUNTA(Table261424[[#This Row],[1]:[11]])-COUNTBLANK(Table261424[[#This Row],[1]:[11]])-1)))</f>
        <v/>
      </c>
    </row>
    <row r="20" spans="1:36" ht="81.95" customHeight="1" x14ac:dyDescent="0.2">
      <c r="A20" s="174">
        <v>8</v>
      </c>
      <c r="B20" s="119" t="s">
        <v>223</v>
      </c>
      <c r="C20" s="119" t="s">
        <v>215</v>
      </c>
      <c r="D20" s="119"/>
      <c r="E20" s="146"/>
      <c r="F20" s="147"/>
      <c r="G20" s="121" t="s">
        <v>60</v>
      </c>
      <c r="H20" s="151" cm="1">
        <f t="array" ref="H20">_xlfn.IFS(G20="","",G20="No interest",0,G20="Nice to have",1,G20="Useful",2,G20="Important",3,G20="Very important",4,G20="Critical",5,G20="Show stopper",6)</f>
        <v>6</v>
      </c>
      <c r="I20" s="152">
        <f t="shared" si="1"/>
        <v>4.0983606557377049E-4</v>
      </c>
      <c r="J20" s="150" t="s">
        <v>216</v>
      </c>
      <c r="K20" s="35" t="str" cm="1">
        <f t="array" ref="K20">_xlfn.TEXTJOIN(","&amp;CHAR(10),,TEXT(Table261424[[#This Row],[12]:[22]],"0,00%"))</f>
        <v>0,00%,
0,00%,
0,00%,
0,00%,
0,00%</v>
      </c>
      <c r="L20" s="36"/>
      <c r="M20" s="37" t="e">
        <f>I20-(I20*((MATCH(Table261424[[#This Row],[Evaluators Response (SELECT)]],Table261424[[#This Row],[1]:[11]],0)-1)/(COUNTA(Table261424[[#This Row],[1]:[11]])-COUNTBLANK(Table261424[[#This Row],[1]:[11]])-1)))</f>
        <v>#N/A</v>
      </c>
      <c r="N20" s="38"/>
      <c r="O20" s="29" t="str" cm="1">
        <f t="array" ref="O20">IFERROR(INDEX(_xlfn.UNIQUE(TRIM(_xlfn.TEXTSPLIT(Table261424[[#This Row],[Selection Options]:[Selection Options]],","))),,O$11),"")</f>
        <v>100%: Supported as delivered out of the box</v>
      </c>
      <c r="P20" s="29" t="str" cm="1">
        <f t="array" ref="P20">IFERROR(INDEX(_xlfn.UNIQUE(TRIM(_xlfn.TEXTSPLIT(Table261424[[#This Row],[Selection Options]:[Selection Options]],","))),,P$11),"")</f>
        <v xml:space="preserve">
75%: Supported via modifications (config)</v>
      </c>
      <c r="Q20" s="29" t="str" cm="1">
        <f t="array" ref="Q20">IFERROR(INDEX(_xlfn.UNIQUE(TRIM(_xlfn.TEXTSPLIT(Table261424[[#This Row],[Selection Options]:[Selection Options]],","))),,Q$11),"")</f>
        <v xml:space="preserve">
50%: Supported via a third party solution</v>
      </c>
      <c r="R20" s="29" t="str" cm="1">
        <f t="array" ref="R20">IFERROR(INDEX(_xlfn.UNIQUE(TRIM(_xlfn.TEXTSPLIT(Table261424[[#This Row],[Selection Options]:[Selection Options]],","))),,R$11),"")</f>
        <v xml:space="preserve">
25%: Supported via customisation (source code changes)</v>
      </c>
      <c r="S20" s="29" t="str" cm="1">
        <f t="array" ref="S20">IFERROR(INDEX(_xlfn.UNIQUE(TRIM(_xlfn.TEXTSPLIT(Table261424[[#This Row],[Selection Options]:[Selection Options]],","))),,S$11),"")</f>
        <v xml:space="preserve">
 0%: Not currently supported</v>
      </c>
      <c r="T20" s="29" t="str" cm="1">
        <f t="array" ref="T20">IFERROR(INDEX(_xlfn.UNIQUE(TRIM(_xlfn.TEXTSPLIT(Table261424[[#This Row],[Selection Options]:[Selection Options]],","))),,T$11),"")</f>
        <v/>
      </c>
      <c r="U20" s="29" t="str" cm="1">
        <f t="array" ref="U20">IFERROR(INDEX(_xlfn.UNIQUE(TRIM(_xlfn.TEXTSPLIT(Table261424[[#This Row],[Selection Options]:[Selection Options]],","))),,U$11),"")</f>
        <v/>
      </c>
      <c r="V20" s="29" t="str" cm="1">
        <f t="array" ref="V20">IFERROR(INDEX(_xlfn.UNIQUE(TRIM(_xlfn.TEXTSPLIT(Table261424[[#This Row],[Selection Options]:[Selection Options]],","))),,V$11),"")</f>
        <v/>
      </c>
      <c r="W20" s="29" t="str" cm="1">
        <f t="array" ref="W20">IFERROR(INDEX(_xlfn.UNIQUE(TRIM(_xlfn.TEXTSPLIT(Table261424[[#This Row],[Selection Options]:[Selection Options]],","))),,W$11),"")</f>
        <v/>
      </c>
      <c r="X20" s="29" t="str" cm="1">
        <f t="array" ref="X20">IFERROR(INDEX(_xlfn.UNIQUE(TRIM(_xlfn.TEXTSPLIT(Table261424[[#This Row],[Selection Options]:[Selection Options]],","))),,X$11),"")</f>
        <v/>
      </c>
      <c r="Y20" s="29" t="str" cm="1">
        <f t="array" ref="Y20">IFERROR(INDEX(_xlfn.UNIQUE(TRIM(_xlfn.TEXTSPLIT(Table261424[[#This Row],[Selection Options]:[Selection Options]],","))),,Y$11),"")</f>
        <v/>
      </c>
      <c r="Z20" s="30" cm="1">
        <f t="array" ref="Z20">IF(Table261424[[#This Row],[1]]="","",Table261424[[#This Row],[Weight]:[Weight]]-(Table261424[[#This Row],[Weight]:[Weight]]*((_xlfn.XMATCH(Table261424[[#This Row],[1]],Table261424[[#This Row],[1]:[11]],0))-1)/(COUNTA(Table261424[[#This Row],[1]:[11]])-COUNTBLANK(Table261424[[#This Row],[1]:[11]])-1)))</f>
        <v>4.0983606557377049E-4</v>
      </c>
      <c r="AA20" s="30" cm="1">
        <f t="array" ref="AA20">IF(Table261424[[#This Row],[2]]="","",Table261424[[#This Row],[Weight]:[Weight]]-(Table261424[[#This Row],[Weight]:[Weight]]*((_xlfn.XMATCH(Table261424[[#This Row],[2]],Table261424[[#This Row],[1]:[11]],0))-1)/(COUNTA(Table261424[[#This Row],[1]:[11]])-COUNTBLANK(Table261424[[#This Row],[1]:[11]])-1)))</f>
        <v>3.0737704918032784E-4</v>
      </c>
      <c r="AB20" s="30" cm="1">
        <f t="array" ref="AB20">IF(Table261424[[#This Row],[3]]="","",Table261424[[#This Row],[Weight]:[Weight]]-(Table261424[[#This Row],[Weight]:[Weight]]*((_xlfn.XMATCH(Table261424[[#This Row],[3]],Table261424[[#This Row],[1]:[11]],0))-1)/(COUNTA(Table261424[[#This Row],[1]:[11]])-COUNTBLANK(Table261424[[#This Row],[1]:[11]])-1)))</f>
        <v>2.0491803278688525E-4</v>
      </c>
      <c r="AC20" s="30" cm="1">
        <f t="array" ref="AC20">IF(Table261424[[#This Row],[4]]="","",Table261424[[#This Row],[Weight]:[Weight]]-(Table261424[[#This Row],[Weight]:[Weight]]*((_xlfn.XMATCH(Table261424[[#This Row],[4]],Table261424[[#This Row],[1]:[11]],0))-1)/(COUNTA(Table261424[[#This Row],[1]:[11]])-COUNTBLANK(Table261424[[#This Row],[1]:[11]])-1)))</f>
        <v>1.0245901639344265E-4</v>
      </c>
      <c r="AD20" s="30" cm="1">
        <f t="array" ref="AD20">IF(Table261424[[#This Row],[5]]="","",Table261424[[#This Row],[Weight]:[Weight]]-(Table261424[[#This Row],[Weight]:[Weight]]*((_xlfn.XMATCH(Table261424[[#This Row],[5]],Table261424[[#This Row],[1]:[11]],0))-1)/(COUNTA(Table261424[[#This Row],[1]:[11]])-COUNTBLANK(Table261424[[#This Row],[1]:[11]])-1)))</f>
        <v>0</v>
      </c>
      <c r="AE20" s="30" t="str" cm="1">
        <f t="array" ref="AE20">IF(Table261424[[#This Row],[6]]="","",Table261424[[#This Row],[Weight]:[Weight]]-(Table261424[[#This Row],[Weight]:[Weight]]*((_xlfn.XMATCH(Table261424[[#This Row],[6]],Table261424[[#This Row],[1]:[11]],0))-1)/(COUNTA(Table261424[[#This Row],[1]:[11]])-COUNTBLANK(Table261424[[#This Row],[1]:[11]])-1)))</f>
        <v/>
      </c>
      <c r="AF20" s="30" t="str" cm="1">
        <f t="array" ref="AF20">IF(Table261424[[#This Row],[7]]="","",Table261424[[#This Row],[Weight]:[Weight]]-(Table261424[[#This Row],[Weight]:[Weight]]*((_xlfn.XMATCH(Table261424[[#This Row],[7]],Table261424[[#This Row],[1]:[11]],0))-1)/(COUNTA(Table261424[[#This Row],[1]:[11]])-COUNTBLANK(Table261424[[#This Row],[1]:[11]])-1)))</f>
        <v/>
      </c>
      <c r="AG20" s="30" t="str" cm="1">
        <f t="array" ref="AG20">IF(Table261424[[#This Row],[8]]="","",Table261424[[#This Row],[Weight]:[Weight]]-(Table261424[[#This Row],[Weight]:[Weight]]*((_xlfn.XMATCH(Table261424[[#This Row],[8]],Table261424[[#This Row],[1]:[11]],0))-1)/(COUNTA(Table261424[[#This Row],[1]:[11]])-COUNTBLANK(Table261424[[#This Row],[1]:[11]])-1)))</f>
        <v/>
      </c>
      <c r="AH20" s="30" t="str" cm="1">
        <f t="array" ref="AH20">IF(Table261424[[#This Row],[9]]="","",Table261424[[#This Row],[Weight]:[Weight]]-(Table261424[[#This Row],[Weight]:[Weight]]*((_xlfn.XMATCH(Table261424[[#This Row],[9]],Table261424[[#This Row],[1]:[11]],0))-1)/(COUNTA(Table261424[[#This Row],[1]:[11]])-COUNTBLANK(Table261424[[#This Row],[1]:[11]])-1)))</f>
        <v/>
      </c>
      <c r="AI20" s="30" t="str" cm="1">
        <f t="array" ref="AI20">IF(Table261424[[#This Row],[10]]="","",Table261424[[#This Row],[Weight]:[Weight]]-(Table261424[[#This Row],[Weight]:[Weight]]*((_xlfn.XMATCH(Table261424[[#This Row],[10]],Table261424[[#This Row],[1]:[11]],0))-1)/(COUNTA(Table261424[[#This Row],[1]:[11]])-COUNTBLANK(Table261424[[#This Row],[1]:[11]])-1)))</f>
        <v/>
      </c>
      <c r="AJ20" s="30" t="str" cm="1">
        <f t="array" ref="AJ20">IF(Table261424[[#This Row],[11]]="","",Table261424[[#This Row],[Weight]:[Weight]]-(Table261424[[#This Row],[Weight]:[Weight]]*((_xlfn.XMATCH(Table261424[[#This Row],[11]],Table261424[[#This Row],[1]:[11]],0))-1)/(COUNTA(Table261424[[#This Row],[1]:[11]])-COUNTBLANK(Table261424[[#This Row],[1]:[11]])-1)))</f>
        <v/>
      </c>
    </row>
    <row r="21" spans="1:36" ht="81" customHeight="1" x14ac:dyDescent="0.2">
      <c r="A21" s="174">
        <v>9</v>
      </c>
      <c r="B21" s="119" t="s">
        <v>224</v>
      </c>
      <c r="C21" s="119" t="s">
        <v>215</v>
      </c>
      <c r="D21" s="119"/>
      <c r="E21" s="146"/>
      <c r="F21" s="146"/>
      <c r="G21" s="121" t="s">
        <v>60</v>
      </c>
      <c r="H21" s="148" cm="1">
        <f t="array" ref="H21">_xlfn.IFS(G21="","",G21="No interest",0,G21="Nice to have",1,G21="Useful",2,G21="Important",3,G21="Very important",4,G21="Critical",5,G21="Show stopper",6)</f>
        <v>6</v>
      </c>
      <c r="I21" s="149">
        <f t="shared" si="1"/>
        <v>4.0983606557377049E-4</v>
      </c>
      <c r="J21" s="150" t="s">
        <v>216</v>
      </c>
      <c r="K21" s="35" t="str" cm="1">
        <f t="array" ref="K21">_xlfn.TEXTJOIN(","&amp;CHAR(10),,TEXT(Table261424[[#This Row],[12]:[22]],"0,00%"))</f>
        <v>0,00%,
0,00%,
0,00%,
0,00%,
0,00%</v>
      </c>
      <c r="L21" s="26"/>
      <c r="M21" s="27" t="e">
        <f>I21-(I21*((MATCH(Table261424[[#This Row],[Evaluators Response (SELECT)]],Table261424[[#This Row],[1]:[11]],0)-1)/(COUNTA(Table261424[[#This Row],[1]:[11]])-COUNTBLANK(Table261424[[#This Row],[1]:[11]])-1)))</f>
        <v>#N/A</v>
      </c>
      <c r="N21" s="28"/>
      <c r="O21" s="29" t="str" cm="1">
        <f t="array" ref="O21">IFERROR(INDEX(_xlfn.UNIQUE(TRIM(_xlfn.TEXTSPLIT(Table261424[[#This Row],[Selection Options]:[Selection Options]],","))),,O$11),"")</f>
        <v>100%: Supported as delivered out of the box</v>
      </c>
      <c r="P21" s="29" t="str" cm="1">
        <f t="array" ref="P21">IFERROR(INDEX(_xlfn.UNIQUE(TRIM(_xlfn.TEXTSPLIT(Table261424[[#This Row],[Selection Options]:[Selection Options]],","))),,P$11),"")</f>
        <v xml:space="preserve">
75%: Supported via modifications (config)</v>
      </c>
      <c r="Q21" s="29" t="str" cm="1">
        <f t="array" ref="Q21">IFERROR(INDEX(_xlfn.UNIQUE(TRIM(_xlfn.TEXTSPLIT(Table261424[[#This Row],[Selection Options]:[Selection Options]],","))),,Q$11),"")</f>
        <v xml:space="preserve">
50%: Supported via a third party solution</v>
      </c>
      <c r="R21" s="29" t="str" cm="1">
        <f t="array" ref="R21">IFERROR(INDEX(_xlfn.UNIQUE(TRIM(_xlfn.TEXTSPLIT(Table261424[[#This Row],[Selection Options]:[Selection Options]],","))),,R$11),"")</f>
        <v xml:space="preserve">
25%: Supported via customisation (source code changes)</v>
      </c>
      <c r="S21" s="29" t="str" cm="1">
        <f t="array" ref="S21">IFERROR(INDEX(_xlfn.UNIQUE(TRIM(_xlfn.TEXTSPLIT(Table261424[[#This Row],[Selection Options]:[Selection Options]],","))),,S$11),"")</f>
        <v xml:space="preserve">
 0%: Not currently supported</v>
      </c>
      <c r="T21" s="29" t="str" cm="1">
        <f t="array" ref="T21">IFERROR(INDEX(_xlfn.UNIQUE(TRIM(_xlfn.TEXTSPLIT(Table261424[[#This Row],[Selection Options]:[Selection Options]],","))),,T$11),"")</f>
        <v/>
      </c>
      <c r="U21" s="29" t="str" cm="1">
        <f t="array" ref="U21">IFERROR(INDEX(_xlfn.UNIQUE(TRIM(_xlfn.TEXTSPLIT(Table261424[[#This Row],[Selection Options]:[Selection Options]],","))),,U$11),"")</f>
        <v/>
      </c>
      <c r="V21" s="29" t="str" cm="1">
        <f t="array" ref="V21">IFERROR(INDEX(_xlfn.UNIQUE(TRIM(_xlfn.TEXTSPLIT(Table261424[[#This Row],[Selection Options]:[Selection Options]],","))),,V$11),"")</f>
        <v/>
      </c>
      <c r="W21" s="29" t="str" cm="1">
        <f t="array" ref="W21">IFERROR(INDEX(_xlfn.UNIQUE(TRIM(_xlfn.TEXTSPLIT(Table261424[[#This Row],[Selection Options]:[Selection Options]],","))),,W$11),"")</f>
        <v/>
      </c>
      <c r="X21" s="29" t="str" cm="1">
        <f t="array" ref="X21">IFERROR(INDEX(_xlfn.UNIQUE(TRIM(_xlfn.TEXTSPLIT(Table261424[[#This Row],[Selection Options]:[Selection Options]],","))),,X$11),"")</f>
        <v/>
      </c>
      <c r="Y21" s="29" t="str" cm="1">
        <f t="array" ref="Y21">IFERROR(INDEX(_xlfn.UNIQUE(TRIM(_xlfn.TEXTSPLIT(Table261424[[#This Row],[Selection Options]:[Selection Options]],","))),,Y$11),"")</f>
        <v/>
      </c>
      <c r="Z21" s="30" cm="1">
        <f t="array" ref="Z21">IF(Table261424[[#This Row],[1]]="","",Table261424[[#This Row],[Weight]:[Weight]]-(Table261424[[#This Row],[Weight]:[Weight]]*((_xlfn.XMATCH(Table261424[[#This Row],[1]],Table261424[[#This Row],[1]:[11]],0))-1)/(COUNTA(Table261424[[#This Row],[1]:[11]])-COUNTBLANK(Table261424[[#This Row],[1]:[11]])-1)))</f>
        <v>4.0983606557377049E-4</v>
      </c>
      <c r="AA21" s="30" cm="1">
        <f t="array" ref="AA21">IF(Table261424[[#This Row],[2]]="","",Table261424[[#This Row],[Weight]:[Weight]]-(Table261424[[#This Row],[Weight]:[Weight]]*((_xlfn.XMATCH(Table261424[[#This Row],[2]],Table261424[[#This Row],[1]:[11]],0))-1)/(COUNTA(Table261424[[#This Row],[1]:[11]])-COUNTBLANK(Table261424[[#This Row],[1]:[11]])-1)))</f>
        <v>3.0737704918032784E-4</v>
      </c>
      <c r="AB21" s="30" cm="1">
        <f t="array" ref="AB21">IF(Table261424[[#This Row],[3]]="","",Table261424[[#This Row],[Weight]:[Weight]]-(Table261424[[#This Row],[Weight]:[Weight]]*((_xlfn.XMATCH(Table261424[[#This Row],[3]],Table261424[[#This Row],[1]:[11]],0))-1)/(COUNTA(Table261424[[#This Row],[1]:[11]])-COUNTBLANK(Table261424[[#This Row],[1]:[11]])-1)))</f>
        <v>2.0491803278688525E-4</v>
      </c>
      <c r="AC21" s="30" cm="1">
        <f t="array" ref="AC21">IF(Table261424[[#This Row],[4]]="","",Table261424[[#This Row],[Weight]:[Weight]]-(Table261424[[#This Row],[Weight]:[Weight]]*((_xlfn.XMATCH(Table261424[[#This Row],[4]],Table261424[[#This Row],[1]:[11]],0))-1)/(COUNTA(Table261424[[#This Row],[1]:[11]])-COUNTBLANK(Table261424[[#This Row],[1]:[11]])-1)))</f>
        <v>1.0245901639344265E-4</v>
      </c>
      <c r="AD21" s="30" cm="1">
        <f t="array" ref="AD21">IF(Table261424[[#This Row],[5]]="","",Table261424[[#This Row],[Weight]:[Weight]]-(Table261424[[#This Row],[Weight]:[Weight]]*((_xlfn.XMATCH(Table261424[[#This Row],[5]],Table261424[[#This Row],[1]:[11]],0))-1)/(COUNTA(Table261424[[#This Row],[1]:[11]])-COUNTBLANK(Table261424[[#This Row],[1]:[11]])-1)))</f>
        <v>0</v>
      </c>
      <c r="AE21" s="30" t="str" cm="1">
        <f t="array" ref="AE21">IF(Table261424[[#This Row],[6]]="","",Table261424[[#This Row],[Weight]:[Weight]]-(Table261424[[#This Row],[Weight]:[Weight]]*((_xlfn.XMATCH(Table261424[[#This Row],[6]],Table261424[[#This Row],[1]:[11]],0))-1)/(COUNTA(Table261424[[#This Row],[1]:[11]])-COUNTBLANK(Table261424[[#This Row],[1]:[11]])-1)))</f>
        <v/>
      </c>
      <c r="AF21" s="30" t="str" cm="1">
        <f t="array" ref="AF21">IF(Table261424[[#This Row],[7]]="","",Table261424[[#This Row],[Weight]:[Weight]]-(Table261424[[#This Row],[Weight]:[Weight]]*((_xlfn.XMATCH(Table261424[[#This Row],[7]],Table261424[[#This Row],[1]:[11]],0))-1)/(COUNTA(Table261424[[#This Row],[1]:[11]])-COUNTBLANK(Table261424[[#This Row],[1]:[11]])-1)))</f>
        <v/>
      </c>
      <c r="AG21" s="30" t="str" cm="1">
        <f t="array" ref="AG21">IF(Table261424[[#This Row],[8]]="","",Table261424[[#This Row],[Weight]:[Weight]]-(Table261424[[#This Row],[Weight]:[Weight]]*((_xlfn.XMATCH(Table261424[[#This Row],[8]],Table261424[[#This Row],[1]:[11]],0))-1)/(COUNTA(Table261424[[#This Row],[1]:[11]])-COUNTBLANK(Table261424[[#This Row],[1]:[11]])-1)))</f>
        <v/>
      </c>
      <c r="AH21" s="30" t="str" cm="1">
        <f t="array" ref="AH21">IF(Table261424[[#This Row],[9]]="","",Table261424[[#This Row],[Weight]:[Weight]]-(Table261424[[#This Row],[Weight]:[Weight]]*((_xlfn.XMATCH(Table261424[[#This Row],[9]],Table261424[[#This Row],[1]:[11]],0))-1)/(COUNTA(Table261424[[#This Row],[1]:[11]])-COUNTBLANK(Table261424[[#This Row],[1]:[11]])-1)))</f>
        <v/>
      </c>
      <c r="AI21" s="30" t="str" cm="1">
        <f t="array" ref="AI21">IF(Table261424[[#This Row],[10]]="","",Table261424[[#This Row],[Weight]:[Weight]]-(Table261424[[#This Row],[Weight]:[Weight]]*((_xlfn.XMATCH(Table261424[[#This Row],[10]],Table261424[[#This Row],[1]:[11]],0))-1)/(COUNTA(Table261424[[#This Row],[1]:[11]])-COUNTBLANK(Table261424[[#This Row],[1]:[11]])-1)))</f>
        <v/>
      </c>
      <c r="AJ21" s="30" t="str" cm="1">
        <f t="array" ref="AJ21">IF(Table261424[[#This Row],[11]]="","",Table261424[[#This Row],[Weight]:[Weight]]-(Table261424[[#This Row],[Weight]:[Weight]]*((_xlfn.XMATCH(Table261424[[#This Row],[11]],Table261424[[#This Row],[1]:[11]],0))-1)/(COUNTA(Table261424[[#This Row],[1]:[11]])-COUNTBLANK(Table261424[[#This Row],[1]:[11]])-1)))</f>
        <v/>
      </c>
    </row>
    <row r="22" spans="1:36" ht="75.95" customHeight="1" x14ac:dyDescent="0.2">
      <c r="A22" s="174">
        <v>10</v>
      </c>
      <c r="B22" s="90" t="s">
        <v>225</v>
      </c>
      <c r="C22" s="119" t="s">
        <v>215</v>
      </c>
      <c r="D22" s="119"/>
      <c r="E22" s="146"/>
      <c r="F22" s="146"/>
      <c r="G22" s="120" t="s">
        <v>60</v>
      </c>
      <c r="H22" s="148" cm="1">
        <f t="array" ref="H22">_xlfn.IFS(G22="","",G22="No interest",0,G22="Nice to have",1,G22="Useful",2,G22="Important",3,G22="Very important",4,G22="Critical",5,G22="Show stopper",6)</f>
        <v>6</v>
      </c>
      <c r="I22" s="149">
        <f t="shared" si="1"/>
        <v>4.0983606557377049E-4</v>
      </c>
      <c r="J22" s="150" t="s">
        <v>216</v>
      </c>
      <c r="K22" s="35" t="str" cm="1">
        <f t="array" ref="K22">_xlfn.TEXTJOIN(","&amp;CHAR(10),,TEXT(Table261424[[#This Row],[12]:[22]],"0,00%"))</f>
        <v>0,00%,
0,00%,
0,00%,
0,00%,
0,00%</v>
      </c>
      <c r="L22" s="26"/>
      <c r="M22" s="27" t="e">
        <f>I22-(I22*((MATCH(Table261424[[#This Row],[Evaluators Response (SELECT)]],Table261424[[#This Row],[1]:[11]],0)-1)/(COUNTA(Table261424[[#This Row],[1]:[11]])-COUNTBLANK(Table261424[[#This Row],[1]:[11]])-1)))</f>
        <v>#N/A</v>
      </c>
      <c r="N22" s="28"/>
      <c r="O22" s="29" t="str" cm="1">
        <f t="array" ref="O22">IFERROR(INDEX(_xlfn.UNIQUE(TRIM(_xlfn.TEXTSPLIT(Table261424[[#This Row],[Selection Options]:[Selection Options]],","))),,O$11),"")</f>
        <v>100%: Supported as delivered out of the box</v>
      </c>
      <c r="P22" s="29" t="str" cm="1">
        <f t="array" ref="P22">IFERROR(INDEX(_xlfn.UNIQUE(TRIM(_xlfn.TEXTSPLIT(Table261424[[#This Row],[Selection Options]:[Selection Options]],","))),,P$11),"")</f>
        <v xml:space="preserve">
75%: Supported via modifications (config)</v>
      </c>
      <c r="Q22" s="29" t="str" cm="1">
        <f t="array" ref="Q22">IFERROR(INDEX(_xlfn.UNIQUE(TRIM(_xlfn.TEXTSPLIT(Table261424[[#This Row],[Selection Options]:[Selection Options]],","))),,Q$11),"")</f>
        <v xml:space="preserve">
50%: Supported via a third party solution</v>
      </c>
      <c r="R22" s="29" t="str" cm="1">
        <f t="array" ref="R22">IFERROR(INDEX(_xlfn.UNIQUE(TRIM(_xlfn.TEXTSPLIT(Table261424[[#This Row],[Selection Options]:[Selection Options]],","))),,R$11),"")</f>
        <v xml:space="preserve">
25%: Supported via customisation (source code changes)</v>
      </c>
      <c r="S22" s="29" t="str" cm="1">
        <f t="array" ref="S22">IFERROR(INDEX(_xlfn.UNIQUE(TRIM(_xlfn.TEXTSPLIT(Table261424[[#This Row],[Selection Options]:[Selection Options]],","))),,S$11),"")</f>
        <v xml:space="preserve">
 0%: Not currently supported</v>
      </c>
      <c r="T22" s="29" t="str" cm="1">
        <f t="array" ref="T22">IFERROR(INDEX(_xlfn.UNIQUE(TRIM(_xlfn.TEXTSPLIT(Table261424[[#This Row],[Selection Options]:[Selection Options]],","))),,T$11),"")</f>
        <v/>
      </c>
      <c r="U22" s="29" t="str" cm="1">
        <f t="array" ref="U22">IFERROR(INDEX(_xlfn.UNIQUE(TRIM(_xlfn.TEXTSPLIT(Table261424[[#This Row],[Selection Options]:[Selection Options]],","))),,U$11),"")</f>
        <v/>
      </c>
      <c r="V22" s="29" t="str" cm="1">
        <f t="array" ref="V22">IFERROR(INDEX(_xlfn.UNIQUE(TRIM(_xlfn.TEXTSPLIT(Table261424[[#This Row],[Selection Options]:[Selection Options]],","))),,V$11),"")</f>
        <v/>
      </c>
      <c r="W22" s="29" t="str" cm="1">
        <f t="array" ref="W22">IFERROR(INDEX(_xlfn.UNIQUE(TRIM(_xlfn.TEXTSPLIT(Table261424[[#This Row],[Selection Options]:[Selection Options]],","))),,W$11),"")</f>
        <v/>
      </c>
      <c r="X22" s="29" t="str" cm="1">
        <f t="array" ref="X22">IFERROR(INDEX(_xlfn.UNIQUE(TRIM(_xlfn.TEXTSPLIT(Table261424[[#This Row],[Selection Options]:[Selection Options]],","))),,X$11),"")</f>
        <v/>
      </c>
      <c r="Y22" s="29" t="str" cm="1">
        <f t="array" ref="Y22">IFERROR(INDEX(_xlfn.UNIQUE(TRIM(_xlfn.TEXTSPLIT(Table261424[[#This Row],[Selection Options]:[Selection Options]],","))),,Y$11),"")</f>
        <v/>
      </c>
      <c r="Z22" s="30" cm="1">
        <f t="array" ref="Z22">IF(Table261424[[#This Row],[1]]="","",Table261424[[#This Row],[Weight]:[Weight]]-(Table261424[[#This Row],[Weight]:[Weight]]*((_xlfn.XMATCH(Table261424[[#This Row],[1]],Table261424[[#This Row],[1]:[11]],0))-1)/(COUNTA(Table261424[[#This Row],[1]:[11]])-COUNTBLANK(Table261424[[#This Row],[1]:[11]])-1)))</f>
        <v>4.0983606557377049E-4</v>
      </c>
      <c r="AA22" s="30" cm="1">
        <f t="array" ref="AA22">IF(Table261424[[#This Row],[2]]="","",Table261424[[#This Row],[Weight]:[Weight]]-(Table261424[[#This Row],[Weight]:[Weight]]*((_xlfn.XMATCH(Table261424[[#This Row],[2]],Table261424[[#This Row],[1]:[11]],0))-1)/(COUNTA(Table261424[[#This Row],[1]:[11]])-COUNTBLANK(Table261424[[#This Row],[1]:[11]])-1)))</f>
        <v>3.0737704918032784E-4</v>
      </c>
      <c r="AB22" s="30" cm="1">
        <f t="array" ref="AB22">IF(Table261424[[#This Row],[3]]="","",Table261424[[#This Row],[Weight]:[Weight]]-(Table261424[[#This Row],[Weight]:[Weight]]*((_xlfn.XMATCH(Table261424[[#This Row],[3]],Table261424[[#This Row],[1]:[11]],0))-1)/(COUNTA(Table261424[[#This Row],[1]:[11]])-COUNTBLANK(Table261424[[#This Row],[1]:[11]])-1)))</f>
        <v>2.0491803278688525E-4</v>
      </c>
      <c r="AC22" s="30" cm="1">
        <f t="array" ref="AC22">IF(Table261424[[#This Row],[4]]="","",Table261424[[#This Row],[Weight]:[Weight]]-(Table261424[[#This Row],[Weight]:[Weight]]*((_xlfn.XMATCH(Table261424[[#This Row],[4]],Table261424[[#This Row],[1]:[11]],0))-1)/(COUNTA(Table261424[[#This Row],[1]:[11]])-COUNTBLANK(Table261424[[#This Row],[1]:[11]])-1)))</f>
        <v>1.0245901639344265E-4</v>
      </c>
      <c r="AD22" s="30" cm="1">
        <f t="array" ref="AD22">IF(Table261424[[#This Row],[5]]="","",Table261424[[#This Row],[Weight]:[Weight]]-(Table261424[[#This Row],[Weight]:[Weight]]*((_xlfn.XMATCH(Table261424[[#This Row],[5]],Table261424[[#This Row],[1]:[11]],0))-1)/(COUNTA(Table261424[[#This Row],[1]:[11]])-COUNTBLANK(Table261424[[#This Row],[1]:[11]])-1)))</f>
        <v>0</v>
      </c>
      <c r="AE22" s="30" t="str" cm="1">
        <f t="array" ref="AE22">IF(Table261424[[#This Row],[6]]="","",Table261424[[#This Row],[Weight]:[Weight]]-(Table261424[[#This Row],[Weight]:[Weight]]*((_xlfn.XMATCH(Table261424[[#This Row],[6]],Table261424[[#This Row],[1]:[11]],0))-1)/(COUNTA(Table261424[[#This Row],[1]:[11]])-COUNTBLANK(Table261424[[#This Row],[1]:[11]])-1)))</f>
        <v/>
      </c>
      <c r="AF22" s="30" t="str" cm="1">
        <f t="array" ref="AF22">IF(Table261424[[#This Row],[7]]="","",Table261424[[#This Row],[Weight]:[Weight]]-(Table261424[[#This Row],[Weight]:[Weight]]*((_xlfn.XMATCH(Table261424[[#This Row],[7]],Table261424[[#This Row],[1]:[11]],0))-1)/(COUNTA(Table261424[[#This Row],[1]:[11]])-COUNTBLANK(Table261424[[#This Row],[1]:[11]])-1)))</f>
        <v/>
      </c>
      <c r="AG22" s="30" t="str" cm="1">
        <f t="array" ref="AG22">IF(Table261424[[#This Row],[8]]="","",Table261424[[#This Row],[Weight]:[Weight]]-(Table261424[[#This Row],[Weight]:[Weight]]*((_xlfn.XMATCH(Table261424[[#This Row],[8]],Table261424[[#This Row],[1]:[11]],0))-1)/(COUNTA(Table261424[[#This Row],[1]:[11]])-COUNTBLANK(Table261424[[#This Row],[1]:[11]])-1)))</f>
        <v/>
      </c>
      <c r="AH22" s="30" t="str" cm="1">
        <f t="array" ref="AH22">IF(Table261424[[#This Row],[9]]="","",Table261424[[#This Row],[Weight]:[Weight]]-(Table261424[[#This Row],[Weight]:[Weight]]*((_xlfn.XMATCH(Table261424[[#This Row],[9]],Table261424[[#This Row],[1]:[11]],0))-1)/(COUNTA(Table261424[[#This Row],[1]:[11]])-COUNTBLANK(Table261424[[#This Row],[1]:[11]])-1)))</f>
        <v/>
      </c>
      <c r="AI22" s="30" t="str" cm="1">
        <f t="array" ref="AI22">IF(Table261424[[#This Row],[10]]="","",Table261424[[#This Row],[Weight]:[Weight]]-(Table261424[[#This Row],[Weight]:[Weight]]*((_xlfn.XMATCH(Table261424[[#This Row],[10]],Table261424[[#This Row],[1]:[11]],0))-1)/(COUNTA(Table261424[[#This Row],[1]:[11]])-COUNTBLANK(Table261424[[#This Row],[1]:[11]])-1)))</f>
        <v/>
      </c>
      <c r="AJ22" s="30" t="str" cm="1">
        <f t="array" ref="AJ22">IF(Table261424[[#This Row],[11]]="","",Table261424[[#This Row],[Weight]:[Weight]]-(Table261424[[#This Row],[Weight]:[Weight]]*((_xlfn.XMATCH(Table261424[[#This Row],[11]],Table261424[[#This Row],[1]:[11]],0))-1)/(COUNTA(Table261424[[#This Row],[1]:[11]])-COUNTBLANK(Table261424[[#This Row],[1]:[11]])-1)))</f>
        <v/>
      </c>
    </row>
    <row r="23" spans="1:36" ht="76.5" customHeight="1" x14ac:dyDescent="0.2">
      <c r="A23" s="174">
        <v>11</v>
      </c>
      <c r="B23" s="90" t="s">
        <v>226</v>
      </c>
      <c r="C23" s="119" t="s">
        <v>215</v>
      </c>
      <c r="D23" s="119"/>
      <c r="E23" s="146"/>
      <c r="F23" s="146"/>
      <c r="G23" s="120" t="s">
        <v>60</v>
      </c>
      <c r="H23" s="148" cm="1">
        <f t="array" ref="H23">_xlfn.IFS(G23="","",G23="No interest",0,G23="Nice to have",1,G23="Useful",2,G23="Important",3,G23="Very important",4,G23="Critical",5,G23="Show stopper",6)</f>
        <v>6</v>
      </c>
      <c r="I23" s="149">
        <f t="shared" si="1"/>
        <v>4.0983606557377049E-4</v>
      </c>
      <c r="J23" s="150" t="s">
        <v>216</v>
      </c>
      <c r="K23" s="35" t="str" cm="1">
        <f t="array" ref="K23">_xlfn.TEXTJOIN(","&amp;CHAR(10),,TEXT(Table261424[[#This Row],[12]:[22]],"0,00%"))</f>
        <v>0,00%,
0,00%,
0,00%,
0,00%,
0,00%</v>
      </c>
      <c r="L23" s="26"/>
      <c r="M23" s="27" t="e">
        <f>I23-(I23*((MATCH(Table261424[[#This Row],[Evaluators Response (SELECT)]],Table261424[[#This Row],[1]:[11]],0)-1)/(COUNTA(Table261424[[#This Row],[1]:[11]])-COUNTBLANK(Table261424[[#This Row],[1]:[11]])-1)))</f>
        <v>#N/A</v>
      </c>
      <c r="N23" s="28"/>
      <c r="O23" s="29" t="str" cm="1">
        <f t="array" ref="O23">IFERROR(INDEX(_xlfn.UNIQUE(TRIM(_xlfn.TEXTSPLIT(Table261424[[#This Row],[Selection Options]:[Selection Options]],","))),,O$11),"")</f>
        <v>100%: Supported as delivered out of the box</v>
      </c>
      <c r="P23" s="29" t="str" cm="1">
        <f t="array" ref="P23">IFERROR(INDEX(_xlfn.UNIQUE(TRIM(_xlfn.TEXTSPLIT(Table261424[[#This Row],[Selection Options]:[Selection Options]],","))),,P$11),"")</f>
        <v xml:space="preserve">
75%: Supported via modifications (config)</v>
      </c>
      <c r="Q23" s="29" t="str" cm="1">
        <f t="array" ref="Q23">IFERROR(INDEX(_xlfn.UNIQUE(TRIM(_xlfn.TEXTSPLIT(Table261424[[#This Row],[Selection Options]:[Selection Options]],","))),,Q$11),"")</f>
        <v xml:space="preserve">
50%: Supported via a third party solution</v>
      </c>
      <c r="R23" s="29" t="str" cm="1">
        <f t="array" ref="R23">IFERROR(INDEX(_xlfn.UNIQUE(TRIM(_xlfn.TEXTSPLIT(Table261424[[#This Row],[Selection Options]:[Selection Options]],","))),,R$11),"")</f>
        <v xml:space="preserve">
25%: Supported via customisation (source code changes)</v>
      </c>
      <c r="S23" s="29" t="str" cm="1">
        <f t="array" ref="S23">IFERROR(INDEX(_xlfn.UNIQUE(TRIM(_xlfn.TEXTSPLIT(Table261424[[#This Row],[Selection Options]:[Selection Options]],","))),,S$11),"")</f>
        <v xml:space="preserve">
 0%: Not currently supported</v>
      </c>
      <c r="T23" s="29" t="str" cm="1">
        <f t="array" ref="T23">IFERROR(INDEX(_xlfn.UNIQUE(TRIM(_xlfn.TEXTSPLIT(Table261424[[#This Row],[Selection Options]:[Selection Options]],","))),,T$11),"")</f>
        <v/>
      </c>
      <c r="U23" s="29" t="str" cm="1">
        <f t="array" ref="U23">IFERROR(INDEX(_xlfn.UNIQUE(TRIM(_xlfn.TEXTSPLIT(Table261424[[#This Row],[Selection Options]:[Selection Options]],","))),,U$11),"")</f>
        <v/>
      </c>
      <c r="V23" s="29" t="str" cm="1">
        <f t="array" ref="V23">IFERROR(INDEX(_xlfn.UNIQUE(TRIM(_xlfn.TEXTSPLIT(Table261424[[#This Row],[Selection Options]:[Selection Options]],","))),,V$11),"")</f>
        <v/>
      </c>
      <c r="W23" s="29" t="str" cm="1">
        <f t="array" ref="W23">IFERROR(INDEX(_xlfn.UNIQUE(TRIM(_xlfn.TEXTSPLIT(Table261424[[#This Row],[Selection Options]:[Selection Options]],","))),,W$11),"")</f>
        <v/>
      </c>
      <c r="X23" s="29" t="str" cm="1">
        <f t="array" ref="X23">IFERROR(INDEX(_xlfn.UNIQUE(TRIM(_xlfn.TEXTSPLIT(Table261424[[#This Row],[Selection Options]:[Selection Options]],","))),,X$11),"")</f>
        <v/>
      </c>
      <c r="Y23" s="29" t="str" cm="1">
        <f t="array" ref="Y23">IFERROR(INDEX(_xlfn.UNIQUE(TRIM(_xlfn.TEXTSPLIT(Table261424[[#This Row],[Selection Options]:[Selection Options]],","))),,Y$11),"")</f>
        <v/>
      </c>
      <c r="Z23" s="30" cm="1">
        <f t="array" ref="Z23">IF(Table261424[[#This Row],[1]]="","",Table261424[[#This Row],[Weight]:[Weight]]-(Table261424[[#This Row],[Weight]:[Weight]]*((_xlfn.XMATCH(Table261424[[#This Row],[1]],Table261424[[#This Row],[1]:[11]],0))-1)/(COUNTA(Table261424[[#This Row],[1]:[11]])-COUNTBLANK(Table261424[[#This Row],[1]:[11]])-1)))</f>
        <v>4.0983606557377049E-4</v>
      </c>
      <c r="AA23" s="30" cm="1">
        <f t="array" ref="AA23">IF(Table261424[[#This Row],[2]]="","",Table261424[[#This Row],[Weight]:[Weight]]-(Table261424[[#This Row],[Weight]:[Weight]]*((_xlfn.XMATCH(Table261424[[#This Row],[2]],Table261424[[#This Row],[1]:[11]],0))-1)/(COUNTA(Table261424[[#This Row],[1]:[11]])-COUNTBLANK(Table261424[[#This Row],[1]:[11]])-1)))</f>
        <v>3.0737704918032784E-4</v>
      </c>
      <c r="AB23" s="30" cm="1">
        <f t="array" ref="AB23">IF(Table261424[[#This Row],[3]]="","",Table261424[[#This Row],[Weight]:[Weight]]-(Table261424[[#This Row],[Weight]:[Weight]]*((_xlfn.XMATCH(Table261424[[#This Row],[3]],Table261424[[#This Row],[1]:[11]],0))-1)/(COUNTA(Table261424[[#This Row],[1]:[11]])-COUNTBLANK(Table261424[[#This Row],[1]:[11]])-1)))</f>
        <v>2.0491803278688525E-4</v>
      </c>
      <c r="AC23" s="30" cm="1">
        <f t="array" ref="AC23">IF(Table261424[[#This Row],[4]]="","",Table261424[[#This Row],[Weight]:[Weight]]-(Table261424[[#This Row],[Weight]:[Weight]]*((_xlfn.XMATCH(Table261424[[#This Row],[4]],Table261424[[#This Row],[1]:[11]],0))-1)/(COUNTA(Table261424[[#This Row],[1]:[11]])-COUNTBLANK(Table261424[[#This Row],[1]:[11]])-1)))</f>
        <v>1.0245901639344265E-4</v>
      </c>
      <c r="AD23" s="30" cm="1">
        <f t="array" ref="AD23">IF(Table261424[[#This Row],[5]]="","",Table261424[[#This Row],[Weight]:[Weight]]-(Table261424[[#This Row],[Weight]:[Weight]]*((_xlfn.XMATCH(Table261424[[#This Row],[5]],Table261424[[#This Row],[1]:[11]],0))-1)/(COUNTA(Table261424[[#This Row],[1]:[11]])-COUNTBLANK(Table261424[[#This Row],[1]:[11]])-1)))</f>
        <v>0</v>
      </c>
      <c r="AE23" s="30" t="str" cm="1">
        <f t="array" ref="AE23">IF(Table261424[[#This Row],[6]]="","",Table261424[[#This Row],[Weight]:[Weight]]-(Table261424[[#This Row],[Weight]:[Weight]]*((_xlfn.XMATCH(Table261424[[#This Row],[6]],Table261424[[#This Row],[1]:[11]],0))-1)/(COUNTA(Table261424[[#This Row],[1]:[11]])-COUNTBLANK(Table261424[[#This Row],[1]:[11]])-1)))</f>
        <v/>
      </c>
      <c r="AF23" s="30" t="str" cm="1">
        <f t="array" ref="AF23">IF(Table261424[[#This Row],[7]]="","",Table261424[[#This Row],[Weight]:[Weight]]-(Table261424[[#This Row],[Weight]:[Weight]]*((_xlfn.XMATCH(Table261424[[#This Row],[7]],Table261424[[#This Row],[1]:[11]],0))-1)/(COUNTA(Table261424[[#This Row],[1]:[11]])-COUNTBLANK(Table261424[[#This Row],[1]:[11]])-1)))</f>
        <v/>
      </c>
      <c r="AG23" s="30" t="str" cm="1">
        <f t="array" ref="AG23">IF(Table261424[[#This Row],[8]]="","",Table261424[[#This Row],[Weight]:[Weight]]-(Table261424[[#This Row],[Weight]:[Weight]]*((_xlfn.XMATCH(Table261424[[#This Row],[8]],Table261424[[#This Row],[1]:[11]],0))-1)/(COUNTA(Table261424[[#This Row],[1]:[11]])-COUNTBLANK(Table261424[[#This Row],[1]:[11]])-1)))</f>
        <v/>
      </c>
      <c r="AH23" s="30" t="str" cm="1">
        <f t="array" ref="AH23">IF(Table261424[[#This Row],[9]]="","",Table261424[[#This Row],[Weight]:[Weight]]-(Table261424[[#This Row],[Weight]:[Weight]]*((_xlfn.XMATCH(Table261424[[#This Row],[9]],Table261424[[#This Row],[1]:[11]],0))-1)/(COUNTA(Table261424[[#This Row],[1]:[11]])-COUNTBLANK(Table261424[[#This Row],[1]:[11]])-1)))</f>
        <v/>
      </c>
      <c r="AI23" s="30" t="str" cm="1">
        <f t="array" ref="AI23">IF(Table261424[[#This Row],[10]]="","",Table261424[[#This Row],[Weight]:[Weight]]-(Table261424[[#This Row],[Weight]:[Weight]]*((_xlfn.XMATCH(Table261424[[#This Row],[10]],Table261424[[#This Row],[1]:[11]],0))-1)/(COUNTA(Table261424[[#This Row],[1]:[11]])-COUNTBLANK(Table261424[[#This Row],[1]:[11]])-1)))</f>
        <v/>
      </c>
      <c r="AJ23" s="30" t="str" cm="1">
        <f t="array" ref="AJ23">IF(Table261424[[#This Row],[11]]="","",Table261424[[#This Row],[Weight]:[Weight]]-(Table261424[[#This Row],[Weight]:[Weight]]*((_xlfn.XMATCH(Table261424[[#This Row],[11]],Table261424[[#This Row],[1]:[11]],0))-1)/(COUNTA(Table261424[[#This Row],[1]:[11]])-COUNTBLANK(Table261424[[#This Row],[1]:[11]])-1)))</f>
        <v/>
      </c>
    </row>
    <row r="24" spans="1:36" ht="82.5" customHeight="1" x14ac:dyDescent="0.2">
      <c r="A24" s="174">
        <v>12</v>
      </c>
      <c r="B24" s="90" t="s">
        <v>227</v>
      </c>
      <c r="C24" s="119" t="s">
        <v>215</v>
      </c>
      <c r="D24" s="119"/>
      <c r="E24" s="146"/>
      <c r="F24" s="146"/>
      <c r="G24" s="120" t="s">
        <v>60</v>
      </c>
      <c r="H24" s="148" cm="1">
        <f t="array" ref="H24">_xlfn.IFS(G24="","",G24="No interest",0,G24="Nice to have",1,G24="Useful",2,G24="Important",3,G24="Very important",4,G24="Critical",5,G24="Show stopper",6)</f>
        <v>6</v>
      </c>
      <c r="I24" s="149">
        <f t="shared" si="1"/>
        <v>4.0983606557377049E-4</v>
      </c>
      <c r="J24" s="150" t="s">
        <v>216</v>
      </c>
      <c r="K24" s="35" t="str" cm="1">
        <f t="array" ref="K24">_xlfn.TEXTJOIN(","&amp;CHAR(10),,TEXT(Table261424[[#This Row],[12]:[22]],"0,00%"))</f>
        <v>0,00%,
0,00%,
0,00%,
0,00%,
0,00%</v>
      </c>
      <c r="L24" s="26"/>
      <c r="M24" s="27" t="e">
        <f>I24-(I24*((MATCH(Table261424[[#This Row],[Evaluators Response (SELECT)]],Table261424[[#This Row],[1]:[11]],0)-1)/(COUNTA(Table261424[[#This Row],[1]:[11]])-COUNTBLANK(Table261424[[#This Row],[1]:[11]])-1)))</f>
        <v>#N/A</v>
      </c>
      <c r="N24" s="28"/>
      <c r="O24" s="29" t="str" cm="1">
        <f t="array" ref="O24">IFERROR(INDEX(_xlfn.UNIQUE(TRIM(_xlfn.TEXTSPLIT(Table261424[[#This Row],[Selection Options]:[Selection Options]],","))),,O$11),"")</f>
        <v>100%: Supported as delivered out of the box</v>
      </c>
      <c r="P24" s="29" t="str" cm="1">
        <f t="array" ref="P24">IFERROR(INDEX(_xlfn.UNIQUE(TRIM(_xlfn.TEXTSPLIT(Table261424[[#This Row],[Selection Options]:[Selection Options]],","))),,P$11),"")</f>
        <v xml:space="preserve">
75%: Supported via modifications (config)</v>
      </c>
      <c r="Q24" s="29" t="str" cm="1">
        <f t="array" ref="Q24">IFERROR(INDEX(_xlfn.UNIQUE(TRIM(_xlfn.TEXTSPLIT(Table261424[[#This Row],[Selection Options]:[Selection Options]],","))),,Q$11),"")</f>
        <v xml:space="preserve">
50%: Supported via a third party solution</v>
      </c>
      <c r="R24" s="29" t="str" cm="1">
        <f t="array" ref="R24">IFERROR(INDEX(_xlfn.UNIQUE(TRIM(_xlfn.TEXTSPLIT(Table261424[[#This Row],[Selection Options]:[Selection Options]],","))),,R$11),"")</f>
        <v xml:space="preserve">
25%: Supported via customisation (source code changes)</v>
      </c>
      <c r="S24" s="29" t="str" cm="1">
        <f t="array" ref="S24">IFERROR(INDEX(_xlfn.UNIQUE(TRIM(_xlfn.TEXTSPLIT(Table261424[[#This Row],[Selection Options]:[Selection Options]],","))),,S$11),"")</f>
        <v xml:space="preserve">
 0%: Not currently supported</v>
      </c>
      <c r="T24" s="29" t="str" cm="1">
        <f t="array" ref="T24">IFERROR(INDEX(_xlfn.UNIQUE(TRIM(_xlfn.TEXTSPLIT(Table261424[[#This Row],[Selection Options]:[Selection Options]],","))),,T$11),"")</f>
        <v/>
      </c>
      <c r="U24" s="29" t="str" cm="1">
        <f t="array" ref="U24">IFERROR(INDEX(_xlfn.UNIQUE(TRIM(_xlfn.TEXTSPLIT(Table261424[[#This Row],[Selection Options]:[Selection Options]],","))),,U$11),"")</f>
        <v/>
      </c>
      <c r="V24" s="29" t="str" cm="1">
        <f t="array" ref="V24">IFERROR(INDEX(_xlfn.UNIQUE(TRIM(_xlfn.TEXTSPLIT(Table261424[[#This Row],[Selection Options]:[Selection Options]],","))),,V$11),"")</f>
        <v/>
      </c>
      <c r="W24" s="29" t="str" cm="1">
        <f t="array" ref="W24">IFERROR(INDEX(_xlfn.UNIQUE(TRIM(_xlfn.TEXTSPLIT(Table261424[[#This Row],[Selection Options]:[Selection Options]],","))),,W$11),"")</f>
        <v/>
      </c>
      <c r="X24" s="29" t="str" cm="1">
        <f t="array" ref="X24">IFERROR(INDEX(_xlfn.UNIQUE(TRIM(_xlfn.TEXTSPLIT(Table261424[[#This Row],[Selection Options]:[Selection Options]],","))),,X$11),"")</f>
        <v/>
      </c>
      <c r="Y24" s="29" t="str" cm="1">
        <f t="array" ref="Y24">IFERROR(INDEX(_xlfn.UNIQUE(TRIM(_xlfn.TEXTSPLIT(Table261424[[#This Row],[Selection Options]:[Selection Options]],","))),,Y$11),"")</f>
        <v/>
      </c>
      <c r="Z24" s="30" cm="1">
        <f t="array" ref="Z24">IF(Table261424[[#This Row],[1]]="","",Table261424[[#This Row],[Weight]:[Weight]]-(Table261424[[#This Row],[Weight]:[Weight]]*((_xlfn.XMATCH(Table261424[[#This Row],[1]],Table261424[[#This Row],[1]:[11]],0))-1)/(COUNTA(Table261424[[#This Row],[1]:[11]])-COUNTBLANK(Table261424[[#This Row],[1]:[11]])-1)))</f>
        <v>4.0983606557377049E-4</v>
      </c>
      <c r="AA24" s="30" cm="1">
        <f t="array" ref="AA24">IF(Table261424[[#This Row],[2]]="","",Table261424[[#This Row],[Weight]:[Weight]]-(Table261424[[#This Row],[Weight]:[Weight]]*((_xlfn.XMATCH(Table261424[[#This Row],[2]],Table261424[[#This Row],[1]:[11]],0))-1)/(COUNTA(Table261424[[#This Row],[1]:[11]])-COUNTBLANK(Table261424[[#This Row],[1]:[11]])-1)))</f>
        <v>3.0737704918032784E-4</v>
      </c>
      <c r="AB24" s="30" cm="1">
        <f t="array" ref="AB24">IF(Table261424[[#This Row],[3]]="","",Table261424[[#This Row],[Weight]:[Weight]]-(Table261424[[#This Row],[Weight]:[Weight]]*((_xlfn.XMATCH(Table261424[[#This Row],[3]],Table261424[[#This Row],[1]:[11]],0))-1)/(COUNTA(Table261424[[#This Row],[1]:[11]])-COUNTBLANK(Table261424[[#This Row],[1]:[11]])-1)))</f>
        <v>2.0491803278688525E-4</v>
      </c>
      <c r="AC24" s="30" cm="1">
        <f t="array" ref="AC24">IF(Table261424[[#This Row],[4]]="","",Table261424[[#This Row],[Weight]:[Weight]]-(Table261424[[#This Row],[Weight]:[Weight]]*((_xlfn.XMATCH(Table261424[[#This Row],[4]],Table261424[[#This Row],[1]:[11]],0))-1)/(COUNTA(Table261424[[#This Row],[1]:[11]])-COUNTBLANK(Table261424[[#This Row],[1]:[11]])-1)))</f>
        <v>1.0245901639344265E-4</v>
      </c>
      <c r="AD24" s="30" cm="1">
        <f t="array" ref="AD24">IF(Table261424[[#This Row],[5]]="","",Table261424[[#This Row],[Weight]:[Weight]]-(Table261424[[#This Row],[Weight]:[Weight]]*((_xlfn.XMATCH(Table261424[[#This Row],[5]],Table261424[[#This Row],[1]:[11]],0))-1)/(COUNTA(Table261424[[#This Row],[1]:[11]])-COUNTBLANK(Table261424[[#This Row],[1]:[11]])-1)))</f>
        <v>0</v>
      </c>
      <c r="AE24" s="30" t="str" cm="1">
        <f t="array" ref="AE24">IF(Table261424[[#This Row],[6]]="","",Table261424[[#This Row],[Weight]:[Weight]]-(Table261424[[#This Row],[Weight]:[Weight]]*((_xlfn.XMATCH(Table261424[[#This Row],[6]],Table261424[[#This Row],[1]:[11]],0))-1)/(COUNTA(Table261424[[#This Row],[1]:[11]])-COUNTBLANK(Table261424[[#This Row],[1]:[11]])-1)))</f>
        <v/>
      </c>
      <c r="AF24" s="30" t="str" cm="1">
        <f t="array" ref="AF24">IF(Table261424[[#This Row],[7]]="","",Table261424[[#This Row],[Weight]:[Weight]]-(Table261424[[#This Row],[Weight]:[Weight]]*((_xlfn.XMATCH(Table261424[[#This Row],[7]],Table261424[[#This Row],[1]:[11]],0))-1)/(COUNTA(Table261424[[#This Row],[1]:[11]])-COUNTBLANK(Table261424[[#This Row],[1]:[11]])-1)))</f>
        <v/>
      </c>
      <c r="AG24" s="30" t="str" cm="1">
        <f t="array" ref="AG24">IF(Table261424[[#This Row],[8]]="","",Table261424[[#This Row],[Weight]:[Weight]]-(Table261424[[#This Row],[Weight]:[Weight]]*((_xlfn.XMATCH(Table261424[[#This Row],[8]],Table261424[[#This Row],[1]:[11]],0))-1)/(COUNTA(Table261424[[#This Row],[1]:[11]])-COUNTBLANK(Table261424[[#This Row],[1]:[11]])-1)))</f>
        <v/>
      </c>
      <c r="AH24" s="30" t="str" cm="1">
        <f t="array" ref="AH24">IF(Table261424[[#This Row],[9]]="","",Table261424[[#This Row],[Weight]:[Weight]]-(Table261424[[#This Row],[Weight]:[Weight]]*((_xlfn.XMATCH(Table261424[[#This Row],[9]],Table261424[[#This Row],[1]:[11]],0))-1)/(COUNTA(Table261424[[#This Row],[1]:[11]])-COUNTBLANK(Table261424[[#This Row],[1]:[11]])-1)))</f>
        <v/>
      </c>
      <c r="AI24" s="30" t="str" cm="1">
        <f t="array" ref="AI24">IF(Table261424[[#This Row],[10]]="","",Table261424[[#This Row],[Weight]:[Weight]]-(Table261424[[#This Row],[Weight]:[Weight]]*((_xlfn.XMATCH(Table261424[[#This Row],[10]],Table261424[[#This Row],[1]:[11]],0))-1)/(COUNTA(Table261424[[#This Row],[1]:[11]])-COUNTBLANK(Table261424[[#This Row],[1]:[11]])-1)))</f>
        <v/>
      </c>
      <c r="AJ24" s="30" t="str" cm="1">
        <f t="array" ref="AJ24">IF(Table261424[[#This Row],[11]]="","",Table261424[[#This Row],[Weight]:[Weight]]-(Table261424[[#This Row],[Weight]:[Weight]]*((_xlfn.XMATCH(Table261424[[#This Row],[11]],Table261424[[#This Row],[1]:[11]],0))-1)/(COUNTA(Table261424[[#This Row],[1]:[11]])-COUNTBLANK(Table261424[[#This Row],[1]:[11]])-1)))</f>
        <v/>
      </c>
    </row>
    <row r="25" spans="1:36" ht="78.95" customHeight="1" x14ac:dyDescent="0.2">
      <c r="A25" s="174">
        <v>13</v>
      </c>
      <c r="B25" s="90" t="s">
        <v>228</v>
      </c>
      <c r="C25" s="119" t="s">
        <v>215</v>
      </c>
      <c r="D25" s="119"/>
      <c r="E25" s="146"/>
      <c r="F25" s="146"/>
      <c r="G25" s="120" t="s">
        <v>60</v>
      </c>
      <c r="H25" s="148" cm="1">
        <f t="array" ref="H25">_xlfn.IFS(G25="","",G25="No interest",0,G25="Nice to have",1,G25="Useful",2,G25="Important",3,G25="Very important",4,G25="Critical",5,G25="Show stopper",6)</f>
        <v>6</v>
      </c>
      <c r="I25" s="149">
        <f t="shared" si="1"/>
        <v>4.0983606557377049E-4</v>
      </c>
      <c r="J25" s="150" t="s">
        <v>216</v>
      </c>
      <c r="K25" s="35" t="str" cm="1">
        <f t="array" ref="K25">_xlfn.TEXTJOIN(","&amp;CHAR(10),,TEXT(Table261424[[#This Row],[12]:[22]],"0,00%"))</f>
        <v>0,00%,
0,00%,
0,00%,
0,00%,
0,00%</v>
      </c>
      <c r="L25" s="26"/>
      <c r="M25" s="27" t="e">
        <f>I25-(I25*((MATCH(Table261424[[#This Row],[Evaluators Response (SELECT)]],Table261424[[#This Row],[1]:[11]],0)-1)/(COUNTA(Table261424[[#This Row],[1]:[11]])-COUNTBLANK(Table261424[[#This Row],[1]:[11]])-1)))</f>
        <v>#N/A</v>
      </c>
      <c r="N25" s="28"/>
      <c r="O25" s="29" t="str" cm="1">
        <f t="array" ref="O25">IFERROR(INDEX(_xlfn.UNIQUE(TRIM(_xlfn.TEXTSPLIT(Table261424[[#This Row],[Selection Options]:[Selection Options]],","))),,O$11),"")</f>
        <v>100%: Supported as delivered out of the box</v>
      </c>
      <c r="P25" s="29" t="str" cm="1">
        <f t="array" ref="P25">IFERROR(INDEX(_xlfn.UNIQUE(TRIM(_xlfn.TEXTSPLIT(Table261424[[#This Row],[Selection Options]:[Selection Options]],","))),,P$11),"")</f>
        <v xml:space="preserve">
75%: Supported via modifications (config)</v>
      </c>
      <c r="Q25" s="29" t="str" cm="1">
        <f t="array" ref="Q25">IFERROR(INDEX(_xlfn.UNIQUE(TRIM(_xlfn.TEXTSPLIT(Table261424[[#This Row],[Selection Options]:[Selection Options]],","))),,Q$11),"")</f>
        <v xml:space="preserve">
50%: Supported via a third party solution</v>
      </c>
      <c r="R25" s="29" t="str" cm="1">
        <f t="array" ref="R25">IFERROR(INDEX(_xlfn.UNIQUE(TRIM(_xlfn.TEXTSPLIT(Table261424[[#This Row],[Selection Options]:[Selection Options]],","))),,R$11),"")</f>
        <v xml:space="preserve">
25%: Supported via customisation (source code changes)</v>
      </c>
      <c r="S25" s="29" t="str" cm="1">
        <f t="array" ref="S25">IFERROR(INDEX(_xlfn.UNIQUE(TRIM(_xlfn.TEXTSPLIT(Table261424[[#This Row],[Selection Options]:[Selection Options]],","))),,S$11),"")</f>
        <v xml:space="preserve">
 0%: Not currently supported</v>
      </c>
      <c r="T25" s="29" t="str" cm="1">
        <f t="array" ref="T25">IFERROR(INDEX(_xlfn.UNIQUE(TRIM(_xlfn.TEXTSPLIT(Table261424[[#This Row],[Selection Options]:[Selection Options]],","))),,T$11),"")</f>
        <v/>
      </c>
      <c r="U25" s="29" t="str" cm="1">
        <f t="array" ref="U25">IFERROR(INDEX(_xlfn.UNIQUE(TRIM(_xlfn.TEXTSPLIT(Table261424[[#This Row],[Selection Options]:[Selection Options]],","))),,U$11),"")</f>
        <v/>
      </c>
      <c r="V25" s="29" t="str" cm="1">
        <f t="array" ref="V25">IFERROR(INDEX(_xlfn.UNIQUE(TRIM(_xlfn.TEXTSPLIT(Table261424[[#This Row],[Selection Options]:[Selection Options]],","))),,V$11),"")</f>
        <v/>
      </c>
      <c r="W25" s="29" t="str" cm="1">
        <f t="array" ref="W25">IFERROR(INDEX(_xlfn.UNIQUE(TRIM(_xlfn.TEXTSPLIT(Table261424[[#This Row],[Selection Options]:[Selection Options]],","))),,W$11),"")</f>
        <v/>
      </c>
      <c r="X25" s="29" t="str" cm="1">
        <f t="array" ref="X25">IFERROR(INDEX(_xlfn.UNIQUE(TRIM(_xlfn.TEXTSPLIT(Table261424[[#This Row],[Selection Options]:[Selection Options]],","))),,X$11),"")</f>
        <v/>
      </c>
      <c r="Y25" s="29" t="str" cm="1">
        <f t="array" ref="Y25">IFERROR(INDEX(_xlfn.UNIQUE(TRIM(_xlfn.TEXTSPLIT(Table261424[[#This Row],[Selection Options]:[Selection Options]],","))),,Y$11),"")</f>
        <v/>
      </c>
      <c r="Z25" s="30" cm="1">
        <f t="array" ref="Z25">IF(Table261424[[#This Row],[1]]="","",Table261424[[#This Row],[Weight]:[Weight]]-(Table261424[[#This Row],[Weight]:[Weight]]*((_xlfn.XMATCH(Table261424[[#This Row],[1]],Table261424[[#This Row],[1]:[11]],0))-1)/(COUNTA(Table261424[[#This Row],[1]:[11]])-COUNTBLANK(Table261424[[#This Row],[1]:[11]])-1)))</f>
        <v>4.0983606557377049E-4</v>
      </c>
      <c r="AA25" s="30" cm="1">
        <f t="array" ref="AA25">IF(Table261424[[#This Row],[2]]="","",Table261424[[#This Row],[Weight]:[Weight]]-(Table261424[[#This Row],[Weight]:[Weight]]*((_xlfn.XMATCH(Table261424[[#This Row],[2]],Table261424[[#This Row],[1]:[11]],0))-1)/(COUNTA(Table261424[[#This Row],[1]:[11]])-COUNTBLANK(Table261424[[#This Row],[1]:[11]])-1)))</f>
        <v>3.0737704918032784E-4</v>
      </c>
      <c r="AB25" s="30" cm="1">
        <f t="array" ref="AB25">IF(Table261424[[#This Row],[3]]="","",Table261424[[#This Row],[Weight]:[Weight]]-(Table261424[[#This Row],[Weight]:[Weight]]*((_xlfn.XMATCH(Table261424[[#This Row],[3]],Table261424[[#This Row],[1]:[11]],0))-1)/(COUNTA(Table261424[[#This Row],[1]:[11]])-COUNTBLANK(Table261424[[#This Row],[1]:[11]])-1)))</f>
        <v>2.0491803278688525E-4</v>
      </c>
      <c r="AC25" s="30" cm="1">
        <f t="array" ref="AC25">IF(Table261424[[#This Row],[4]]="","",Table261424[[#This Row],[Weight]:[Weight]]-(Table261424[[#This Row],[Weight]:[Weight]]*((_xlfn.XMATCH(Table261424[[#This Row],[4]],Table261424[[#This Row],[1]:[11]],0))-1)/(COUNTA(Table261424[[#This Row],[1]:[11]])-COUNTBLANK(Table261424[[#This Row],[1]:[11]])-1)))</f>
        <v>1.0245901639344265E-4</v>
      </c>
      <c r="AD25" s="30" cm="1">
        <f t="array" ref="AD25">IF(Table261424[[#This Row],[5]]="","",Table261424[[#This Row],[Weight]:[Weight]]-(Table261424[[#This Row],[Weight]:[Weight]]*((_xlfn.XMATCH(Table261424[[#This Row],[5]],Table261424[[#This Row],[1]:[11]],0))-1)/(COUNTA(Table261424[[#This Row],[1]:[11]])-COUNTBLANK(Table261424[[#This Row],[1]:[11]])-1)))</f>
        <v>0</v>
      </c>
      <c r="AE25" s="30" t="str" cm="1">
        <f t="array" ref="AE25">IF(Table261424[[#This Row],[6]]="","",Table261424[[#This Row],[Weight]:[Weight]]-(Table261424[[#This Row],[Weight]:[Weight]]*((_xlfn.XMATCH(Table261424[[#This Row],[6]],Table261424[[#This Row],[1]:[11]],0))-1)/(COUNTA(Table261424[[#This Row],[1]:[11]])-COUNTBLANK(Table261424[[#This Row],[1]:[11]])-1)))</f>
        <v/>
      </c>
      <c r="AF25" s="30" t="str" cm="1">
        <f t="array" ref="AF25">IF(Table261424[[#This Row],[7]]="","",Table261424[[#This Row],[Weight]:[Weight]]-(Table261424[[#This Row],[Weight]:[Weight]]*((_xlfn.XMATCH(Table261424[[#This Row],[7]],Table261424[[#This Row],[1]:[11]],0))-1)/(COUNTA(Table261424[[#This Row],[1]:[11]])-COUNTBLANK(Table261424[[#This Row],[1]:[11]])-1)))</f>
        <v/>
      </c>
      <c r="AG25" s="30" t="str" cm="1">
        <f t="array" ref="AG25">IF(Table261424[[#This Row],[8]]="","",Table261424[[#This Row],[Weight]:[Weight]]-(Table261424[[#This Row],[Weight]:[Weight]]*((_xlfn.XMATCH(Table261424[[#This Row],[8]],Table261424[[#This Row],[1]:[11]],0))-1)/(COUNTA(Table261424[[#This Row],[1]:[11]])-COUNTBLANK(Table261424[[#This Row],[1]:[11]])-1)))</f>
        <v/>
      </c>
      <c r="AH25" s="30" t="str" cm="1">
        <f t="array" ref="AH25">IF(Table261424[[#This Row],[9]]="","",Table261424[[#This Row],[Weight]:[Weight]]-(Table261424[[#This Row],[Weight]:[Weight]]*((_xlfn.XMATCH(Table261424[[#This Row],[9]],Table261424[[#This Row],[1]:[11]],0))-1)/(COUNTA(Table261424[[#This Row],[1]:[11]])-COUNTBLANK(Table261424[[#This Row],[1]:[11]])-1)))</f>
        <v/>
      </c>
      <c r="AI25" s="30" t="str" cm="1">
        <f t="array" ref="AI25">IF(Table261424[[#This Row],[10]]="","",Table261424[[#This Row],[Weight]:[Weight]]-(Table261424[[#This Row],[Weight]:[Weight]]*((_xlfn.XMATCH(Table261424[[#This Row],[10]],Table261424[[#This Row],[1]:[11]],0))-1)/(COUNTA(Table261424[[#This Row],[1]:[11]])-COUNTBLANK(Table261424[[#This Row],[1]:[11]])-1)))</f>
        <v/>
      </c>
      <c r="AJ25" s="30" t="str" cm="1">
        <f t="array" ref="AJ25">IF(Table261424[[#This Row],[11]]="","",Table261424[[#This Row],[Weight]:[Weight]]-(Table261424[[#This Row],[Weight]:[Weight]]*((_xlfn.XMATCH(Table261424[[#This Row],[11]],Table261424[[#This Row],[1]:[11]],0))-1)/(COUNTA(Table261424[[#This Row],[1]:[11]])-COUNTBLANK(Table261424[[#This Row],[1]:[11]])-1)))</f>
        <v/>
      </c>
    </row>
    <row r="26" spans="1:36" ht="72" x14ac:dyDescent="0.2">
      <c r="A26" s="174">
        <v>14</v>
      </c>
      <c r="B26" s="168" t="s">
        <v>229</v>
      </c>
      <c r="C26" s="119" t="s">
        <v>215</v>
      </c>
      <c r="D26" s="119"/>
      <c r="E26" s="146"/>
      <c r="F26" s="146"/>
      <c r="G26" s="120" t="s">
        <v>60</v>
      </c>
      <c r="H26" s="148" cm="1">
        <f t="array" ref="H26">_xlfn.IFS(G26="","",G26="No interest",0,G26="Nice to have",1,G26="Useful",2,G26="Important",3,G26="Very important",4,G26="Critical",5,G26="Show stopper",6)</f>
        <v>6</v>
      </c>
      <c r="I26" s="149">
        <f t="shared" si="1"/>
        <v>4.0983606557377049E-4</v>
      </c>
      <c r="J26" s="150" t="s">
        <v>216</v>
      </c>
      <c r="K26" s="35" t="str" cm="1">
        <f t="array" ref="K26">_xlfn.TEXTJOIN(","&amp;CHAR(10),,TEXT(Table261424[[#This Row],[12]:[22]],"0,00%"))</f>
        <v>0,00%,
0,00%,
0,00%,
0,00%,
0,00%</v>
      </c>
      <c r="L26" s="26"/>
      <c r="M26" s="27" t="e">
        <f>I26-(I26*((MATCH(Table261424[[#This Row],[Evaluators Response (SELECT)]],Table261424[[#This Row],[1]:[11]],0)-1)/(COUNTA(Table261424[[#This Row],[1]:[11]])-COUNTBLANK(Table261424[[#This Row],[1]:[11]])-1)))</f>
        <v>#N/A</v>
      </c>
      <c r="N26" s="28"/>
      <c r="O26" s="29" t="str" cm="1">
        <f t="array" ref="O26">IFERROR(INDEX(_xlfn.UNIQUE(TRIM(_xlfn.TEXTSPLIT(Table261424[[#This Row],[Selection Options]:[Selection Options]],","))),,O$11),"")</f>
        <v>100%: Supported as delivered out of the box</v>
      </c>
      <c r="P26" s="29" t="str" cm="1">
        <f t="array" ref="P26">IFERROR(INDEX(_xlfn.UNIQUE(TRIM(_xlfn.TEXTSPLIT(Table261424[[#This Row],[Selection Options]:[Selection Options]],","))),,P$11),"")</f>
        <v xml:space="preserve">
75%: Supported via modifications (config)</v>
      </c>
      <c r="Q26" s="29" t="str" cm="1">
        <f t="array" ref="Q26">IFERROR(INDEX(_xlfn.UNIQUE(TRIM(_xlfn.TEXTSPLIT(Table261424[[#This Row],[Selection Options]:[Selection Options]],","))),,Q$11),"")</f>
        <v xml:space="preserve">
50%: Supported via a third party solution</v>
      </c>
      <c r="R26" s="29" t="str" cm="1">
        <f t="array" ref="R26">IFERROR(INDEX(_xlfn.UNIQUE(TRIM(_xlfn.TEXTSPLIT(Table261424[[#This Row],[Selection Options]:[Selection Options]],","))),,R$11),"")</f>
        <v xml:space="preserve">
25%: Supported via customisation (source code changes)</v>
      </c>
      <c r="S26" s="29" t="str" cm="1">
        <f t="array" ref="S26">IFERROR(INDEX(_xlfn.UNIQUE(TRIM(_xlfn.TEXTSPLIT(Table261424[[#This Row],[Selection Options]:[Selection Options]],","))),,S$11),"")</f>
        <v xml:space="preserve">
 0%: Not currently supported</v>
      </c>
      <c r="T26" s="29" t="str" cm="1">
        <f t="array" ref="T26">IFERROR(INDEX(_xlfn.UNIQUE(TRIM(_xlfn.TEXTSPLIT(Table261424[[#This Row],[Selection Options]:[Selection Options]],","))),,T$11),"")</f>
        <v/>
      </c>
      <c r="U26" s="29" t="str" cm="1">
        <f t="array" ref="U26">IFERROR(INDEX(_xlfn.UNIQUE(TRIM(_xlfn.TEXTSPLIT(Table261424[[#This Row],[Selection Options]:[Selection Options]],","))),,U$11),"")</f>
        <v/>
      </c>
      <c r="V26" s="29" t="str" cm="1">
        <f t="array" ref="V26">IFERROR(INDEX(_xlfn.UNIQUE(TRIM(_xlfn.TEXTSPLIT(Table261424[[#This Row],[Selection Options]:[Selection Options]],","))),,V$11),"")</f>
        <v/>
      </c>
      <c r="W26" s="29" t="str" cm="1">
        <f t="array" ref="W26">IFERROR(INDEX(_xlfn.UNIQUE(TRIM(_xlfn.TEXTSPLIT(Table261424[[#This Row],[Selection Options]:[Selection Options]],","))),,W$11),"")</f>
        <v/>
      </c>
      <c r="X26" s="29" t="str" cm="1">
        <f t="array" ref="X26">IFERROR(INDEX(_xlfn.UNIQUE(TRIM(_xlfn.TEXTSPLIT(Table261424[[#This Row],[Selection Options]:[Selection Options]],","))),,X$11),"")</f>
        <v/>
      </c>
      <c r="Y26" s="29" t="str" cm="1">
        <f t="array" ref="Y26">IFERROR(INDEX(_xlfn.UNIQUE(TRIM(_xlfn.TEXTSPLIT(Table261424[[#This Row],[Selection Options]:[Selection Options]],","))),,Y$11),"")</f>
        <v/>
      </c>
      <c r="Z26" s="30" cm="1">
        <f t="array" ref="Z26">IF(Table261424[[#This Row],[1]]="","",Table261424[[#This Row],[Weight]:[Weight]]-(Table261424[[#This Row],[Weight]:[Weight]]*((_xlfn.XMATCH(Table261424[[#This Row],[1]],Table261424[[#This Row],[1]:[11]],0))-1)/(COUNTA(Table261424[[#This Row],[1]:[11]])-COUNTBLANK(Table261424[[#This Row],[1]:[11]])-1)))</f>
        <v>4.0983606557377049E-4</v>
      </c>
      <c r="AA26" s="30" cm="1">
        <f t="array" ref="AA26">IF(Table261424[[#This Row],[2]]="","",Table261424[[#This Row],[Weight]:[Weight]]-(Table261424[[#This Row],[Weight]:[Weight]]*((_xlfn.XMATCH(Table261424[[#This Row],[2]],Table261424[[#This Row],[1]:[11]],0))-1)/(COUNTA(Table261424[[#This Row],[1]:[11]])-COUNTBLANK(Table261424[[#This Row],[1]:[11]])-1)))</f>
        <v>3.0737704918032784E-4</v>
      </c>
      <c r="AB26" s="30" cm="1">
        <f t="array" ref="AB26">IF(Table261424[[#This Row],[3]]="","",Table261424[[#This Row],[Weight]:[Weight]]-(Table261424[[#This Row],[Weight]:[Weight]]*((_xlfn.XMATCH(Table261424[[#This Row],[3]],Table261424[[#This Row],[1]:[11]],0))-1)/(COUNTA(Table261424[[#This Row],[1]:[11]])-COUNTBLANK(Table261424[[#This Row],[1]:[11]])-1)))</f>
        <v>2.0491803278688525E-4</v>
      </c>
      <c r="AC26" s="30" cm="1">
        <f t="array" ref="AC26">IF(Table261424[[#This Row],[4]]="","",Table261424[[#This Row],[Weight]:[Weight]]-(Table261424[[#This Row],[Weight]:[Weight]]*((_xlfn.XMATCH(Table261424[[#This Row],[4]],Table261424[[#This Row],[1]:[11]],0))-1)/(COUNTA(Table261424[[#This Row],[1]:[11]])-COUNTBLANK(Table261424[[#This Row],[1]:[11]])-1)))</f>
        <v>1.0245901639344265E-4</v>
      </c>
      <c r="AD26" s="30" cm="1">
        <f t="array" ref="AD26">IF(Table261424[[#This Row],[5]]="","",Table261424[[#This Row],[Weight]:[Weight]]-(Table261424[[#This Row],[Weight]:[Weight]]*((_xlfn.XMATCH(Table261424[[#This Row],[5]],Table261424[[#This Row],[1]:[11]],0))-1)/(COUNTA(Table261424[[#This Row],[1]:[11]])-COUNTBLANK(Table261424[[#This Row],[1]:[11]])-1)))</f>
        <v>0</v>
      </c>
      <c r="AE26" s="30" t="str" cm="1">
        <f t="array" ref="AE26">IF(Table261424[[#This Row],[6]]="","",Table261424[[#This Row],[Weight]:[Weight]]-(Table261424[[#This Row],[Weight]:[Weight]]*((_xlfn.XMATCH(Table261424[[#This Row],[6]],Table261424[[#This Row],[1]:[11]],0))-1)/(COUNTA(Table261424[[#This Row],[1]:[11]])-COUNTBLANK(Table261424[[#This Row],[1]:[11]])-1)))</f>
        <v/>
      </c>
      <c r="AF26" s="30" t="str" cm="1">
        <f t="array" ref="AF26">IF(Table261424[[#This Row],[7]]="","",Table261424[[#This Row],[Weight]:[Weight]]-(Table261424[[#This Row],[Weight]:[Weight]]*((_xlfn.XMATCH(Table261424[[#This Row],[7]],Table261424[[#This Row],[1]:[11]],0))-1)/(COUNTA(Table261424[[#This Row],[1]:[11]])-COUNTBLANK(Table261424[[#This Row],[1]:[11]])-1)))</f>
        <v/>
      </c>
      <c r="AG26" s="30" t="str" cm="1">
        <f t="array" ref="AG26">IF(Table261424[[#This Row],[8]]="","",Table261424[[#This Row],[Weight]:[Weight]]-(Table261424[[#This Row],[Weight]:[Weight]]*((_xlfn.XMATCH(Table261424[[#This Row],[8]],Table261424[[#This Row],[1]:[11]],0))-1)/(COUNTA(Table261424[[#This Row],[1]:[11]])-COUNTBLANK(Table261424[[#This Row],[1]:[11]])-1)))</f>
        <v/>
      </c>
      <c r="AH26" s="30" t="str" cm="1">
        <f t="array" ref="AH26">IF(Table261424[[#This Row],[9]]="","",Table261424[[#This Row],[Weight]:[Weight]]-(Table261424[[#This Row],[Weight]:[Weight]]*((_xlfn.XMATCH(Table261424[[#This Row],[9]],Table261424[[#This Row],[1]:[11]],0))-1)/(COUNTA(Table261424[[#This Row],[1]:[11]])-COUNTBLANK(Table261424[[#This Row],[1]:[11]])-1)))</f>
        <v/>
      </c>
      <c r="AI26" s="30" t="str" cm="1">
        <f t="array" ref="AI26">IF(Table261424[[#This Row],[10]]="","",Table261424[[#This Row],[Weight]:[Weight]]-(Table261424[[#This Row],[Weight]:[Weight]]*((_xlfn.XMATCH(Table261424[[#This Row],[10]],Table261424[[#This Row],[1]:[11]],0))-1)/(COUNTA(Table261424[[#This Row],[1]:[11]])-COUNTBLANK(Table261424[[#This Row],[1]:[11]])-1)))</f>
        <v/>
      </c>
      <c r="AJ26" s="30" t="str" cm="1">
        <f t="array" ref="AJ26">IF(Table261424[[#This Row],[11]]="","",Table261424[[#This Row],[Weight]:[Weight]]-(Table261424[[#This Row],[Weight]:[Weight]]*((_xlfn.XMATCH(Table261424[[#This Row],[11]],Table261424[[#This Row],[1]:[11]],0))-1)/(COUNTA(Table261424[[#This Row],[1]:[11]])-COUNTBLANK(Table261424[[#This Row],[1]:[11]])-1)))</f>
        <v/>
      </c>
    </row>
    <row r="27" spans="1:36" s="167" customFormat="1" ht="72" x14ac:dyDescent="0.2">
      <c r="A27" s="173">
        <v>15</v>
      </c>
      <c r="B27" s="21" t="s">
        <v>230</v>
      </c>
      <c r="C27" s="158" t="s">
        <v>215</v>
      </c>
      <c r="D27" s="158"/>
      <c r="E27" s="28"/>
      <c r="F27" s="28"/>
      <c r="G27" s="87" t="s">
        <v>60</v>
      </c>
      <c r="H27" s="155" cm="1">
        <f t="array" ref="H27">_xlfn.IFS(G27="","",G27="No interest",0,G27="Nice to have",1,G27="Useful",2,G27="Important",3,G27="Very important",4,G27="Critical",5,G27="Show stopper",6)</f>
        <v>6</v>
      </c>
      <c r="I27" s="156">
        <f t="shared" si="1"/>
        <v>4.0983606557377049E-4</v>
      </c>
      <c r="J27" s="157" t="s">
        <v>216</v>
      </c>
      <c r="K27" s="158" t="str" cm="1">
        <f t="array" ref="K27">_xlfn.TEXTJOIN(","&amp;CHAR(10),,TEXT(Table261424[[#This Row],[12]:[22]],"0,00%"))</f>
        <v>0,00%,
0,00%,
0,00%,
0,00%,
0,00%</v>
      </c>
      <c r="L27" s="175"/>
      <c r="M27" s="176" t="e">
        <f>I27-(I27*((MATCH(Table261424[[#This Row],[Evaluators Response (SELECT)]],Table261424[[#This Row],[1]:[11]],0)-1)/(COUNTA(Table261424[[#This Row],[1]:[11]])-COUNTBLANK(Table261424[[#This Row],[1]:[11]])-1)))</f>
        <v>#N/A</v>
      </c>
      <c r="N27" s="28"/>
      <c r="O27" s="29" t="str" cm="1">
        <f t="array" ref="O27">IFERROR(INDEX(_xlfn.UNIQUE(TRIM(_xlfn.TEXTSPLIT(Table261424[[#This Row],[Selection Options]:[Selection Options]],","))),,O$11),"")</f>
        <v>100%: Supported as delivered out of the box</v>
      </c>
      <c r="P27" s="29" t="str" cm="1">
        <f t="array" ref="P27">IFERROR(INDEX(_xlfn.UNIQUE(TRIM(_xlfn.TEXTSPLIT(Table261424[[#This Row],[Selection Options]:[Selection Options]],","))),,P$11),"")</f>
        <v xml:space="preserve">
75%: Supported via modifications (config)</v>
      </c>
      <c r="Q27" s="29" t="str" cm="1">
        <f t="array" ref="Q27">IFERROR(INDEX(_xlfn.UNIQUE(TRIM(_xlfn.TEXTSPLIT(Table261424[[#This Row],[Selection Options]:[Selection Options]],","))),,Q$11),"")</f>
        <v xml:space="preserve">
50%: Supported via a third party solution</v>
      </c>
      <c r="R27" s="29" t="str" cm="1">
        <f t="array" ref="R27">IFERROR(INDEX(_xlfn.UNIQUE(TRIM(_xlfn.TEXTSPLIT(Table261424[[#This Row],[Selection Options]:[Selection Options]],","))),,R$11),"")</f>
        <v xml:space="preserve">
25%: Supported via customisation (source code changes)</v>
      </c>
      <c r="S27" s="29" t="str" cm="1">
        <f t="array" ref="S27">IFERROR(INDEX(_xlfn.UNIQUE(TRIM(_xlfn.TEXTSPLIT(Table261424[[#This Row],[Selection Options]:[Selection Options]],","))),,S$11),"")</f>
        <v xml:space="preserve">
 0%: Not currently supported</v>
      </c>
      <c r="T27" s="29" t="str" cm="1">
        <f t="array" ref="T27">IFERROR(INDEX(_xlfn.UNIQUE(TRIM(_xlfn.TEXTSPLIT(Table261424[[#This Row],[Selection Options]:[Selection Options]],","))),,T$11),"")</f>
        <v/>
      </c>
      <c r="U27" s="29" t="str" cm="1">
        <f t="array" ref="U27">IFERROR(INDEX(_xlfn.UNIQUE(TRIM(_xlfn.TEXTSPLIT(Table261424[[#This Row],[Selection Options]:[Selection Options]],","))),,U$11),"")</f>
        <v/>
      </c>
      <c r="V27" s="29" t="str" cm="1">
        <f t="array" ref="V27">IFERROR(INDEX(_xlfn.UNIQUE(TRIM(_xlfn.TEXTSPLIT(Table261424[[#This Row],[Selection Options]:[Selection Options]],","))),,V$11),"")</f>
        <v/>
      </c>
      <c r="W27" s="29" t="str" cm="1">
        <f t="array" ref="W27">IFERROR(INDEX(_xlfn.UNIQUE(TRIM(_xlfn.TEXTSPLIT(Table261424[[#This Row],[Selection Options]:[Selection Options]],","))),,W$11),"")</f>
        <v/>
      </c>
      <c r="X27" s="29" t="str" cm="1">
        <f t="array" ref="X27">IFERROR(INDEX(_xlfn.UNIQUE(TRIM(_xlfn.TEXTSPLIT(Table261424[[#This Row],[Selection Options]:[Selection Options]],","))),,X$11),"")</f>
        <v/>
      </c>
      <c r="Y27" s="29" t="str" cm="1">
        <f t="array" ref="Y27">IFERROR(INDEX(_xlfn.UNIQUE(TRIM(_xlfn.TEXTSPLIT(Table261424[[#This Row],[Selection Options]:[Selection Options]],","))),,Y$11),"")</f>
        <v/>
      </c>
      <c r="Z27" s="30" cm="1">
        <f t="array" ref="Z27">IF(Table261424[[#This Row],[1]]="","",Table261424[[#This Row],[Weight]:[Weight]]-(Table261424[[#This Row],[Weight]:[Weight]]*((_xlfn.XMATCH(Table261424[[#This Row],[1]],Table261424[[#This Row],[1]:[11]],0))-1)/(COUNTA(Table261424[[#This Row],[1]:[11]])-COUNTBLANK(Table261424[[#This Row],[1]:[11]])-1)))</f>
        <v>4.0983606557377049E-4</v>
      </c>
      <c r="AA27" s="30" cm="1">
        <f t="array" ref="AA27">IF(Table261424[[#This Row],[2]]="","",Table261424[[#This Row],[Weight]:[Weight]]-(Table261424[[#This Row],[Weight]:[Weight]]*((_xlfn.XMATCH(Table261424[[#This Row],[2]],Table261424[[#This Row],[1]:[11]],0))-1)/(COUNTA(Table261424[[#This Row],[1]:[11]])-COUNTBLANK(Table261424[[#This Row],[1]:[11]])-1)))</f>
        <v>3.0737704918032784E-4</v>
      </c>
      <c r="AB27" s="30" cm="1">
        <f t="array" ref="AB27">IF(Table261424[[#This Row],[3]]="","",Table261424[[#This Row],[Weight]:[Weight]]-(Table261424[[#This Row],[Weight]:[Weight]]*((_xlfn.XMATCH(Table261424[[#This Row],[3]],Table261424[[#This Row],[1]:[11]],0))-1)/(COUNTA(Table261424[[#This Row],[1]:[11]])-COUNTBLANK(Table261424[[#This Row],[1]:[11]])-1)))</f>
        <v>2.0491803278688525E-4</v>
      </c>
      <c r="AC27" s="30" cm="1">
        <f t="array" ref="AC27">IF(Table261424[[#This Row],[4]]="","",Table261424[[#This Row],[Weight]:[Weight]]-(Table261424[[#This Row],[Weight]:[Weight]]*((_xlfn.XMATCH(Table261424[[#This Row],[4]],Table261424[[#This Row],[1]:[11]],0))-1)/(COUNTA(Table261424[[#This Row],[1]:[11]])-COUNTBLANK(Table261424[[#This Row],[1]:[11]])-1)))</f>
        <v>1.0245901639344265E-4</v>
      </c>
      <c r="AD27" s="30" cm="1">
        <f t="array" ref="AD27">IF(Table261424[[#This Row],[5]]="","",Table261424[[#This Row],[Weight]:[Weight]]-(Table261424[[#This Row],[Weight]:[Weight]]*((_xlfn.XMATCH(Table261424[[#This Row],[5]],Table261424[[#This Row],[1]:[11]],0))-1)/(COUNTA(Table261424[[#This Row],[1]:[11]])-COUNTBLANK(Table261424[[#This Row],[1]:[11]])-1)))</f>
        <v>0</v>
      </c>
      <c r="AE27" s="30" t="str" cm="1">
        <f t="array" ref="AE27">IF(Table261424[[#This Row],[6]]="","",Table261424[[#This Row],[Weight]:[Weight]]-(Table261424[[#This Row],[Weight]:[Weight]]*((_xlfn.XMATCH(Table261424[[#This Row],[6]],Table261424[[#This Row],[1]:[11]],0))-1)/(COUNTA(Table261424[[#This Row],[1]:[11]])-COUNTBLANK(Table261424[[#This Row],[1]:[11]])-1)))</f>
        <v/>
      </c>
      <c r="AF27" s="30" t="str" cm="1">
        <f t="array" ref="AF27">IF(Table261424[[#This Row],[7]]="","",Table261424[[#This Row],[Weight]:[Weight]]-(Table261424[[#This Row],[Weight]:[Weight]]*((_xlfn.XMATCH(Table261424[[#This Row],[7]],Table261424[[#This Row],[1]:[11]],0))-1)/(COUNTA(Table261424[[#This Row],[1]:[11]])-COUNTBLANK(Table261424[[#This Row],[1]:[11]])-1)))</f>
        <v/>
      </c>
      <c r="AG27" s="30" t="str" cm="1">
        <f t="array" ref="AG27">IF(Table261424[[#This Row],[8]]="","",Table261424[[#This Row],[Weight]:[Weight]]-(Table261424[[#This Row],[Weight]:[Weight]]*((_xlfn.XMATCH(Table261424[[#This Row],[8]],Table261424[[#This Row],[1]:[11]],0))-1)/(COUNTA(Table261424[[#This Row],[1]:[11]])-COUNTBLANK(Table261424[[#This Row],[1]:[11]])-1)))</f>
        <v/>
      </c>
      <c r="AH27" s="30" t="str" cm="1">
        <f t="array" ref="AH27">IF(Table261424[[#This Row],[9]]="","",Table261424[[#This Row],[Weight]:[Weight]]-(Table261424[[#This Row],[Weight]:[Weight]]*((_xlfn.XMATCH(Table261424[[#This Row],[9]],Table261424[[#This Row],[1]:[11]],0))-1)/(COUNTA(Table261424[[#This Row],[1]:[11]])-COUNTBLANK(Table261424[[#This Row],[1]:[11]])-1)))</f>
        <v/>
      </c>
      <c r="AI27" s="30" t="str" cm="1">
        <f t="array" ref="AI27">IF(Table261424[[#This Row],[10]]="","",Table261424[[#This Row],[Weight]:[Weight]]-(Table261424[[#This Row],[Weight]:[Weight]]*((_xlfn.XMATCH(Table261424[[#This Row],[10]],Table261424[[#This Row],[1]:[11]],0))-1)/(COUNTA(Table261424[[#This Row],[1]:[11]])-COUNTBLANK(Table261424[[#This Row],[1]:[11]])-1)))</f>
        <v/>
      </c>
      <c r="AJ27" s="30" t="str" cm="1">
        <f t="array" ref="AJ27">IF(Table261424[[#This Row],[11]]="","",Table261424[[#This Row],[Weight]:[Weight]]-(Table261424[[#This Row],[Weight]:[Weight]]*((_xlfn.XMATCH(Table261424[[#This Row],[11]],Table261424[[#This Row],[1]:[11]],0))-1)/(COUNTA(Table261424[[#This Row],[1]:[11]])-COUNTBLANK(Table261424[[#This Row],[1]:[11]])-1)))</f>
        <v/>
      </c>
    </row>
    <row r="28" spans="1:36" ht="72" x14ac:dyDescent="0.2">
      <c r="A28" s="174">
        <v>16</v>
      </c>
      <c r="B28" s="90" t="s">
        <v>231</v>
      </c>
      <c r="C28" s="119" t="s">
        <v>215</v>
      </c>
      <c r="D28" s="119"/>
      <c r="E28" s="153"/>
      <c r="F28" s="153"/>
      <c r="G28" s="120" t="s">
        <v>60</v>
      </c>
      <c r="H28" s="148" cm="1">
        <f t="array" ref="H28">_xlfn.IFS(G28="","",G28="No interest",0,G28="Nice to have",1,G28="Useful",2,G28="Important",3,G28="Very important",4,G28="Critical",5,G28="Show stopper",6)</f>
        <v>6</v>
      </c>
      <c r="I28" s="149">
        <f t="shared" si="1"/>
        <v>4.0983606557377049E-4</v>
      </c>
      <c r="J28" s="150" t="s">
        <v>216</v>
      </c>
      <c r="K28" s="35" t="str" cm="1">
        <f t="array" ref="K28">_xlfn.TEXTJOIN(","&amp;CHAR(10),,TEXT(Table261424[[#This Row],[12]:[22]],"0,00%"))</f>
        <v>0,00%,
0,00%,
0,00%,
0,00%,
0,00%</v>
      </c>
      <c r="L28" s="26"/>
      <c r="M28" s="27" t="e">
        <f>I28-(I28*((MATCH(Table261424[[#This Row],[Evaluators Response (SELECT)]],Table261424[[#This Row],[1]:[11]],0)-1)/(COUNTA(Table261424[[#This Row],[1]:[11]])-COUNTBLANK(Table261424[[#This Row],[1]:[11]])-1)))</f>
        <v>#N/A</v>
      </c>
      <c r="N28" s="28"/>
      <c r="O28" s="29" t="str" cm="1">
        <f t="array" ref="O28">IFERROR(INDEX(_xlfn.UNIQUE(TRIM(_xlfn.TEXTSPLIT(Table261424[[#This Row],[Selection Options]:[Selection Options]],","))),,O$11),"")</f>
        <v>100%: Supported as delivered out of the box</v>
      </c>
      <c r="P28" s="29" t="str" cm="1">
        <f t="array" ref="P28">IFERROR(INDEX(_xlfn.UNIQUE(TRIM(_xlfn.TEXTSPLIT(Table261424[[#This Row],[Selection Options]:[Selection Options]],","))),,P$11),"")</f>
        <v xml:space="preserve">
75%: Supported via modifications (config)</v>
      </c>
      <c r="Q28" s="29" t="str" cm="1">
        <f t="array" ref="Q28">IFERROR(INDEX(_xlfn.UNIQUE(TRIM(_xlfn.TEXTSPLIT(Table261424[[#This Row],[Selection Options]:[Selection Options]],","))),,Q$11),"")</f>
        <v xml:space="preserve">
50%: Supported via a third party solution</v>
      </c>
      <c r="R28" s="29" t="str" cm="1">
        <f t="array" ref="R28">IFERROR(INDEX(_xlfn.UNIQUE(TRIM(_xlfn.TEXTSPLIT(Table261424[[#This Row],[Selection Options]:[Selection Options]],","))),,R$11),"")</f>
        <v xml:space="preserve">
25%: Supported via customisation (source code changes)</v>
      </c>
      <c r="S28" s="29" t="str" cm="1">
        <f t="array" ref="S28">IFERROR(INDEX(_xlfn.UNIQUE(TRIM(_xlfn.TEXTSPLIT(Table261424[[#This Row],[Selection Options]:[Selection Options]],","))),,S$11),"")</f>
        <v xml:space="preserve">
 0%: Not currently supported</v>
      </c>
      <c r="T28" s="29" t="str" cm="1">
        <f t="array" ref="T28">IFERROR(INDEX(_xlfn.UNIQUE(TRIM(_xlfn.TEXTSPLIT(Table261424[[#This Row],[Selection Options]:[Selection Options]],","))),,T$11),"")</f>
        <v/>
      </c>
      <c r="U28" s="29" t="str" cm="1">
        <f t="array" ref="U28">IFERROR(INDEX(_xlfn.UNIQUE(TRIM(_xlfn.TEXTSPLIT(Table261424[[#This Row],[Selection Options]:[Selection Options]],","))),,U$11),"")</f>
        <v/>
      </c>
      <c r="V28" s="29" t="str" cm="1">
        <f t="array" ref="V28">IFERROR(INDEX(_xlfn.UNIQUE(TRIM(_xlfn.TEXTSPLIT(Table261424[[#This Row],[Selection Options]:[Selection Options]],","))),,V$11),"")</f>
        <v/>
      </c>
      <c r="W28" s="29" t="str" cm="1">
        <f t="array" ref="W28">IFERROR(INDEX(_xlfn.UNIQUE(TRIM(_xlfn.TEXTSPLIT(Table261424[[#This Row],[Selection Options]:[Selection Options]],","))),,W$11),"")</f>
        <v/>
      </c>
      <c r="X28" s="29" t="str" cm="1">
        <f t="array" ref="X28">IFERROR(INDEX(_xlfn.UNIQUE(TRIM(_xlfn.TEXTSPLIT(Table261424[[#This Row],[Selection Options]:[Selection Options]],","))),,X$11),"")</f>
        <v/>
      </c>
      <c r="Y28" s="29" t="str" cm="1">
        <f t="array" ref="Y28">IFERROR(INDEX(_xlfn.UNIQUE(TRIM(_xlfn.TEXTSPLIT(Table261424[[#This Row],[Selection Options]:[Selection Options]],","))),,Y$11),"")</f>
        <v/>
      </c>
      <c r="Z28" s="30" cm="1">
        <f t="array" ref="Z28">IF(Table261424[[#This Row],[1]]="","",Table261424[[#This Row],[Weight]:[Weight]]-(Table261424[[#This Row],[Weight]:[Weight]]*((_xlfn.XMATCH(Table261424[[#This Row],[1]],Table261424[[#This Row],[1]:[11]],0))-1)/(COUNTA(Table261424[[#This Row],[1]:[11]])-COUNTBLANK(Table261424[[#This Row],[1]:[11]])-1)))</f>
        <v>4.0983606557377049E-4</v>
      </c>
      <c r="AA28" s="30" cm="1">
        <f t="array" ref="AA28">IF(Table261424[[#This Row],[2]]="","",Table261424[[#This Row],[Weight]:[Weight]]-(Table261424[[#This Row],[Weight]:[Weight]]*((_xlfn.XMATCH(Table261424[[#This Row],[2]],Table261424[[#This Row],[1]:[11]],0))-1)/(COUNTA(Table261424[[#This Row],[1]:[11]])-COUNTBLANK(Table261424[[#This Row],[1]:[11]])-1)))</f>
        <v>3.0737704918032784E-4</v>
      </c>
      <c r="AB28" s="30" cm="1">
        <f t="array" ref="AB28">IF(Table261424[[#This Row],[3]]="","",Table261424[[#This Row],[Weight]:[Weight]]-(Table261424[[#This Row],[Weight]:[Weight]]*((_xlfn.XMATCH(Table261424[[#This Row],[3]],Table261424[[#This Row],[1]:[11]],0))-1)/(COUNTA(Table261424[[#This Row],[1]:[11]])-COUNTBLANK(Table261424[[#This Row],[1]:[11]])-1)))</f>
        <v>2.0491803278688525E-4</v>
      </c>
      <c r="AC28" s="30" cm="1">
        <f t="array" ref="AC28">IF(Table261424[[#This Row],[4]]="","",Table261424[[#This Row],[Weight]:[Weight]]-(Table261424[[#This Row],[Weight]:[Weight]]*((_xlfn.XMATCH(Table261424[[#This Row],[4]],Table261424[[#This Row],[1]:[11]],0))-1)/(COUNTA(Table261424[[#This Row],[1]:[11]])-COUNTBLANK(Table261424[[#This Row],[1]:[11]])-1)))</f>
        <v>1.0245901639344265E-4</v>
      </c>
      <c r="AD28" s="30" cm="1">
        <f t="array" ref="AD28">IF(Table261424[[#This Row],[5]]="","",Table261424[[#This Row],[Weight]:[Weight]]-(Table261424[[#This Row],[Weight]:[Weight]]*((_xlfn.XMATCH(Table261424[[#This Row],[5]],Table261424[[#This Row],[1]:[11]],0))-1)/(COUNTA(Table261424[[#This Row],[1]:[11]])-COUNTBLANK(Table261424[[#This Row],[1]:[11]])-1)))</f>
        <v>0</v>
      </c>
      <c r="AE28" s="30" t="str" cm="1">
        <f t="array" ref="AE28">IF(Table261424[[#This Row],[6]]="","",Table261424[[#This Row],[Weight]:[Weight]]-(Table261424[[#This Row],[Weight]:[Weight]]*((_xlfn.XMATCH(Table261424[[#This Row],[6]],Table261424[[#This Row],[1]:[11]],0))-1)/(COUNTA(Table261424[[#This Row],[1]:[11]])-COUNTBLANK(Table261424[[#This Row],[1]:[11]])-1)))</f>
        <v/>
      </c>
      <c r="AF28" s="30" t="str" cm="1">
        <f t="array" ref="AF28">IF(Table261424[[#This Row],[7]]="","",Table261424[[#This Row],[Weight]:[Weight]]-(Table261424[[#This Row],[Weight]:[Weight]]*((_xlfn.XMATCH(Table261424[[#This Row],[7]],Table261424[[#This Row],[1]:[11]],0))-1)/(COUNTA(Table261424[[#This Row],[1]:[11]])-COUNTBLANK(Table261424[[#This Row],[1]:[11]])-1)))</f>
        <v/>
      </c>
      <c r="AG28" s="30" t="str" cm="1">
        <f t="array" ref="AG28">IF(Table261424[[#This Row],[8]]="","",Table261424[[#This Row],[Weight]:[Weight]]-(Table261424[[#This Row],[Weight]:[Weight]]*((_xlfn.XMATCH(Table261424[[#This Row],[8]],Table261424[[#This Row],[1]:[11]],0))-1)/(COUNTA(Table261424[[#This Row],[1]:[11]])-COUNTBLANK(Table261424[[#This Row],[1]:[11]])-1)))</f>
        <v/>
      </c>
      <c r="AH28" s="30" t="str" cm="1">
        <f t="array" ref="AH28">IF(Table261424[[#This Row],[9]]="","",Table261424[[#This Row],[Weight]:[Weight]]-(Table261424[[#This Row],[Weight]:[Weight]]*((_xlfn.XMATCH(Table261424[[#This Row],[9]],Table261424[[#This Row],[1]:[11]],0))-1)/(COUNTA(Table261424[[#This Row],[1]:[11]])-COUNTBLANK(Table261424[[#This Row],[1]:[11]])-1)))</f>
        <v/>
      </c>
      <c r="AI28" s="30" t="str" cm="1">
        <f t="array" ref="AI28">IF(Table261424[[#This Row],[10]]="","",Table261424[[#This Row],[Weight]:[Weight]]-(Table261424[[#This Row],[Weight]:[Weight]]*((_xlfn.XMATCH(Table261424[[#This Row],[10]],Table261424[[#This Row],[1]:[11]],0))-1)/(COUNTA(Table261424[[#This Row],[1]:[11]])-COUNTBLANK(Table261424[[#This Row],[1]:[11]])-1)))</f>
        <v/>
      </c>
      <c r="AJ28" s="30" t="str" cm="1">
        <f t="array" ref="AJ28">IF(Table261424[[#This Row],[11]]="","",Table261424[[#This Row],[Weight]:[Weight]]-(Table261424[[#This Row],[Weight]:[Weight]]*((_xlfn.XMATCH(Table261424[[#This Row],[11]],Table261424[[#This Row],[1]:[11]],0))-1)/(COUNTA(Table261424[[#This Row],[1]:[11]])-COUNTBLANK(Table261424[[#This Row],[1]:[11]])-1)))</f>
        <v/>
      </c>
    </row>
    <row r="29" spans="1:36" ht="72" x14ac:dyDescent="0.2">
      <c r="A29" s="174">
        <v>17</v>
      </c>
      <c r="B29" s="90" t="s">
        <v>232</v>
      </c>
      <c r="C29" s="119" t="s">
        <v>215</v>
      </c>
      <c r="D29" s="119"/>
      <c r="E29" s="153"/>
      <c r="F29" s="153"/>
      <c r="G29" s="120" t="s">
        <v>60</v>
      </c>
      <c r="H29" s="148" cm="1">
        <f t="array" ref="H29">_xlfn.IFS(G29="","",G29="No interest",0,G29="Nice to have",1,G29="Useful",2,G29="Important",3,G29="Very important",4,G29="Critical",5,G29="Show stopper",6)</f>
        <v>6</v>
      </c>
      <c r="I29" s="149">
        <f t="shared" si="1"/>
        <v>4.0983606557377049E-4</v>
      </c>
      <c r="J29" s="150" t="s">
        <v>216</v>
      </c>
      <c r="K29" s="35" t="str" cm="1">
        <f t="array" ref="K29">_xlfn.TEXTJOIN(","&amp;CHAR(10),,TEXT(Table261424[[#This Row],[12]:[22]],"0,00%"))</f>
        <v>0,00%,
0,00%,
0,00%,
0,00%,
0,00%</v>
      </c>
      <c r="L29" s="26"/>
      <c r="M29" s="27" t="e">
        <f>I29-(I29*((MATCH(Table261424[[#This Row],[Evaluators Response (SELECT)]],Table261424[[#This Row],[1]:[11]],0)-1)/(COUNTA(Table261424[[#This Row],[1]:[11]])-COUNTBLANK(Table261424[[#This Row],[1]:[11]])-1)))</f>
        <v>#N/A</v>
      </c>
      <c r="N29" s="28"/>
      <c r="O29" s="29" t="str" cm="1">
        <f t="array" ref="O29">IFERROR(INDEX(_xlfn.UNIQUE(TRIM(_xlfn.TEXTSPLIT(Table261424[[#This Row],[Selection Options]:[Selection Options]],","))),,O$11),"")</f>
        <v>100%: Supported as delivered out of the box</v>
      </c>
      <c r="P29" s="29" t="str" cm="1">
        <f t="array" ref="P29">IFERROR(INDEX(_xlfn.UNIQUE(TRIM(_xlfn.TEXTSPLIT(Table261424[[#This Row],[Selection Options]:[Selection Options]],","))),,P$11),"")</f>
        <v xml:space="preserve">
75%: Supported via modifications (config)</v>
      </c>
      <c r="Q29" s="29" t="str" cm="1">
        <f t="array" ref="Q29">IFERROR(INDEX(_xlfn.UNIQUE(TRIM(_xlfn.TEXTSPLIT(Table261424[[#This Row],[Selection Options]:[Selection Options]],","))),,Q$11),"")</f>
        <v xml:space="preserve">
50%: Supported via a third party solution</v>
      </c>
      <c r="R29" s="29" t="str" cm="1">
        <f t="array" ref="R29">IFERROR(INDEX(_xlfn.UNIQUE(TRIM(_xlfn.TEXTSPLIT(Table261424[[#This Row],[Selection Options]:[Selection Options]],","))),,R$11),"")</f>
        <v xml:space="preserve">
25%: Supported via customisation (source code changes)</v>
      </c>
      <c r="S29" s="29" t="str" cm="1">
        <f t="array" ref="S29">IFERROR(INDEX(_xlfn.UNIQUE(TRIM(_xlfn.TEXTSPLIT(Table261424[[#This Row],[Selection Options]:[Selection Options]],","))),,S$11),"")</f>
        <v xml:space="preserve">
 0%: Not currently supported</v>
      </c>
      <c r="T29" s="29" t="str" cm="1">
        <f t="array" ref="T29">IFERROR(INDEX(_xlfn.UNIQUE(TRIM(_xlfn.TEXTSPLIT(Table261424[[#This Row],[Selection Options]:[Selection Options]],","))),,T$11),"")</f>
        <v/>
      </c>
      <c r="U29" s="29" t="str" cm="1">
        <f t="array" ref="U29">IFERROR(INDEX(_xlfn.UNIQUE(TRIM(_xlfn.TEXTSPLIT(Table261424[[#This Row],[Selection Options]:[Selection Options]],","))),,U$11),"")</f>
        <v/>
      </c>
      <c r="V29" s="29" t="str" cm="1">
        <f t="array" ref="V29">IFERROR(INDEX(_xlfn.UNIQUE(TRIM(_xlfn.TEXTSPLIT(Table261424[[#This Row],[Selection Options]:[Selection Options]],","))),,V$11),"")</f>
        <v/>
      </c>
      <c r="W29" s="29" t="str" cm="1">
        <f t="array" ref="W29">IFERROR(INDEX(_xlfn.UNIQUE(TRIM(_xlfn.TEXTSPLIT(Table261424[[#This Row],[Selection Options]:[Selection Options]],","))),,W$11),"")</f>
        <v/>
      </c>
      <c r="X29" s="29" t="str" cm="1">
        <f t="array" ref="X29">IFERROR(INDEX(_xlfn.UNIQUE(TRIM(_xlfn.TEXTSPLIT(Table261424[[#This Row],[Selection Options]:[Selection Options]],","))),,X$11),"")</f>
        <v/>
      </c>
      <c r="Y29" s="29" t="str" cm="1">
        <f t="array" ref="Y29">IFERROR(INDEX(_xlfn.UNIQUE(TRIM(_xlfn.TEXTSPLIT(Table261424[[#This Row],[Selection Options]:[Selection Options]],","))),,Y$11),"")</f>
        <v/>
      </c>
      <c r="Z29" s="30" cm="1">
        <f t="array" ref="Z29">IF(Table261424[[#This Row],[1]]="","",Table261424[[#This Row],[Weight]:[Weight]]-(Table261424[[#This Row],[Weight]:[Weight]]*((_xlfn.XMATCH(Table261424[[#This Row],[1]],Table261424[[#This Row],[1]:[11]],0))-1)/(COUNTA(Table261424[[#This Row],[1]:[11]])-COUNTBLANK(Table261424[[#This Row],[1]:[11]])-1)))</f>
        <v>4.0983606557377049E-4</v>
      </c>
      <c r="AA29" s="30" cm="1">
        <f t="array" ref="AA29">IF(Table261424[[#This Row],[2]]="","",Table261424[[#This Row],[Weight]:[Weight]]-(Table261424[[#This Row],[Weight]:[Weight]]*((_xlfn.XMATCH(Table261424[[#This Row],[2]],Table261424[[#This Row],[1]:[11]],0))-1)/(COUNTA(Table261424[[#This Row],[1]:[11]])-COUNTBLANK(Table261424[[#This Row],[1]:[11]])-1)))</f>
        <v>3.0737704918032784E-4</v>
      </c>
      <c r="AB29" s="30" cm="1">
        <f t="array" ref="AB29">IF(Table261424[[#This Row],[3]]="","",Table261424[[#This Row],[Weight]:[Weight]]-(Table261424[[#This Row],[Weight]:[Weight]]*((_xlfn.XMATCH(Table261424[[#This Row],[3]],Table261424[[#This Row],[1]:[11]],0))-1)/(COUNTA(Table261424[[#This Row],[1]:[11]])-COUNTBLANK(Table261424[[#This Row],[1]:[11]])-1)))</f>
        <v>2.0491803278688525E-4</v>
      </c>
      <c r="AC29" s="30" cm="1">
        <f t="array" ref="AC29">IF(Table261424[[#This Row],[4]]="","",Table261424[[#This Row],[Weight]:[Weight]]-(Table261424[[#This Row],[Weight]:[Weight]]*((_xlfn.XMATCH(Table261424[[#This Row],[4]],Table261424[[#This Row],[1]:[11]],0))-1)/(COUNTA(Table261424[[#This Row],[1]:[11]])-COUNTBLANK(Table261424[[#This Row],[1]:[11]])-1)))</f>
        <v>1.0245901639344265E-4</v>
      </c>
      <c r="AD29" s="30" cm="1">
        <f t="array" ref="AD29">IF(Table261424[[#This Row],[5]]="","",Table261424[[#This Row],[Weight]:[Weight]]-(Table261424[[#This Row],[Weight]:[Weight]]*((_xlfn.XMATCH(Table261424[[#This Row],[5]],Table261424[[#This Row],[1]:[11]],0))-1)/(COUNTA(Table261424[[#This Row],[1]:[11]])-COUNTBLANK(Table261424[[#This Row],[1]:[11]])-1)))</f>
        <v>0</v>
      </c>
      <c r="AE29" s="30" t="str" cm="1">
        <f t="array" ref="AE29">IF(Table261424[[#This Row],[6]]="","",Table261424[[#This Row],[Weight]:[Weight]]-(Table261424[[#This Row],[Weight]:[Weight]]*((_xlfn.XMATCH(Table261424[[#This Row],[6]],Table261424[[#This Row],[1]:[11]],0))-1)/(COUNTA(Table261424[[#This Row],[1]:[11]])-COUNTBLANK(Table261424[[#This Row],[1]:[11]])-1)))</f>
        <v/>
      </c>
      <c r="AF29" s="30" t="str" cm="1">
        <f t="array" ref="AF29">IF(Table261424[[#This Row],[7]]="","",Table261424[[#This Row],[Weight]:[Weight]]-(Table261424[[#This Row],[Weight]:[Weight]]*((_xlfn.XMATCH(Table261424[[#This Row],[7]],Table261424[[#This Row],[1]:[11]],0))-1)/(COUNTA(Table261424[[#This Row],[1]:[11]])-COUNTBLANK(Table261424[[#This Row],[1]:[11]])-1)))</f>
        <v/>
      </c>
      <c r="AG29" s="30" t="str" cm="1">
        <f t="array" ref="AG29">IF(Table261424[[#This Row],[8]]="","",Table261424[[#This Row],[Weight]:[Weight]]-(Table261424[[#This Row],[Weight]:[Weight]]*((_xlfn.XMATCH(Table261424[[#This Row],[8]],Table261424[[#This Row],[1]:[11]],0))-1)/(COUNTA(Table261424[[#This Row],[1]:[11]])-COUNTBLANK(Table261424[[#This Row],[1]:[11]])-1)))</f>
        <v/>
      </c>
      <c r="AH29" s="30" t="str" cm="1">
        <f t="array" ref="AH29">IF(Table261424[[#This Row],[9]]="","",Table261424[[#This Row],[Weight]:[Weight]]-(Table261424[[#This Row],[Weight]:[Weight]]*((_xlfn.XMATCH(Table261424[[#This Row],[9]],Table261424[[#This Row],[1]:[11]],0))-1)/(COUNTA(Table261424[[#This Row],[1]:[11]])-COUNTBLANK(Table261424[[#This Row],[1]:[11]])-1)))</f>
        <v/>
      </c>
      <c r="AI29" s="30" t="str" cm="1">
        <f t="array" ref="AI29">IF(Table261424[[#This Row],[10]]="","",Table261424[[#This Row],[Weight]:[Weight]]-(Table261424[[#This Row],[Weight]:[Weight]]*((_xlfn.XMATCH(Table261424[[#This Row],[10]],Table261424[[#This Row],[1]:[11]],0))-1)/(COUNTA(Table261424[[#This Row],[1]:[11]])-COUNTBLANK(Table261424[[#This Row],[1]:[11]])-1)))</f>
        <v/>
      </c>
      <c r="AJ29" s="30" t="str" cm="1">
        <f t="array" ref="AJ29">IF(Table261424[[#This Row],[11]]="","",Table261424[[#This Row],[Weight]:[Weight]]-(Table261424[[#This Row],[Weight]:[Weight]]*((_xlfn.XMATCH(Table261424[[#This Row],[11]],Table261424[[#This Row],[1]:[11]],0))-1)/(COUNTA(Table261424[[#This Row],[1]:[11]])-COUNTBLANK(Table261424[[#This Row],[1]:[11]])-1)))</f>
        <v/>
      </c>
    </row>
    <row r="30" spans="1:36" ht="72" x14ac:dyDescent="0.2">
      <c r="A30" s="174">
        <v>18</v>
      </c>
      <c r="B30" s="90" t="s">
        <v>233</v>
      </c>
      <c r="C30" s="119" t="s">
        <v>215</v>
      </c>
      <c r="D30" s="119"/>
      <c r="E30" s="153"/>
      <c r="F30" s="153"/>
      <c r="G30" s="120" t="s">
        <v>60</v>
      </c>
      <c r="H30" s="148" cm="1">
        <f t="array" ref="H30">_xlfn.IFS(G30="","",G30="No interest",0,G30="Nice to have",1,G30="Useful",2,G30="Important",3,G30="Very important",4,G30="Critical",5,G30="Show stopper",6)</f>
        <v>6</v>
      </c>
      <c r="I30" s="149">
        <f t="shared" si="1"/>
        <v>4.0983606557377049E-4</v>
      </c>
      <c r="J30" s="150" t="s">
        <v>216</v>
      </c>
      <c r="K30" s="35" t="str" cm="1">
        <f t="array" ref="K30">_xlfn.TEXTJOIN(","&amp;CHAR(10),,TEXT(Table261424[[#This Row],[12]:[22]],"0,00%"))</f>
        <v>0,00%,
0,00%,
0,00%,
0,00%,
0,00%</v>
      </c>
      <c r="L30" s="26"/>
      <c r="M30" s="27" t="e">
        <f>I30-(I30*((MATCH(Table261424[[#This Row],[Evaluators Response (SELECT)]],Table261424[[#This Row],[1]:[11]],0)-1)/(COUNTA(Table261424[[#This Row],[1]:[11]])-COUNTBLANK(Table261424[[#This Row],[1]:[11]])-1)))</f>
        <v>#N/A</v>
      </c>
      <c r="N30" s="28"/>
      <c r="O30" s="29" t="str" cm="1">
        <f t="array" ref="O30">IFERROR(INDEX(_xlfn.UNIQUE(TRIM(_xlfn.TEXTSPLIT(Table261424[[#This Row],[Selection Options]:[Selection Options]],","))),,O$11),"")</f>
        <v>100%: Supported as delivered out of the box</v>
      </c>
      <c r="P30" s="29" t="str" cm="1">
        <f t="array" ref="P30">IFERROR(INDEX(_xlfn.UNIQUE(TRIM(_xlfn.TEXTSPLIT(Table261424[[#This Row],[Selection Options]:[Selection Options]],","))),,P$11),"")</f>
        <v xml:space="preserve">
75%: Supported via modifications (config)</v>
      </c>
      <c r="Q30" s="29" t="str" cm="1">
        <f t="array" ref="Q30">IFERROR(INDEX(_xlfn.UNIQUE(TRIM(_xlfn.TEXTSPLIT(Table261424[[#This Row],[Selection Options]:[Selection Options]],","))),,Q$11),"")</f>
        <v xml:space="preserve">
50%: Supported via a third party solution</v>
      </c>
      <c r="R30" s="29" t="str" cm="1">
        <f t="array" ref="R30">IFERROR(INDEX(_xlfn.UNIQUE(TRIM(_xlfn.TEXTSPLIT(Table261424[[#This Row],[Selection Options]:[Selection Options]],","))),,R$11),"")</f>
        <v xml:space="preserve">
25%: Supported via customisation (source code changes)</v>
      </c>
      <c r="S30" s="29" t="str" cm="1">
        <f t="array" ref="S30">IFERROR(INDEX(_xlfn.UNIQUE(TRIM(_xlfn.TEXTSPLIT(Table261424[[#This Row],[Selection Options]:[Selection Options]],","))),,S$11),"")</f>
        <v xml:space="preserve">
 0%: Not currently supported</v>
      </c>
      <c r="T30" s="29" t="str" cm="1">
        <f t="array" ref="T30">IFERROR(INDEX(_xlfn.UNIQUE(TRIM(_xlfn.TEXTSPLIT(Table261424[[#This Row],[Selection Options]:[Selection Options]],","))),,T$11),"")</f>
        <v/>
      </c>
      <c r="U30" s="29" t="str" cm="1">
        <f t="array" ref="U30">IFERROR(INDEX(_xlfn.UNIQUE(TRIM(_xlfn.TEXTSPLIT(Table261424[[#This Row],[Selection Options]:[Selection Options]],","))),,U$11),"")</f>
        <v/>
      </c>
      <c r="V30" s="29" t="str" cm="1">
        <f t="array" ref="V30">IFERROR(INDEX(_xlfn.UNIQUE(TRIM(_xlfn.TEXTSPLIT(Table261424[[#This Row],[Selection Options]:[Selection Options]],","))),,V$11),"")</f>
        <v/>
      </c>
      <c r="W30" s="29" t="str" cm="1">
        <f t="array" ref="W30">IFERROR(INDEX(_xlfn.UNIQUE(TRIM(_xlfn.TEXTSPLIT(Table261424[[#This Row],[Selection Options]:[Selection Options]],","))),,W$11),"")</f>
        <v/>
      </c>
      <c r="X30" s="29" t="str" cm="1">
        <f t="array" ref="X30">IFERROR(INDEX(_xlfn.UNIQUE(TRIM(_xlfn.TEXTSPLIT(Table261424[[#This Row],[Selection Options]:[Selection Options]],","))),,X$11),"")</f>
        <v/>
      </c>
      <c r="Y30" s="29" t="str" cm="1">
        <f t="array" ref="Y30">IFERROR(INDEX(_xlfn.UNIQUE(TRIM(_xlfn.TEXTSPLIT(Table261424[[#This Row],[Selection Options]:[Selection Options]],","))),,Y$11),"")</f>
        <v/>
      </c>
      <c r="Z30" s="30" cm="1">
        <f t="array" ref="Z30">IF(Table261424[[#This Row],[1]]="","",Table261424[[#This Row],[Weight]:[Weight]]-(Table261424[[#This Row],[Weight]:[Weight]]*((_xlfn.XMATCH(Table261424[[#This Row],[1]],Table261424[[#This Row],[1]:[11]],0))-1)/(COUNTA(Table261424[[#This Row],[1]:[11]])-COUNTBLANK(Table261424[[#This Row],[1]:[11]])-1)))</f>
        <v>4.0983606557377049E-4</v>
      </c>
      <c r="AA30" s="30" cm="1">
        <f t="array" ref="AA30">IF(Table261424[[#This Row],[2]]="","",Table261424[[#This Row],[Weight]:[Weight]]-(Table261424[[#This Row],[Weight]:[Weight]]*((_xlfn.XMATCH(Table261424[[#This Row],[2]],Table261424[[#This Row],[1]:[11]],0))-1)/(COUNTA(Table261424[[#This Row],[1]:[11]])-COUNTBLANK(Table261424[[#This Row],[1]:[11]])-1)))</f>
        <v>3.0737704918032784E-4</v>
      </c>
      <c r="AB30" s="30" cm="1">
        <f t="array" ref="AB30">IF(Table261424[[#This Row],[3]]="","",Table261424[[#This Row],[Weight]:[Weight]]-(Table261424[[#This Row],[Weight]:[Weight]]*((_xlfn.XMATCH(Table261424[[#This Row],[3]],Table261424[[#This Row],[1]:[11]],0))-1)/(COUNTA(Table261424[[#This Row],[1]:[11]])-COUNTBLANK(Table261424[[#This Row],[1]:[11]])-1)))</f>
        <v>2.0491803278688525E-4</v>
      </c>
      <c r="AC30" s="30" cm="1">
        <f t="array" ref="AC30">IF(Table261424[[#This Row],[4]]="","",Table261424[[#This Row],[Weight]:[Weight]]-(Table261424[[#This Row],[Weight]:[Weight]]*((_xlfn.XMATCH(Table261424[[#This Row],[4]],Table261424[[#This Row],[1]:[11]],0))-1)/(COUNTA(Table261424[[#This Row],[1]:[11]])-COUNTBLANK(Table261424[[#This Row],[1]:[11]])-1)))</f>
        <v>1.0245901639344265E-4</v>
      </c>
      <c r="AD30" s="30" cm="1">
        <f t="array" ref="AD30">IF(Table261424[[#This Row],[5]]="","",Table261424[[#This Row],[Weight]:[Weight]]-(Table261424[[#This Row],[Weight]:[Weight]]*((_xlfn.XMATCH(Table261424[[#This Row],[5]],Table261424[[#This Row],[1]:[11]],0))-1)/(COUNTA(Table261424[[#This Row],[1]:[11]])-COUNTBLANK(Table261424[[#This Row],[1]:[11]])-1)))</f>
        <v>0</v>
      </c>
      <c r="AE30" s="30" t="str" cm="1">
        <f t="array" ref="AE30">IF(Table261424[[#This Row],[6]]="","",Table261424[[#This Row],[Weight]:[Weight]]-(Table261424[[#This Row],[Weight]:[Weight]]*((_xlfn.XMATCH(Table261424[[#This Row],[6]],Table261424[[#This Row],[1]:[11]],0))-1)/(COUNTA(Table261424[[#This Row],[1]:[11]])-COUNTBLANK(Table261424[[#This Row],[1]:[11]])-1)))</f>
        <v/>
      </c>
      <c r="AF30" s="30" t="str" cm="1">
        <f t="array" ref="AF30">IF(Table261424[[#This Row],[7]]="","",Table261424[[#This Row],[Weight]:[Weight]]-(Table261424[[#This Row],[Weight]:[Weight]]*((_xlfn.XMATCH(Table261424[[#This Row],[7]],Table261424[[#This Row],[1]:[11]],0))-1)/(COUNTA(Table261424[[#This Row],[1]:[11]])-COUNTBLANK(Table261424[[#This Row],[1]:[11]])-1)))</f>
        <v/>
      </c>
      <c r="AG30" s="30" t="str" cm="1">
        <f t="array" ref="AG30">IF(Table261424[[#This Row],[8]]="","",Table261424[[#This Row],[Weight]:[Weight]]-(Table261424[[#This Row],[Weight]:[Weight]]*((_xlfn.XMATCH(Table261424[[#This Row],[8]],Table261424[[#This Row],[1]:[11]],0))-1)/(COUNTA(Table261424[[#This Row],[1]:[11]])-COUNTBLANK(Table261424[[#This Row],[1]:[11]])-1)))</f>
        <v/>
      </c>
      <c r="AH30" s="30" t="str" cm="1">
        <f t="array" ref="AH30">IF(Table261424[[#This Row],[9]]="","",Table261424[[#This Row],[Weight]:[Weight]]-(Table261424[[#This Row],[Weight]:[Weight]]*((_xlfn.XMATCH(Table261424[[#This Row],[9]],Table261424[[#This Row],[1]:[11]],0))-1)/(COUNTA(Table261424[[#This Row],[1]:[11]])-COUNTBLANK(Table261424[[#This Row],[1]:[11]])-1)))</f>
        <v/>
      </c>
      <c r="AI30" s="30" t="str" cm="1">
        <f t="array" ref="AI30">IF(Table261424[[#This Row],[10]]="","",Table261424[[#This Row],[Weight]:[Weight]]-(Table261424[[#This Row],[Weight]:[Weight]]*((_xlfn.XMATCH(Table261424[[#This Row],[10]],Table261424[[#This Row],[1]:[11]],0))-1)/(COUNTA(Table261424[[#This Row],[1]:[11]])-COUNTBLANK(Table261424[[#This Row],[1]:[11]])-1)))</f>
        <v/>
      </c>
      <c r="AJ30" s="30" t="str" cm="1">
        <f t="array" ref="AJ30">IF(Table261424[[#This Row],[11]]="","",Table261424[[#This Row],[Weight]:[Weight]]-(Table261424[[#This Row],[Weight]:[Weight]]*((_xlfn.XMATCH(Table261424[[#This Row],[11]],Table261424[[#This Row],[1]:[11]],0))-1)/(COUNTA(Table261424[[#This Row],[1]:[11]])-COUNTBLANK(Table261424[[#This Row],[1]:[11]])-1)))</f>
        <v/>
      </c>
    </row>
    <row r="31" spans="1:36" ht="84.95" customHeight="1" x14ac:dyDescent="0.2">
      <c r="A31" s="174">
        <v>19</v>
      </c>
      <c r="B31" s="90" t="s">
        <v>234</v>
      </c>
      <c r="C31" s="119" t="s">
        <v>215</v>
      </c>
      <c r="D31" s="119"/>
      <c r="E31" s="153"/>
      <c r="F31" s="153"/>
      <c r="G31" s="120" t="s">
        <v>60</v>
      </c>
      <c r="H31" s="148" cm="1">
        <f t="array" ref="H31">_xlfn.IFS(G31="","",G31="No interest",0,G31="Nice to have",1,G31="Useful",2,G31="Important",3,G31="Very important",4,G31="Critical",5,G31="Show stopper",6)</f>
        <v>6</v>
      </c>
      <c r="I31" s="149">
        <f t="shared" si="1"/>
        <v>4.0983606557377049E-4</v>
      </c>
      <c r="J31" s="150" t="s">
        <v>216</v>
      </c>
      <c r="K31" s="35" t="str" cm="1">
        <f t="array" ref="K31">_xlfn.TEXTJOIN(","&amp;CHAR(10),,TEXT(Table261424[[#This Row],[12]:[22]],"0,00%"))</f>
        <v>0,00%,
0,00%,
0,00%,
0,00%,
0,00%</v>
      </c>
      <c r="L31" s="26"/>
      <c r="M31" s="27" t="e">
        <f>I31-(I31*((MATCH(Table261424[[#This Row],[Evaluators Response (SELECT)]],Table261424[[#This Row],[1]:[11]],0)-1)/(COUNTA(Table261424[[#This Row],[1]:[11]])-COUNTBLANK(Table261424[[#This Row],[1]:[11]])-1)))</f>
        <v>#N/A</v>
      </c>
      <c r="N31" s="28"/>
      <c r="O31" s="29" t="str" cm="1">
        <f t="array" ref="O31">IFERROR(INDEX(_xlfn.UNIQUE(TRIM(_xlfn.TEXTSPLIT(Table261424[[#This Row],[Selection Options]:[Selection Options]],","))),,O$11),"")</f>
        <v>100%: Supported as delivered out of the box</v>
      </c>
      <c r="P31" s="29" t="str" cm="1">
        <f t="array" ref="P31">IFERROR(INDEX(_xlfn.UNIQUE(TRIM(_xlfn.TEXTSPLIT(Table261424[[#This Row],[Selection Options]:[Selection Options]],","))),,P$11),"")</f>
        <v xml:space="preserve">
75%: Supported via modifications (config)</v>
      </c>
      <c r="Q31" s="29" t="str" cm="1">
        <f t="array" ref="Q31">IFERROR(INDEX(_xlfn.UNIQUE(TRIM(_xlfn.TEXTSPLIT(Table261424[[#This Row],[Selection Options]:[Selection Options]],","))),,Q$11),"")</f>
        <v xml:space="preserve">
50%: Supported via a third party solution</v>
      </c>
      <c r="R31" s="29" t="str" cm="1">
        <f t="array" ref="R31">IFERROR(INDEX(_xlfn.UNIQUE(TRIM(_xlfn.TEXTSPLIT(Table261424[[#This Row],[Selection Options]:[Selection Options]],","))),,R$11),"")</f>
        <v xml:space="preserve">
25%: Supported via customisation (source code changes)</v>
      </c>
      <c r="S31" s="29" t="str" cm="1">
        <f t="array" ref="S31">IFERROR(INDEX(_xlfn.UNIQUE(TRIM(_xlfn.TEXTSPLIT(Table261424[[#This Row],[Selection Options]:[Selection Options]],","))),,S$11),"")</f>
        <v xml:space="preserve">
 0%: Not currently supported</v>
      </c>
      <c r="T31" s="29" t="str" cm="1">
        <f t="array" ref="T31">IFERROR(INDEX(_xlfn.UNIQUE(TRIM(_xlfn.TEXTSPLIT(Table261424[[#This Row],[Selection Options]:[Selection Options]],","))),,T$11),"")</f>
        <v/>
      </c>
      <c r="U31" s="29" t="str" cm="1">
        <f t="array" ref="U31">IFERROR(INDEX(_xlfn.UNIQUE(TRIM(_xlfn.TEXTSPLIT(Table261424[[#This Row],[Selection Options]:[Selection Options]],","))),,U$11),"")</f>
        <v/>
      </c>
      <c r="V31" s="29" t="str" cm="1">
        <f t="array" ref="V31">IFERROR(INDEX(_xlfn.UNIQUE(TRIM(_xlfn.TEXTSPLIT(Table261424[[#This Row],[Selection Options]:[Selection Options]],","))),,V$11),"")</f>
        <v/>
      </c>
      <c r="W31" s="29" t="str" cm="1">
        <f t="array" ref="W31">IFERROR(INDEX(_xlfn.UNIQUE(TRIM(_xlfn.TEXTSPLIT(Table261424[[#This Row],[Selection Options]:[Selection Options]],","))),,W$11),"")</f>
        <v/>
      </c>
      <c r="X31" s="29" t="str" cm="1">
        <f t="array" ref="X31">IFERROR(INDEX(_xlfn.UNIQUE(TRIM(_xlfn.TEXTSPLIT(Table261424[[#This Row],[Selection Options]:[Selection Options]],","))),,X$11),"")</f>
        <v/>
      </c>
      <c r="Y31" s="29" t="str" cm="1">
        <f t="array" ref="Y31">IFERROR(INDEX(_xlfn.UNIQUE(TRIM(_xlfn.TEXTSPLIT(Table261424[[#This Row],[Selection Options]:[Selection Options]],","))),,Y$11),"")</f>
        <v/>
      </c>
      <c r="Z31" s="30" cm="1">
        <f t="array" ref="Z31">IF(Table261424[[#This Row],[1]]="","",Table261424[[#This Row],[Weight]:[Weight]]-(Table261424[[#This Row],[Weight]:[Weight]]*((_xlfn.XMATCH(Table261424[[#This Row],[1]],Table261424[[#This Row],[1]:[11]],0))-1)/(COUNTA(Table261424[[#This Row],[1]:[11]])-COUNTBLANK(Table261424[[#This Row],[1]:[11]])-1)))</f>
        <v>4.0983606557377049E-4</v>
      </c>
      <c r="AA31" s="30" cm="1">
        <f t="array" ref="AA31">IF(Table261424[[#This Row],[2]]="","",Table261424[[#This Row],[Weight]:[Weight]]-(Table261424[[#This Row],[Weight]:[Weight]]*((_xlfn.XMATCH(Table261424[[#This Row],[2]],Table261424[[#This Row],[1]:[11]],0))-1)/(COUNTA(Table261424[[#This Row],[1]:[11]])-COUNTBLANK(Table261424[[#This Row],[1]:[11]])-1)))</f>
        <v>3.0737704918032784E-4</v>
      </c>
      <c r="AB31" s="30" cm="1">
        <f t="array" ref="AB31">IF(Table261424[[#This Row],[3]]="","",Table261424[[#This Row],[Weight]:[Weight]]-(Table261424[[#This Row],[Weight]:[Weight]]*((_xlfn.XMATCH(Table261424[[#This Row],[3]],Table261424[[#This Row],[1]:[11]],0))-1)/(COUNTA(Table261424[[#This Row],[1]:[11]])-COUNTBLANK(Table261424[[#This Row],[1]:[11]])-1)))</f>
        <v>2.0491803278688525E-4</v>
      </c>
      <c r="AC31" s="30" cm="1">
        <f t="array" ref="AC31">IF(Table261424[[#This Row],[4]]="","",Table261424[[#This Row],[Weight]:[Weight]]-(Table261424[[#This Row],[Weight]:[Weight]]*((_xlfn.XMATCH(Table261424[[#This Row],[4]],Table261424[[#This Row],[1]:[11]],0))-1)/(COUNTA(Table261424[[#This Row],[1]:[11]])-COUNTBLANK(Table261424[[#This Row],[1]:[11]])-1)))</f>
        <v>1.0245901639344265E-4</v>
      </c>
      <c r="AD31" s="30" cm="1">
        <f t="array" ref="AD31">IF(Table261424[[#This Row],[5]]="","",Table261424[[#This Row],[Weight]:[Weight]]-(Table261424[[#This Row],[Weight]:[Weight]]*((_xlfn.XMATCH(Table261424[[#This Row],[5]],Table261424[[#This Row],[1]:[11]],0))-1)/(COUNTA(Table261424[[#This Row],[1]:[11]])-COUNTBLANK(Table261424[[#This Row],[1]:[11]])-1)))</f>
        <v>0</v>
      </c>
      <c r="AE31" s="30" t="str" cm="1">
        <f t="array" ref="AE31">IF(Table261424[[#This Row],[6]]="","",Table261424[[#This Row],[Weight]:[Weight]]-(Table261424[[#This Row],[Weight]:[Weight]]*((_xlfn.XMATCH(Table261424[[#This Row],[6]],Table261424[[#This Row],[1]:[11]],0))-1)/(COUNTA(Table261424[[#This Row],[1]:[11]])-COUNTBLANK(Table261424[[#This Row],[1]:[11]])-1)))</f>
        <v/>
      </c>
      <c r="AF31" s="30" t="str" cm="1">
        <f t="array" ref="AF31">IF(Table261424[[#This Row],[7]]="","",Table261424[[#This Row],[Weight]:[Weight]]-(Table261424[[#This Row],[Weight]:[Weight]]*((_xlfn.XMATCH(Table261424[[#This Row],[7]],Table261424[[#This Row],[1]:[11]],0))-1)/(COUNTA(Table261424[[#This Row],[1]:[11]])-COUNTBLANK(Table261424[[#This Row],[1]:[11]])-1)))</f>
        <v/>
      </c>
      <c r="AG31" s="30" t="str" cm="1">
        <f t="array" ref="AG31">IF(Table261424[[#This Row],[8]]="","",Table261424[[#This Row],[Weight]:[Weight]]-(Table261424[[#This Row],[Weight]:[Weight]]*((_xlfn.XMATCH(Table261424[[#This Row],[8]],Table261424[[#This Row],[1]:[11]],0))-1)/(COUNTA(Table261424[[#This Row],[1]:[11]])-COUNTBLANK(Table261424[[#This Row],[1]:[11]])-1)))</f>
        <v/>
      </c>
      <c r="AH31" s="30" t="str" cm="1">
        <f t="array" ref="AH31">IF(Table261424[[#This Row],[9]]="","",Table261424[[#This Row],[Weight]:[Weight]]-(Table261424[[#This Row],[Weight]:[Weight]]*((_xlfn.XMATCH(Table261424[[#This Row],[9]],Table261424[[#This Row],[1]:[11]],0))-1)/(COUNTA(Table261424[[#This Row],[1]:[11]])-COUNTBLANK(Table261424[[#This Row],[1]:[11]])-1)))</f>
        <v/>
      </c>
      <c r="AI31" s="30" t="str" cm="1">
        <f t="array" ref="AI31">IF(Table261424[[#This Row],[10]]="","",Table261424[[#This Row],[Weight]:[Weight]]-(Table261424[[#This Row],[Weight]:[Weight]]*((_xlfn.XMATCH(Table261424[[#This Row],[10]],Table261424[[#This Row],[1]:[11]],0))-1)/(COUNTA(Table261424[[#This Row],[1]:[11]])-COUNTBLANK(Table261424[[#This Row],[1]:[11]])-1)))</f>
        <v/>
      </c>
      <c r="AJ31" s="30" t="str" cm="1">
        <f t="array" ref="AJ31">IF(Table261424[[#This Row],[11]]="","",Table261424[[#This Row],[Weight]:[Weight]]-(Table261424[[#This Row],[Weight]:[Weight]]*((_xlfn.XMATCH(Table261424[[#This Row],[11]],Table261424[[#This Row],[1]:[11]],0))-1)/(COUNTA(Table261424[[#This Row],[1]:[11]])-COUNTBLANK(Table261424[[#This Row],[1]:[11]])-1)))</f>
        <v/>
      </c>
    </row>
    <row r="32" spans="1:36" ht="72" x14ac:dyDescent="0.2">
      <c r="A32" s="174">
        <v>20</v>
      </c>
      <c r="B32" s="90" t="s">
        <v>235</v>
      </c>
      <c r="C32" s="119" t="s">
        <v>215</v>
      </c>
      <c r="D32" s="119"/>
      <c r="E32" s="153"/>
      <c r="F32" s="153"/>
      <c r="G32" s="120" t="s">
        <v>60</v>
      </c>
      <c r="H32" s="148" cm="1">
        <f t="array" ref="H32">_xlfn.IFS(G32="","",G32="No interest",0,G32="Nice to have",1,G32="Useful",2,G32="Important",3,G32="Very important",4,G32="Critical",5,G32="Show stopper",6)</f>
        <v>6</v>
      </c>
      <c r="I32" s="149">
        <f t="shared" si="1"/>
        <v>4.0983606557377049E-4</v>
      </c>
      <c r="J32" s="150" t="s">
        <v>216</v>
      </c>
      <c r="K32" s="35" t="str" cm="1">
        <f t="array" ref="K32">_xlfn.TEXTJOIN(","&amp;CHAR(10),,TEXT(Table261424[[#This Row],[12]:[22]],"0,00%"))</f>
        <v>0,00%,
0,00%,
0,00%,
0,00%,
0,00%</v>
      </c>
      <c r="L32" s="26"/>
      <c r="M32" s="27" t="e">
        <f>I32-(I32*((MATCH(Table261424[[#This Row],[Evaluators Response (SELECT)]],Table261424[[#This Row],[1]:[11]],0)-1)/(COUNTA(Table261424[[#This Row],[1]:[11]])-COUNTBLANK(Table261424[[#This Row],[1]:[11]])-1)))</f>
        <v>#N/A</v>
      </c>
      <c r="N32" s="28"/>
      <c r="O32" s="29" t="str" cm="1">
        <f t="array" ref="O32">IFERROR(INDEX(_xlfn.UNIQUE(TRIM(_xlfn.TEXTSPLIT(Table261424[[#This Row],[Selection Options]:[Selection Options]],","))),,O$11),"")</f>
        <v>100%: Supported as delivered out of the box</v>
      </c>
      <c r="P32" s="29" t="str" cm="1">
        <f t="array" ref="P32">IFERROR(INDEX(_xlfn.UNIQUE(TRIM(_xlfn.TEXTSPLIT(Table261424[[#This Row],[Selection Options]:[Selection Options]],","))),,P$11),"")</f>
        <v xml:space="preserve">
75%: Supported via modifications (config)</v>
      </c>
      <c r="Q32" s="29" t="str" cm="1">
        <f t="array" ref="Q32">IFERROR(INDEX(_xlfn.UNIQUE(TRIM(_xlfn.TEXTSPLIT(Table261424[[#This Row],[Selection Options]:[Selection Options]],","))),,Q$11),"")</f>
        <v xml:space="preserve">
50%: Supported via a third party solution</v>
      </c>
      <c r="R32" s="29" t="str" cm="1">
        <f t="array" ref="R32">IFERROR(INDEX(_xlfn.UNIQUE(TRIM(_xlfn.TEXTSPLIT(Table261424[[#This Row],[Selection Options]:[Selection Options]],","))),,R$11),"")</f>
        <v xml:space="preserve">
25%: Supported via customisation (source code changes)</v>
      </c>
      <c r="S32" s="29" t="str" cm="1">
        <f t="array" ref="S32">IFERROR(INDEX(_xlfn.UNIQUE(TRIM(_xlfn.TEXTSPLIT(Table261424[[#This Row],[Selection Options]:[Selection Options]],","))),,S$11),"")</f>
        <v xml:space="preserve">
 0%: Not currently supported</v>
      </c>
      <c r="T32" s="29" t="str" cm="1">
        <f t="array" ref="T32">IFERROR(INDEX(_xlfn.UNIQUE(TRIM(_xlfn.TEXTSPLIT(Table261424[[#This Row],[Selection Options]:[Selection Options]],","))),,T$11),"")</f>
        <v/>
      </c>
      <c r="U32" s="29" t="str" cm="1">
        <f t="array" ref="U32">IFERROR(INDEX(_xlfn.UNIQUE(TRIM(_xlfn.TEXTSPLIT(Table261424[[#This Row],[Selection Options]:[Selection Options]],","))),,U$11),"")</f>
        <v/>
      </c>
      <c r="V32" s="29" t="str" cm="1">
        <f t="array" ref="V32">IFERROR(INDEX(_xlfn.UNIQUE(TRIM(_xlfn.TEXTSPLIT(Table261424[[#This Row],[Selection Options]:[Selection Options]],","))),,V$11),"")</f>
        <v/>
      </c>
      <c r="W32" s="29" t="str" cm="1">
        <f t="array" ref="W32">IFERROR(INDEX(_xlfn.UNIQUE(TRIM(_xlfn.TEXTSPLIT(Table261424[[#This Row],[Selection Options]:[Selection Options]],","))),,W$11),"")</f>
        <v/>
      </c>
      <c r="X32" s="29" t="str" cm="1">
        <f t="array" ref="X32">IFERROR(INDEX(_xlfn.UNIQUE(TRIM(_xlfn.TEXTSPLIT(Table261424[[#This Row],[Selection Options]:[Selection Options]],","))),,X$11),"")</f>
        <v/>
      </c>
      <c r="Y32" s="29" t="str" cm="1">
        <f t="array" ref="Y32">IFERROR(INDEX(_xlfn.UNIQUE(TRIM(_xlfn.TEXTSPLIT(Table261424[[#This Row],[Selection Options]:[Selection Options]],","))),,Y$11),"")</f>
        <v/>
      </c>
      <c r="Z32" s="30" cm="1">
        <f t="array" ref="Z32">IF(Table261424[[#This Row],[1]]="","",Table261424[[#This Row],[Weight]:[Weight]]-(Table261424[[#This Row],[Weight]:[Weight]]*((_xlfn.XMATCH(Table261424[[#This Row],[1]],Table261424[[#This Row],[1]:[11]],0))-1)/(COUNTA(Table261424[[#This Row],[1]:[11]])-COUNTBLANK(Table261424[[#This Row],[1]:[11]])-1)))</f>
        <v>4.0983606557377049E-4</v>
      </c>
      <c r="AA32" s="30" cm="1">
        <f t="array" ref="AA32">IF(Table261424[[#This Row],[2]]="","",Table261424[[#This Row],[Weight]:[Weight]]-(Table261424[[#This Row],[Weight]:[Weight]]*((_xlfn.XMATCH(Table261424[[#This Row],[2]],Table261424[[#This Row],[1]:[11]],0))-1)/(COUNTA(Table261424[[#This Row],[1]:[11]])-COUNTBLANK(Table261424[[#This Row],[1]:[11]])-1)))</f>
        <v>3.0737704918032784E-4</v>
      </c>
      <c r="AB32" s="30" cm="1">
        <f t="array" ref="AB32">IF(Table261424[[#This Row],[3]]="","",Table261424[[#This Row],[Weight]:[Weight]]-(Table261424[[#This Row],[Weight]:[Weight]]*((_xlfn.XMATCH(Table261424[[#This Row],[3]],Table261424[[#This Row],[1]:[11]],0))-1)/(COUNTA(Table261424[[#This Row],[1]:[11]])-COUNTBLANK(Table261424[[#This Row],[1]:[11]])-1)))</f>
        <v>2.0491803278688525E-4</v>
      </c>
      <c r="AC32" s="30" cm="1">
        <f t="array" ref="AC32">IF(Table261424[[#This Row],[4]]="","",Table261424[[#This Row],[Weight]:[Weight]]-(Table261424[[#This Row],[Weight]:[Weight]]*((_xlfn.XMATCH(Table261424[[#This Row],[4]],Table261424[[#This Row],[1]:[11]],0))-1)/(COUNTA(Table261424[[#This Row],[1]:[11]])-COUNTBLANK(Table261424[[#This Row],[1]:[11]])-1)))</f>
        <v>1.0245901639344265E-4</v>
      </c>
      <c r="AD32" s="30" cm="1">
        <f t="array" ref="AD32">IF(Table261424[[#This Row],[5]]="","",Table261424[[#This Row],[Weight]:[Weight]]-(Table261424[[#This Row],[Weight]:[Weight]]*((_xlfn.XMATCH(Table261424[[#This Row],[5]],Table261424[[#This Row],[1]:[11]],0))-1)/(COUNTA(Table261424[[#This Row],[1]:[11]])-COUNTBLANK(Table261424[[#This Row],[1]:[11]])-1)))</f>
        <v>0</v>
      </c>
      <c r="AE32" s="30" t="str" cm="1">
        <f t="array" ref="AE32">IF(Table261424[[#This Row],[6]]="","",Table261424[[#This Row],[Weight]:[Weight]]-(Table261424[[#This Row],[Weight]:[Weight]]*((_xlfn.XMATCH(Table261424[[#This Row],[6]],Table261424[[#This Row],[1]:[11]],0))-1)/(COUNTA(Table261424[[#This Row],[1]:[11]])-COUNTBLANK(Table261424[[#This Row],[1]:[11]])-1)))</f>
        <v/>
      </c>
      <c r="AF32" s="30" t="str" cm="1">
        <f t="array" ref="AF32">IF(Table261424[[#This Row],[7]]="","",Table261424[[#This Row],[Weight]:[Weight]]-(Table261424[[#This Row],[Weight]:[Weight]]*((_xlfn.XMATCH(Table261424[[#This Row],[7]],Table261424[[#This Row],[1]:[11]],0))-1)/(COUNTA(Table261424[[#This Row],[1]:[11]])-COUNTBLANK(Table261424[[#This Row],[1]:[11]])-1)))</f>
        <v/>
      </c>
      <c r="AG32" s="30" t="str" cm="1">
        <f t="array" ref="AG32">IF(Table261424[[#This Row],[8]]="","",Table261424[[#This Row],[Weight]:[Weight]]-(Table261424[[#This Row],[Weight]:[Weight]]*((_xlfn.XMATCH(Table261424[[#This Row],[8]],Table261424[[#This Row],[1]:[11]],0))-1)/(COUNTA(Table261424[[#This Row],[1]:[11]])-COUNTBLANK(Table261424[[#This Row],[1]:[11]])-1)))</f>
        <v/>
      </c>
      <c r="AH32" s="30" t="str" cm="1">
        <f t="array" ref="AH32">IF(Table261424[[#This Row],[9]]="","",Table261424[[#This Row],[Weight]:[Weight]]-(Table261424[[#This Row],[Weight]:[Weight]]*((_xlfn.XMATCH(Table261424[[#This Row],[9]],Table261424[[#This Row],[1]:[11]],0))-1)/(COUNTA(Table261424[[#This Row],[1]:[11]])-COUNTBLANK(Table261424[[#This Row],[1]:[11]])-1)))</f>
        <v/>
      </c>
      <c r="AI32" s="30" t="str" cm="1">
        <f t="array" ref="AI32">IF(Table261424[[#This Row],[10]]="","",Table261424[[#This Row],[Weight]:[Weight]]-(Table261424[[#This Row],[Weight]:[Weight]]*((_xlfn.XMATCH(Table261424[[#This Row],[10]],Table261424[[#This Row],[1]:[11]],0))-1)/(COUNTA(Table261424[[#This Row],[1]:[11]])-COUNTBLANK(Table261424[[#This Row],[1]:[11]])-1)))</f>
        <v/>
      </c>
      <c r="AJ32" s="30" t="str" cm="1">
        <f t="array" ref="AJ32">IF(Table261424[[#This Row],[11]]="","",Table261424[[#This Row],[Weight]:[Weight]]-(Table261424[[#This Row],[Weight]:[Weight]]*((_xlfn.XMATCH(Table261424[[#This Row],[11]],Table261424[[#This Row],[1]:[11]],0))-1)/(COUNTA(Table261424[[#This Row],[1]:[11]])-COUNTBLANK(Table261424[[#This Row],[1]:[11]])-1)))</f>
        <v/>
      </c>
    </row>
    <row r="33" spans="1:36" ht="72" x14ac:dyDescent="0.2">
      <c r="A33" s="174">
        <v>21</v>
      </c>
      <c r="B33" s="90" t="s">
        <v>236</v>
      </c>
      <c r="C33" s="119" t="s">
        <v>215</v>
      </c>
      <c r="D33" s="119"/>
      <c r="E33" s="153"/>
      <c r="F33" s="153"/>
      <c r="G33" s="120" t="s">
        <v>188</v>
      </c>
      <c r="H33" s="148" cm="1">
        <f t="array" ref="H33">_xlfn.IFS(G33="","",G33="No interest",0,G33="Nice to have",1,G33="Useful",2,G33="Important",3,G33="Very important",4,G33="Critical",5,G33="Show stopper",6)</f>
        <v>5</v>
      </c>
      <c r="I33" s="149">
        <f t="shared" si="1"/>
        <v>3.4153005464480874E-4</v>
      </c>
      <c r="J33" s="150" t="s">
        <v>216</v>
      </c>
      <c r="K33" s="35" t="str" cm="1">
        <f t="array" ref="K33">_xlfn.TEXTJOIN(","&amp;CHAR(10),,TEXT(Table261424[[#This Row],[12]:[22]],"0,00%"))</f>
        <v>0,00%,
0,00%,
0,00%,
0,00%,
0,00%</v>
      </c>
      <c r="L33" s="26"/>
      <c r="M33" s="27" t="e">
        <f>I33-(I33*((MATCH(Table261424[[#This Row],[Evaluators Response (SELECT)]],Table261424[[#This Row],[1]:[11]],0)-1)/(COUNTA(Table261424[[#This Row],[1]:[11]])-COUNTBLANK(Table261424[[#This Row],[1]:[11]])-1)))</f>
        <v>#N/A</v>
      </c>
      <c r="N33" s="28"/>
      <c r="O33" s="29" t="str" cm="1">
        <f t="array" ref="O33">IFERROR(INDEX(_xlfn.UNIQUE(TRIM(_xlfn.TEXTSPLIT(Table261424[[#This Row],[Selection Options]:[Selection Options]],","))),,O$11),"")</f>
        <v>100%: Supported as delivered out of the box</v>
      </c>
      <c r="P33" s="29" t="str" cm="1">
        <f t="array" ref="P33">IFERROR(INDEX(_xlfn.UNIQUE(TRIM(_xlfn.TEXTSPLIT(Table261424[[#This Row],[Selection Options]:[Selection Options]],","))),,P$11),"")</f>
        <v xml:space="preserve">
75%: Supported via modifications (config)</v>
      </c>
      <c r="Q33" s="29" t="str" cm="1">
        <f t="array" ref="Q33">IFERROR(INDEX(_xlfn.UNIQUE(TRIM(_xlfn.TEXTSPLIT(Table261424[[#This Row],[Selection Options]:[Selection Options]],","))),,Q$11),"")</f>
        <v xml:space="preserve">
50%: Supported via a third party solution</v>
      </c>
      <c r="R33" s="29" t="str" cm="1">
        <f t="array" ref="R33">IFERROR(INDEX(_xlfn.UNIQUE(TRIM(_xlfn.TEXTSPLIT(Table261424[[#This Row],[Selection Options]:[Selection Options]],","))),,R$11),"")</f>
        <v xml:space="preserve">
25%: Supported via customisation (source code changes)</v>
      </c>
      <c r="S33" s="29" t="str" cm="1">
        <f t="array" ref="S33">IFERROR(INDEX(_xlfn.UNIQUE(TRIM(_xlfn.TEXTSPLIT(Table261424[[#This Row],[Selection Options]:[Selection Options]],","))),,S$11),"")</f>
        <v xml:space="preserve">
 0%: Not currently supported</v>
      </c>
      <c r="T33" s="29" t="str" cm="1">
        <f t="array" ref="T33">IFERROR(INDEX(_xlfn.UNIQUE(TRIM(_xlfn.TEXTSPLIT(Table261424[[#This Row],[Selection Options]:[Selection Options]],","))),,T$11),"")</f>
        <v/>
      </c>
      <c r="U33" s="29" t="str" cm="1">
        <f t="array" ref="U33">IFERROR(INDEX(_xlfn.UNIQUE(TRIM(_xlfn.TEXTSPLIT(Table261424[[#This Row],[Selection Options]:[Selection Options]],","))),,U$11),"")</f>
        <v/>
      </c>
      <c r="V33" s="29" t="str" cm="1">
        <f t="array" ref="V33">IFERROR(INDEX(_xlfn.UNIQUE(TRIM(_xlfn.TEXTSPLIT(Table261424[[#This Row],[Selection Options]:[Selection Options]],","))),,V$11),"")</f>
        <v/>
      </c>
      <c r="W33" s="29" t="str" cm="1">
        <f t="array" ref="W33">IFERROR(INDEX(_xlfn.UNIQUE(TRIM(_xlfn.TEXTSPLIT(Table261424[[#This Row],[Selection Options]:[Selection Options]],","))),,W$11),"")</f>
        <v/>
      </c>
      <c r="X33" s="29" t="str" cm="1">
        <f t="array" ref="X33">IFERROR(INDEX(_xlfn.UNIQUE(TRIM(_xlfn.TEXTSPLIT(Table261424[[#This Row],[Selection Options]:[Selection Options]],","))),,X$11),"")</f>
        <v/>
      </c>
      <c r="Y33" s="29" t="str" cm="1">
        <f t="array" ref="Y33">IFERROR(INDEX(_xlfn.UNIQUE(TRIM(_xlfn.TEXTSPLIT(Table261424[[#This Row],[Selection Options]:[Selection Options]],","))),,Y$11),"")</f>
        <v/>
      </c>
      <c r="Z33" s="30" cm="1">
        <f t="array" ref="Z33">IF(Table261424[[#This Row],[1]]="","",Table261424[[#This Row],[Weight]:[Weight]]-(Table261424[[#This Row],[Weight]:[Weight]]*((_xlfn.XMATCH(Table261424[[#This Row],[1]],Table261424[[#This Row],[1]:[11]],0))-1)/(COUNTA(Table261424[[#This Row],[1]:[11]])-COUNTBLANK(Table261424[[#This Row],[1]:[11]])-1)))</f>
        <v>3.4153005464480874E-4</v>
      </c>
      <c r="AA33" s="30" cm="1">
        <f t="array" ref="AA33">IF(Table261424[[#This Row],[2]]="","",Table261424[[#This Row],[Weight]:[Weight]]-(Table261424[[#This Row],[Weight]:[Weight]]*((_xlfn.XMATCH(Table261424[[#This Row],[2]],Table261424[[#This Row],[1]:[11]],0))-1)/(COUNTA(Table261424[[#This Row],[1]:[11]])-COUNTBLANK(Table261424[[#This Row],[1]:[11]])-1)))</f>
        <v>2.5614754098360657E-4</v>
      </c>
      <c r="AB33" s="30" cm="1">
        <f t="array" ref="AB33">IF(Table261424[[#This Row],[3]]="","",Table261424[[#This Row],[Weight]:[Weight]]-(Table261424[[#This Row],[Weight]:[Weight]]*((_xlfn.XMATCH(Table261424[[#This Row],[3]],Table261424[[#This Row],[1]:[11]],0))-1)/(COUNTA(Table261424[[#This Row],[1]:[11]])-COUNTBLANK(Table261424[[#This Row],[1]:[11]])-1)))</f>
        <v>1.7076502732240437E-4</v>
      </c>
      <c r="AC33" s="30" cm="1">
        <f t="array" ref="AC33">IF(Table261424[[#This Row],[4]]="","",Table261424[[#This Row],[Weight]:[Weight]]-(Table261424[[#This Row],[Weight]:[Weight]]*((_xlfn.XMATCH(Table261424[[#This Row],[4]],Table261424[[#This Row],[1]:[11]],0))-1)/(COUNTA(Table261424[[#This Row],[1]:[11]])-COUNTBLANK(Table261424[[#This Row],[1]:[11]])-1)))</f>
        <v>8.5382513661202172E-5</v>
      </c>
      <c r="AD33" s="30" cm="1">
        <f t="array" ref="AD33">IF(Table261424[[#This Row],[5]]="","",Table261424[[#This Row],[Weight]:[Weight]]-(Table261424[[#This Row],[Weight]:[Weight]]*((_xlfn.XMATCH(Table261424[[#This Row],[5]],Table261424[[#This Row],[1]:[11]],0))-1)/(COUNTA(Table261424[[#This Row],[1]:[11]])-COUNTBLANK(Table261424[[#This Row],[1]:[11]])-1)))</f>
        <v>0</v>
      </c>
      <c r="AE33" s="30" t="str" cm="1">
        <f t="array" ref="AE33">IF(Table261424[[#This Row],[6]]="","",Table261424[[#This Row],[Weight]:[Weight]]-(Table261424[[#This Row],[Weight]:[Weight]]*((_xlfn.XMATCH(Table261424[[#This Row],[6]],Table261424[[#This Row],[1]:[11]],0))-1)/(COUNTA(Table261424[[#This Row],[1]:[11]])-COUNTBLANK(Table261424[[#This Row],[1]:[11]])-1)))</f>
        <v/>
      </c>
      <c r="AF33" s="30" t="str" cm="1">
        <f t="array" ref="AF33">IF(Table261424[[#This Row],[7]]="","",Table261424[[#This Row],[Weight]:[Weight]]-(Table261424[[#This Row],[Weight]:[Weight]]*((_xlfn.XMATCH(Table261424[[#This Row],[7]],Table261424[[#This Row],[1]:[11]],0))-1)/(COUNTA(Table261424[[#This Row],[1]:[11]])-COUNTBLANK(Table261424[[#This Row],[1]:[11]])-1)))</f>
        <v/>
      </c>
      <c r="AG33" s="30" t="str" cm="1">
        <f t="array" ref="AG33">IF(Table261424[[#This Row],[8]]="","",Table261424[[#This Row],[Weight]:[Weight]]-(Table261424[[#This Row],[Weight]:[Weight]]*((_xlfn.XMATCH(Table261424[[#This Row],[8]],Table261424[[#This Row],[1]:[11]],0))-1)/(COUNTA(Table261424[[#This Row],[1]:[11]])-COUNTBLANK(Table261424[[#This Row],[1]:[11]])-1)))</f>
        <v/>
      </c>
      <c r="AH33" s="30" t="str" cm="1">
        <f t="array" ref="AH33">IF(Table261424[[#This Row],[9]]="","",Table261424[[#This Row],[Weight]:[Weight]]-(Table261424[[#This Row],[Weight]:[Weight]]*((_xlfn.XMATCH(Table261424[[#This Row],[9]],Table261424[[#This Row],[1]:[11]],0))-1)/(COUNTA(Table261424[[#This Row],[1]:[11]])-COUNTBLANK(Table261424[[#This Row],[1]:[11]])-1)))</f>
        <v/>
      </c>
      <c r="AI33" s="30" t="str" cm="1">
        <f t="array" ref="AI33">IF(Table261424[[#This Row],[10]]="","",Table261424[[#This Row],[Weight]:[Weight]]-(Table261424[[#This Row],[Weight]:[Weight]]*((_xlfn.XMATCH(Table261424[[#This Row],[10]],Table261424[[#This Row],[1]:[11]],0))-1)/(COUNTA(Table261424[[#This Row],[1]:[11]])-COUNTBLANK(Table261424[[#This Row],[1]:[11]])-1)))</f>
        <v/>
      </c>
      <c r="AJ33" s="30" t="str" cm="1">
        <f t="array" ref="AJ33">IF(Table261424[[#This Row],[11]]="","",Table261424[[#This Row],[Weight]:[Weight]]-(Table261424[[#This Row],[Weight]:[Weight]]*((_xlfn.XMATCH(Table261424[[#This Row],[11]],Table261424[[#This Row],[1]:[11]],0))-1)/(COUNTA(Table261424[[#This Row],[1]:[11]])-COUNTBLANK(Table261424[[#This Row],[1]:[11]])-1)))</f>
        <v/>
      </c>
    </row>
    <row r="34" spans="1:36" ht="72" x14ac:dyDescent="0.2">
      <c r="A34" s="174">
        <v>22</v>
      </c>
      <c r="B34" s="90" t="s">
        <v>237</v>
      </c>
      <c r="C34" s="119" t="s">
        <v>215</v>
      </c>
      <c r="D34" s="119"/>
      <c r="E34" s="153"/>
      <c r="F34" s="153"/>
      <c r="G34" s="120" t="s">
        <v>188</v>
      </c>
      <c r="H34" s="148" cm="1">
        <f t="array" ref="H34">_xlfn.IFS(G34="","",G34="No interest",0,G34="Nice to have",1,G34="Useful",2,G34="Important",3,G34="Very important",4,G34="Critical",5,G34="Show stopper",6)</f>
        <v>5</v>
      </c>
      <c r="I34" s="149">
        <f t="shared" si="1"/>
        <v>3.4153005464480874E-4</v>
      </c>
      <c r="J34" s="150" t="s">
        <v>216</v>
      </c>
      <c r="K34" s="35" t="str" cm="1">
        <f t="array" ref="K34">_xlfn.TEXTJOIN(","&amp;CHAR(10),,TEXT(Table261424[[#This Row],[12]:[22]],"0,00%"))</f>
        <v>0,00%,
0,00%,
0,00%,
0,00%,
0,00%</v>
      </c>
      <c r="L34" s="26"/>
      <c r="M34" s="27" t="e">
        <f>I34-(I34*((MATCH(Table261424[[#This Row],[Evaluators Response (SELECT)]],Table261424[[#This Row],[1]:[11]],0)-1)/(COUNTA(Table261424[[#This Row],[1]:[11]])-COUNTBLANK(Table261424[[#This Row],[1]:[11]])-1)))</f>
        <v>#N/A</v>
      </c>
      <c r="N34" s="28"/>
      <c r="O34" s="29" t="str" cm="1">
        <f t="array" ref="O34">IFERROR(INDEX(_xlfn.UNIQUE(TRIM(_xlfn.TEXTSPLIT(Table261424[[#This Row],[Selection Options]:[Selection Options]],","))),,O$11),"")</f>
        <v>100%: Supported as delivered out of the box</v>
      </c>
      <c r="P34" s="29" t="str" cm="1">
        <f t="array" ref="P34">IFERROR(INDEX(_xlfn.UNIQUE(TRIM(_xlfn.TEXTSPLIT(Table261424[[#This Row],[Selection Options]:[Selection Options]],","))),,P$11),"")</f>
        <v xml:space="preserve">
75%: Supported via modifications (config)</v>
      </c>
      <c r="Q34" s="29" t="str" cm="1">
        <f t="array" ref="Q34">IFERROR(INDEX(_xlfn.UNIQUE(TRIM(_xlfn.TEXTSPLIT(Table261424[[#This Row],[Selection Options]:[Selection Options]],","))),,Q$11),"")</f>
        <v xml:space="preserve">
50%: Supported via a third party solution</v>
      </c>
      <c r="R34" s="29" t="str" cm="1">
        <f t="array" ref="R34">IFERROR(INDEX(_xlfn.UNIQUE(TRIM(_xlfn.TEXTSPLIT(Table261424[[#This Row],[Selection Options]:[Selection Options]],","))),,R$11),"")</f>
        <v xml:space="preserve">
25%: Supported via customisation (source code changes)</v>
      </c>
      <c r="S34" s="29" t="str" cm="1">
        <f t="array" ref="S34">IFERROR(INDEX(_xlfn.UNIQUE(TRIM(_xlfn.TEXTSPLIT(Table261424[[#This Row],[Selection Options]:[Selection Options]],","))),,S$11),"")</f>
        <v xml:space="preserve">
 0%: Not currently supported</v>
      </c>
      <c r="T34" s="29" t="str" cm="1">
        <f t="array" ref="T34">IFERROR(INDEX(_xlfn.UNIQUE(TRIM(_xlfn.TEXTSPLIT(Table261424[[#This Row],[Selection Options]:[Selection Options]],","))),,T$11),"")</f>
        <v/>
      </c>
      <c r="U34" s="29" t="str" cm="1">
        <f t="array" ref="U34">IFERROR(INDEX(_xlfn.UNIQUE(TRIM(_xlfn.TEXTSPLIT(Table261424[[#This Row],[Selection Options]:[Selection Options]],","))),,U$11),"")</f>
        <v/>
      </c>
      <c r="V34" s="29" t="str" cm="1">
        <f t="array" ref="V34">IFERROR(INDEX(_xlfn.UNIQUE(TRIM(_xlfn.TEXTSPLIT(Table261424[[#This Row],[Selection Options]:[Selection Options]],","))),,V$11),"")</f>
        <v/>
      </c>
      <c r="W34" s="29" t="str" cm="1">
        <f t="array" ref="W34">IFERROR(INDEX(_xlfn.UNIQUE(TRIM(_xlfn.TEXTSPLIT(Table261424[[#This Row],[Selection Options]:[Selection Options]],","))),,W$11),"")</f>
        <v/>
      </c>
      <c r="X34" s="29" t="str" cm="1">
        <f t="array" ref="X34">IFERROR(INDEX(_xlfn.UNIQUE(TRIM(_xlfn.TEXTSPLIT(Table261424[[#This Row],[Selection Options]:[Selection Options]],","))),,X$11),"")</f>
        <v/>
      </c>
      <c r="Y34" s="29" t="str" cm="1">
        <f t="array" ref="Y34">IFERROR(INDEX(_xlfn.UNIQUE(TRIM(_xlfn.TEXTSPLIT(Table261424[[#This Row],[Selection Options]:[Selection Options]],","))),,Y$11),"")</f>
        <v/>
      </c>
      <c r="Z34" s="30" cm="1">
        <f t="array" ref="Z34">IF(Table261424[[#This Row],[1]]="","",Table261424[[#This Row],[Weight]:[Weight]]-(Table261424[[#This Row],[Weight]:[Weight]]*((_xlfn.XMATCH(Table261424[[#This Row],[1]],Table261424[[#This Row],[1]:[11]],0))-1)/(COUNTA(Table261424[[#This Row],[1]:[11]])-COUNTBLANK(Table261424[[#This Row],[1]:[11]])-1)))</f>
        <v>3.4153005464480874E-4</v>
      </c>
      <c r="AA34" s="30" cm="1">
        <f t="array" ref="AA34">IF(Table261424[[#This Row],[2]]="","",Table261424[[#This Row],[Weight]:[Weight]]-(Table261424[[#This Row],[Weight]:[Weight]]*((_xlfn.XMATCH(Table261424[[#This Row],[2]],Table261424[[#This Row],[1]:[11]],0))-1)/(COUNTA(Table261424[[#This Row],[1]:[11]])-COUNTBLANK(Table261424[[#This Row],[1]:[11]])-1)))</f>
        <v>2.5614754098360657E-4</v>
      </c>
      <c r="AB34" s="30" cm="1">
        <f t="array" ref="AB34">IF(Table261424[[#This Row],[3]]="","",Table261424[[#This Row],[Weight]:[Weight]]-(Table261424[[#This Row],[Weight]:[Weight]]*((_xlfn.XMATCH(Table261424[[#This Row],[3]],Table261424[[#This Row],[1]:[11]],0))-1)/(COUNTA(Table261424[[#This Row],[1]:[11]])-COUNTBLANK(Table261424[[#This Row],[1]:[11]])-1)))</f>
        <v>1.7076502732240437E-4</v>
      </c>
      <c r="AC34" s="30" cm="1">
        <f t="array" ref="AC34">IF(Table261424[[#This Row],[4]]="","",Table261424[[#This Row],[Weight]:[Weight]]-(Table261424[[#This Row],[Weight]:[Weight]]*((_xlfn.XMATCH(Table261424[[#This Row],[4]],Table261424[[#This Row],[1]:[11]],0))-1)/(COUNTA(Table261424[[#This Row],[1]:[11]])-COUNTBLANK(Table261424[[#This Row],[1]:[11]])-1)))</f>
        <v>8.5382513661202172E-5</v>
      </c>
      <c r="AD34" s="30" cm="1">
        <f t="array" ref="AD34">IF(Table261424[[#This Row],[5]]="","",Table261424[[#This Row],[Weight]:[Weight]]-(Table261424[[#This Row],[Weight]:[Weight]]*((_xlfn.XMATCH(Table261424[[#This Row],[5]],Table261424[[#This Row],[1]:[11]],0))-1)/(COUNTA(Table261424[[#This Row],[1]:[11]])-COUNTBLANK(Table261424[[#This Row],[1]:[11]])-1)))</f>
        <v>0</v>
      </c>
      <c r="AE34" s="30" t="str" cm="1">
        <f t="array" ref="AE34">IF(Table261424[[#This Row],[6]]="","",Table261424[[#This Row],[Weight]:[Weight]]-(Table261424[[#This Row],[Weight]:[Weight]]*((_xlfn.XMATCH(Table261424[[#This Row],[6]],Table261424[[#This Row],[1]:[11]],0))-1)/(COUNTA(Table261424[[#This Row],[1]:[11]])-COUNTBLANK(Table261424[[#This Row],[1]:[11]])-1)))</f>
        <v/>
      </c>
      <c r="AF34" s="30" t="str" cm="1">
        <f t="array" ref="AF34">IF(Table261424[[#This Row],[7]]="","",Table261424[[#This Row],[Weight]:[Weight]]-(Table261424[[#This Row],[Weight]:[Weight]]*((_xlfn.XMATCH(Table261424[[#This Row],[7]],Table261424[[#This Row],[1]:[11]],0))-1)/(COUNTA(Table261424[[#This Row],[1]:[11]])-COUNTBLANK(Table261424[[#This Row],[1]:[11]])-1)))</f>
        <v/>
      </c>
      <c r="AG34" s="30" t="str" cm="1">
        <f t="array" ref="AG34">IF(Table261424[[#This Row],[8]]="","",Table261424[[#This Row],[Weight]:[Weight]]-(Table261424[[#This Row],[Weight]:[Weight]]*((_xlfn.XMATCH(Table261424[[#This Row],[8]],Table261424[[#This Row],[1]:[11]],0))-1)/(COUNTA(Table261424[[#This Row],[1]:[11]])-COUNTBLANK(Table261424[[#This Row],[1]:[11]])-1)))</f>
        <v/>
      </c>
      <c r="AH34" s="30" t="str" cm="1">
        <f t="array" ref="AH34">IF(Table261424[[#This Row],[9]]="","",Table261424[[#This Row],[Weight]:[Weight]]-(Table261424[[#This Row],[Weight]:[Weight]]*((_xlfn.XMATCH(Table261424[[#This Row],[9]],Table261424[[#This Row],[1]:[11]],0))-1)/(COUNTA(Table261424[[#This Row],[1]:[11]])-COUNTBLANK(Table261424[[#This Row],[1]:[11]])-1)))</f>
        <v/>
      </c>
      <c r="AI34" s="30" t="str" cm="1">
        <f t="array" ref="AI34">IF(Table261424[[#This Row],[10]]="","",Table261424[[#This Row],[Weight]:[Weight]]-(Table261424[[#This Row],[Weight]:[Weight]]*((_xlfn.XMATCH(Table261424[[#This Row],[10]],Table261424[[#This Row],[1]:[11]],0))-1)/(COUNTA(Table261424[[#This Row],[1]:[11]])-COUNTBLANK(Table261424[[#This Row],[1]:[11]])-1)))</f>
        <v/>
      </c>
      <c r="AJ34" s="30" t="str" cm="1">
        <f t="array" ref="AJ34">IF(Table261424[[#This Row],[11]]="","",Table261424[[#This Row],[Weight]:[Weight]]-(Table261424[[#This Row],[Weight]:[Weight]]*((_xlfn.XMATCH(Table261424[[#This Row],[11]],Table261424[[#This Row],[1]:[11]],0))-1)/(COUNTA(Table261424[[#This Row],[1]:[11]])-COUNTBLANK(Table261424[[#This Row],[1]:[11]])-1)))</f>
        <v/>
      </c>
    </row>
    <row r="35" spans="1:36" ht="86.45" customHeight="1" x14ac:dyDescent="0.2">
      <c r="A35" s="174">
        <v>23</v>
      </c>
      <c r="B35" s="90" t="s">
        <v>238</v>
      </c>
      <c r="C35" s="119" t="s">
        <v>215</v>
      </c>
      <c r="D35" s="119"/>
      <c r="E35" s="153"/>
      <c r="F35" s="153"/>
      <c r="G35" s="120" t="s">
        <v>60</v>
      </c>
      <c r="H35" s="148" cm="1">
        <f t="array" ref="H35">_xlfn.IFS(G35="","",G35="No interest",0,G35="Nice to have",1,G35="Useful",2,G35="Important",3,G35="Very important",4,G35="Critical",5,G35="Show stopper",6)</f>
        <v>6</v>
      </c>
      <c r="I35" s="149">
        <f t="shared" si="1"/>
        <v>4.0983606557377049E-4</v>
      </c>
      <c r="J35" s="150" t="s">
        <v>216</v>
      </c>
      <c r="K35" s="35" t="str" cm="1">
        <f t="array" ref="K35">_xlfn.TEXTJOIN(","&amp;CHAR(10),,TEXT(Table261424[[#This Row],[12]:[22]],"0,00%"))</f>
        <v>0,00%,
0,00%,
0,00%,
0,00%,
0,00%</v>
      </c>
      <c r="L35" s="26"/>
      <c r="M35" s="27" t="e">
        <f>I35-(I35*((MATCH(Table261424[[#This Row],[Evaluators Response (SELECT)]],Table261424[[#This Row],[1]:[11]],0)-1)/(COUNTA(Table261424[[#This Row],[1]:[11]])-COUNTBLANK(Table261424[[#This Row],[1]:[11]])-1)))</f>
        <v>#N/A</v>
      </c>
      <c r="N35" s="28"/>
      <c r="O35" s="29" t="str" cm="1">
        <f t="array" ref="O35">IFERROR(INDEX(_xlfn.UNIQUE(TRIM(_xlfn.TEXTSPLIT(Table261424[[#This Row],[Selection Options]:[Selection Options]],","))),,O$11),"")</f>
        <v>100%: Supported as delivered out of the box</v>
      </c>
      <c r="P35" s="29" t="str" cm="1">
        <f t="array" ref="P35">IFERROR(INDEX(_xlfn.UNIQUE(TRIM(_xlfn.TEXTSPLIT(Table261424[[#This Row],[Selection Options]:[Selection Options]],","))),,P$11),"")</f>
        <v xml:space="preserve">
75%: Supported via modifications (config)</v>
      </c>
      <c r="Q35" s="29" t="str" cm="1">
        <f t="array" ref="Q35">IFERROR(INDEX(_xlfn.UNIQUE(TRIM(_xlfn.TEXTSPLIT(Table261424[[#This Row],[Selection Options]:[Selection Options]],","))),,Q$11),"")</f>
        <v xml:space="preserve">
50%: Supported via a third party solution</v>
      </c>
      <c r="R35" s="29" t="str" cm="1">
        <f t="array" ref="R35">IFERROR(INDEX(_xlfn.UNIQUE(TRIM(_xlfn.TEXTSPLIT(Table261424[[#This Row],[Selection Options]:[Selection Options]],","))),,R$11),"")</f>
        <v xml:space="preserve">
25%: Supported via customisation (source code changes)</v>
      </c>
      <c r="S35" s="29" t="str" cm="1">
        <f t="array" ref="S35">IFERROR(INDEX(_xlfn.UNIQUE(TRIM(_xlfn.TEXTSPLIT(Table261424[[#This Row],[Selection Options]:[Selection Options]],","))),,S$11),"")</f>
        <v xml:space="preserve">
 0%: Not currently supported</v>
      </c>
      <c r="T35" s="29" t="str" cm="1">
        <f t="array" ref="T35">IFERROR(INDEX(_xlfn.UNIQUE(TRIM(_xlfn.TEXTSPLIT(Table261424[[#This Row],[Selection Options]:[Selection Options]],","))),,T$11),"")</f>
        <v/>
      </c>
      <c r="U35" s="29" t="str" cm="1">
        <f t="array" ref="U35">IFERROR(INDEX(_xlfn.UNIQUE(TRIM(_xlfn.TEXTSPLIT(Table261424[[#This Row],[Selection Options]:[Selection Options]],","))),,U$11),"")</f>
        <v/>
      </c>
      <c r="V35" s="29" t="str" cm="1">
        <f t="array" ref="V35">IFERROR(INDEX(_xlfn.UNIQUE(TRIM(_xlfn.TEXTSPLIT(Table261424[[#This Row],[Selection Options]:[Selection Options]],","))),,V$11),"")</f>
        <v/>
      </c>
      <c r="W35" s="29" t="str" cm="1">
        <f t="array" ref="W35">IFERROR(INDEX(_xlfn.UNIQUE(TRIM(_xlfn.TEXTSPLIT(Table261424[[#This Row],[Selection Options]:[Selection Options]],","))),,W$11),"")</f>
        <v/>
      </c>
      <c r="X35" s="29" t="str" cm="1">
        <f t="array" ref="X35">IFERROR(INDEX(_xlfn.UNIQUE(TRIM(_xlfn.TEXTSPLIT(Table261424[[#This Row],[Selection Options]:[Selection Options]],","))),,X$11),"")</f>
        <v/>
      </c>
      <c r="Y35" s="29" t="str" cm="1">
        <f t="array" ref="Y35">IFERROR(INDEX(_xlfn.UNIQUE(TRIM(_xlfn.TEXTSPLIT(Table261424[[#This Row],[Selection Options]:[Selection Options]],","))),,Y$11),"")</f>
        <v/>
      </c>
      <c r="Z35" s="30" cm="1">
        <f t="array" ref="Z35">IF(Table261424[[#This Row],[1]]="","",Table261424[[#This Row],[Weight]:[Weight]]-(Table261424[[#This Row],[Weight]:[Weight]]*((_xlfn.XMATCH(Table261424[[#This Row],[1]],Table261424[[#This Row],[1]:[11]],0))-1)/(COUNTA(Table261424[[#This Row],[1]:[11]])-COUNTBLANK(Table261424[[#This Row],[1]:[11]])-1)))</f>
        <v>4.0983606557377049E-4</v>
      </c>
      <c r="AA35" s="30" cm="1">
        <f t="array" ref="AA35">IF(Table261424[[#This Row],[2]]="","",Table261424[[#This Row],[Weight]:[Weight]]-(Table261424[[#This Row],[Weight]:[Weight]]*((_xlfn.XMATCH(Table261424[[#This Row],[2]],Table261424[[#This Row],[1]:[11]],0))-1)/(COUNTA(Table261424[[#This Row],[1]:[11]])-COUNTBLANK(Table261424[[#This Row],[1]:[11]])-1)))</f>
        <v>3.0737704918032784E-4</v>
      </c>
      <c r="AB35" s="30" cm="1">
        <f t="array" ref="AB35">IF(Table261424[[#This Row],[3]]="","",Table261424[[#This Row],[Weight]:[Weight]]-(Table261424[[#This Row],[Weight]:[Weight]]*((_xlfn.XMATCH(Table261424[[#This Row],[3]],Table261424[[#This Row],[1]:[11]],0))-1)/(COUNTA(Table261424[[#This Row],[1]:[11]])-COUNTBLANK(Table261424[[#This Row],[1]:[11]])-1)))</f>
        <v>2.0491803278688525E-4</v>
      </c>
      <c r="AC35" s="30" cm="1">
        <f t="array" ref="AC35">IF(Table261424[[#This Row],[4]]="","",Table261424[[#This Row],[Weight]:[Weight]]-(Table261424[[#This Row],[Weight]:[Weight]]*((_xlfn.XMATCH(Table261424[[#This Row],[4]],Table261424[[#This Row],[1]:[11]],0))-1)/(COUNTA(Table261424[[#This Row],[1]:[11]])-COUNTBLANK(Table261424[[#This Row],[1]:[11]])-1)))</f>
        <v>1.0245901639344265E-4</v>
      </c>
      <c r="AD35" s="30" cm="1">
        <f t="array" ref="AD35">IF(Table261424[[#This Row],[5]]="","",Table261424[[#This Row],[Weight]:[Weight]]-(Table261424[[#This Row],[Weight]:[Weight]]*((_xlfn.XMATCH(Table261424[[#This Row],[5]],Table261424[[#This Row],[1]:[11]],0))-1)/(COUNTA(Table261424[[#This Row],[1]:[11]])-COUNTBLANK(Table261424[[#This Row],[1]:[11]])-1)))</f>
        <v>0</v>
      </c>
      <c r="AE35" s="30" t="str" cm="1">
        <f t="array" ref="AE35">IF(Table261424[[#This Row],[6]]="","",Table261424[[#This Row],[Weight]:[Weight]]-(Table261424[[#This Row],[Weight]:[Weight]]*((_xlfn.XMATCH(Table261424[[#This Row],[6]],Table261424[[#This Row],[1]:[11]],0))-1)/(COUNTA(Table261424[[#This Row],[1]:[11]])-COUNTBLANK(Table261424[[#This Row],[1]:[11]])-1)))</f>
        <v/>
      </c>
      <c r="AF35" s="30" t="str" cm="1">
        <f t="array" ref="AF35">IF(Table261424[[#This Row],[7]]="","",Table261424[[#This Row],[Weight]:[Weight]]-(Table261424[[#This Row],[Weight]:[Weight]]*((_xlfn.XMATCH(Table261424[[#This Row],[7]],Table261424[[#This Row],[1]:[11]],0))-1)/(COUNTA(Table261424[[#This Row],[1]:[11]])-COUNTBLANK(Table261424[[#This Row],[1]:[11]])-1)))</f>
        <v/>
      </c>
      <c r="AG35" s="30" t="str" cm="1">
        <f t="array" ref="AG35">IF(Table261424[[#This Row],[8]]="","",Table261424[[#This Row],[Weight]:[Weight]]-(Table261424[[#This Row],[Weight]:[Weight]]*((_xlfn.XMATCH(Table261424[[#This Row],[8]],Table261424[[#This Row],[1]:[11]],0))-1)/(COUNTA(Table261424[[#This Row],[1]:[11]])-COUNTBLANK(Table261424[[#This Row],[1]:[11]])-1)))</f>
        <v/>
      </c>
      <c r="AH35" s="30" t="str" cm="1">
        <f t="array" ref="AH35">IF(Table261424[[#This Row],[9]]="","",Table261424[[#This Row],[Weight]:[Weight]]-(Table261424[[#This Row],[Weight]:[Weight]]*((_xlfn.XMATCH(Table261424[[#This Row],[9]],Table261424[[#This Row],[1]:[11]],0))-1)/(COUNTA(Table261424[[#This Row],[1]:[11]])-COUNTBLANK(Table261424[[#This Row],[1]:[11]])-1)))</f>
        <v/>
      </c>
      <c r="AI35" s="30" t="str" cm="1">
        <f t="array" ref="AI35">IF(Table261424[[#This Row],[10]]="","",Table261424[[#This Row],[Weight]:[Weight]]-(Table261424[[#This Row],[Weight]:[Weight]]*((_xlfn.XMATCH(Table261424[[#This Row],[10]],Table261424[[#This Row],[1]:[11]],0))-1)/(COUNTA(Table261424[[#This Row],[1]:[11]])-COUNTBLANK(Table261424[[#This Row],[1]:[11]])-1)))</f>
        <v/>
      </c>
      <c r="AJ35" s="30" t="str" cm="1">
        <f t="array" ref="AJ35">IF(Table261424[[#This Row],[11]]="","",Table261424[[#This Row],[Weight]:[Weight]]-(Table261424[[#This Row],[Weight]:[Weight]]*((_xlfn.XMATCH(Table261424[[#This Row],[11]],Table261424[[#This Row],[1]:[11]],0))-1)/(COUNTA(Table261424[[#This Row],[1]:[11]])-COUNTBLANK(Table261424[[#This Row],[1]:[11]])-1)))</f>
        <v/>
      </c>
    </row>
    <row r="36" spans="1:36" ht="72" x14ac:dyDescent="0.2">
      <c r="A36" s="174">
        <v>24</v>
      </c>
      <c r="B36" s="90" t="s">
        <v>239</v>
      </c>
      <c r="C36" s="119" t="s">
        <v>215</v>
      </c>
      <c r="D36" s="119"/>
      <c r="E36" s="153"/>
      <c r="F36" s="153"/>
      <c r="G36" s="120" t="s">
        <v>60</v>
      </c>
      <c r="H36" s="148" cm="1">
        <f t="array" ref="H36">_xlfn.IFS(G36="","",G36="No interest",0,G36="Nice to have",1,G36="Useful",2,G36="Important",3,G36="Very important",4,G36="Critical",5,G36="Show stopper",6)</f>
        <v>6</v>
      </c>
      <c r="I36" s="149">
        <f t="shared" si="1"/>
        <v>4.0983606557377049E-4</v>
      </c>
      <c r="J36" s="150" t="s">
        <v>216</v>
      </c>
      <c r="K36" s="35" t="str" cm="1">
        <f t="array" ref="K36">_xlfn.TEXTJOIN(","&amp;CHAR(10),,TEXT(Table261424[[#This Row],[12]:[22]],"0,00%"))</f>
        <v>0,00%,
0,00%,
0,00%,
0,00%,
0,00%</v>
      </c>
      <c r="L36" s="26"/>
      <c r="M36" s="27" t="e">
        <f>I36-(I36*((MATCH(Table261424[[#This Row],[Evaluators Response (SELECT)]],Table261424[[#This Row],[1]:[11]],0)-1)/(COUNTA(Table261424[[#This Row],[1]:[11]])-COUNTBLANK(Table261424[[#This Row],[1]:[11]])-1)))</f>
        <v>#N/A</v>
      </c>
      <c r="N36" s="28"/>
      <c r="O36" s="29" t="str" cm="1">
        <f t="array" ref="O36">IFERROR(INDEX(_xlfn.UNIQUE(TRIM(_xlfn.TEXTSPLIT(Table261424[[#This Row],[Selection Options]:[Selection Options]],","))),,O$11),"")</f>
        <v>100%: Supported as delivered out of the box</v>
      </c>
      <c r="P36" s="29" t="str" cm="1">
        <f t="array" ref="P36">IFERROR(INDEX(_xlfn.UNIQUE(TRIM(_xlfn.TEXTSPLIT(Table261424[[#This Row],[Selection Options]:[Selection Options]],","))),,P$11),"")</f>
        <v xml:space="preserve">
75%: Supported via modifications (config)</v>
      </c>
      <c r="Q36" s="29" t="str" cm="1">
        <f t="array" ref="Q36">IFERROR(INDEX(_xlfn.UNIQUE(TRIM(_xlfn.TEXTSPLIT(Table261424[[#This Row],[Selection Options]:[Selection Options]],","))),,Q$11),"")</f>
        <v xml:space="preserve">
50%: Supported via a third party solution</v>
      </c>
      <c r="R36" s="29" t="str" cm="1">
        <f t="array" ref="R36">IFERROR(INDEX(_xlfn.UNIQUE(TRIM(_xlfn.TEXTSPLIT(Table261424[[#This Row],[Selection Options]:[Selection Options]],","))),,R$11),"")</f>
        <v xml:space="preserve">
25%: Supported via customisation (source code changes)</v>
      </c>
      <c r="S36" s="29" t="str" cm="1">
        <f t="array" ref="S36">IFERROR(INDEX(_xlfn.UNIQUE(TRIM(_xlfn.TEXTSPLIT(Table261424[[#This Row],[Selection Options]:[Selection Options]],","))),,S$11),"")</f>
        <v xml:space="preserve">
 0%: Not currently supported</v>
      </c>
      <c r="T36" s="29" t="str" cm="1">
        <f t="array" ref="T36">IFERROR(INDEX(_xlfn.UNIQUE(TRIM(_xlfn.TEXTSPLIT(Table261424[[#This Row],[Selection Options]:[Selection Options]],","))),,T$11),"")</f>
        <v/>
      </c>
      <c r="U36" s="29" t="str" cm="1">
        <f t="array" ref="U36">IFERROR(INDEX(_xlfn.UNIQUE(TRIM(_xlfn.TEXTSPLIT(Table261424[[#This Row],[Selection Options]:[Selection Options]],","))),,U$11),"")</f>
        <v/>
      </c>
      <c r="V36" s="29" t="str" cm="1">
        <f t="array" ref="V36">IFERROR(INDEX(_xlfn.UNIQUE(TRIM(_xlfn.TEXTSPLIT(Table261424[[#This Row],[Selection Options]:[Selection Options]],","))),,V$11),"")</f>
        <v/>
      </c>
      <c r="W36" s="29" t="str" cm="1">
        <f t="array" ref="W36">IFERROR(INDEX(_xlfn.UNIQUE(TRIM(_xlfn.TEXTSPLIT(Table261424[[#This Row],[Selection Options]:[Selection Options]],","))),,W$11),"")</f>
        <v/>
      </c>
      <c r="X36" s="29" t="str" cm="1">
        <f t="array" ref="X36">IFERROR(INDEX(_xlfn.UNIQUE(TRIM(_xlfn.TEXTSPLIT(Table261424[[#This Row],[Selection Options]:[Selection Options]],","))),,X$11),"")</f>
        <v/>
      </c>
      <c r="Y36" s="29" t="str" cm="1">
        <f t="array" ref="Y36">IFERROR(INDEX(_xlfn.UNIQUE(TRIM(_xlfn.TEXTSPLIT(Table261424[[#This Row],[Selection Options]:[Selection Options]],","))),,Y$11),"")</f>
        <v/>
      </c>
      <c r="Z36" s="30" cm="1">
        <f t="array" ref="Z36">IF(Table261424[[#This Row],[1]]="","",Table261424[[#This Row],[Weight]:[Weight]]-(Table261424[[#This Row],[Weight]:[Weight]]*((_xlfn.XMATCH(Table261424[[#This Row],[1]],Table261424[[#This Row],[1]:[11]],0))-1)/(COUNTA(Table261424[[#This Row],[1]:[11]])-COUNTBLANK(Table261424[[#This Row],[1]:[11]])-1)))</f>
        <v>4.0983606557377049E-4</v>
      </c>
      <c r="AA36" s="30" cm="1">
        <f t="array" ref="AA36">IF(Table261424[[#This Row],[2]]="","",Table261424[[#This Row],[Weight]:[Weight]]-(Table261424[[#This Row],[Weight]:[Weight]]*((_xlfn.XMATCH(Table261424[[#This Row],[2]],Table261424[[#This Row],[1]:[11]],0))-1)/(COUNTA(Table261424[[#This Row],[1]:[11]])-COUNTBLANK(Table261424[[#This Row],[1]:[11]])-1)))</f>
        <v>3.0737704918032784E-4</v>
      </c>
      <c r="AB36" s="30" cm="1">
        <f t="array" ref="AB36">IF(Table261424[[#This Row],[3]]="","",Table261424[[#This Row],[Weight]:[Weight]]-(Table261424[[#This Row],[Weight]:[Weight]]*((_xlfn.XMATCH(Table261424[[#This Row],[3]],Table261424[[#This Row],[1]:[11]],0))-1)/(COUNTA(Table261424[[#This Row],[1]:[11]])-COUNTBLANK(Table261424[[#This Row],[1]:[11]])-1)))</f>
        <v>2.0491803278688525E-4</v>
      </c>
      <c r="AC36" s="30" cm="1">
        <f t="array" ref="AC36">IF(Table261424[[#This Row],[4]]="","",Table261424[[#This Row],[Weight]:[Weight]]-(Table261424[[#This Row],[Weight]:[Weight]]*((_xlfn.XMATCH(Table261424[[#This Row],[4]],Table261424[[#This Row],[1]:[11]],0))-1)/(COUNTA(Table261424[[#This Row],[1]:[11]])-COUNTBLANK(Table261424[[#This Row],[1]:[11]])-1)))</f>
        <v>1.0245901639344265E-4</v>
      </c>
      <c r="AD36" s="30" cm="1">
        <f t="array" ref="AD36">IF(Table261424[[#This Row],[5]]="","",Table261424[[#This Row],[Weight]:[Weight]]-(Table261424[[#This Row],[Weight]:[Weight]]*((_xlfn.XMATCH(Table261424[[#This Row],[5]],Table261424[[#This Row],[1]:[11]],0))-1)/(COUNTA(Table261424[[#This Row],[1]:[11]])-COUNTBLANK(Table261424[[#This Row],[1]:[11]])-1)))</f>
        <v>0</v>
      </c>
      <c r="AE36" s="30" t="str" cm="1">
        <f t="array" ref="AE36">IF(Table261424[[#This Row],[6]]="","",Table261424[[#This Row],[Weight]:[Weight]]-(Table261424[[#This Row],[Weight]:[Weight]]*((_xlfn.XMATCH(Table261424[[#This Row],[6]],Table261424[[#This Row],[1]:[11]],0))-1)/(COUNTA(Table261424[[#This Row],[1]:[11]])-COUNTBLANK(Table261424[[#This Row],[1]:[11]])-1)))</f>
        <v/>
      </c>
      <c r="AF36" s="30" t="str" cm="1">
        <f t="array" ref="AF36">IF(Table261424[[#This Row],[7]]="","",Table261424[[#This Row],[Weight]:[Weight]]-(Table261424[[#This Row],[Weight]:[Weight]]*((_xlfn.XMATCH(Table261424[[#This Row],[7]],Table261424[[#This Row],[1]:[11]],0))-1)/(COUNTA(Table261424[[#This Row],[1]:[11]])-COUNTBLANK(Table261424[[#This Row],[1]:[11]])-1)))</f>
        <v/>
      </c>
      <c r="AG36" s="30" t="str" cm="1">
        <f t="array" ref="AG36">IF(Table261424[[#This Row],[8]]="","",Table261424[[#This Row],[Weight]:[Weight]]-(Table261424[[#This Row],[Weight]:[Weight]]*((_xlfn.XMATCH(Table261424[[#This Row],[8]],Table261424[[#This Row],[1]:[11]],0))-1)/(COUNTA(Table261424[[#This Row],[1]:[11]])-COUNTBLANK(Table261424[[#This Row],[1]:[11]])-1)))</f>
        <v/>
      </c>
      <c r="AH36" s="30" t="str" cm="1">
        <f t="array" ref="AH36">IF(Table261424[[#This Row],[9]]="","",Table261424[[#This Row],[Weight]:[Weight]]-(Table261424[[#This Row],[Weight]:[Weight]]*((_xlfn.XMATCH(Table261424[[#This Row],[9]],Table261424[[#This Row],[1]:[11]],0))-1)/(COUNTA(Table261424[[#This Row],[1]:[11]])-COUNTBLANK(Table261424[[#This Row],[1]:[11]])-1)))</f>
        <v/>
      </c>
      <c r="AI36" s="30" t="str" cm="1">
        <f t="array" ref="AI36">IF(Table261424[[#This Row],[10]]="","",Table261424[[#This Row],[Weight]:[Weight]]-(Table261424[[#This Row],[Weight]:[Weight]]*((_xlfn.XMATCH(Table261424[[#This Row],[10]],Table261424[[#This Row],[1]:[11]],0))-1)/(COUNTA(Table261424[[#This Row],[1]:[11]])-COUNTBLANK(Table261424[[#This Row],[1]:[11]])-1)))</f>
        <v/>
      </c>
      <c r="AJ36" s="30" t="str" cm="1">
        <f t="array" ref="AJ36">IF(Table261424[[#This Row],[11]]="","",Table261424[[#This Row],[Weight]:[Weight]]-(Table261424[[#This Row],[Weight]:[Weight]]*((_xlfn.XMATCH(Table261424[[#This Row],[11]],Table261424[[#This Row],[1]:[11]],0))-1)/(COUNTA(Table261424[[#This Row],[1]:[11]])-COUNTBLANK(Table261424[[#This Row],[1]:[11]])-1)))</f>
        <v/>
      </c>
    </row>
    <row r="37" spans="1:36" ht="72" x14ac:dyDescent="0.2">
      <c r="A37" s="174">
        <v>25</v>
      </c>
      <c r="B37" s="90" t="s">
        <v>240</v>
      </c>
      <c r="C37" s="119" t="s">
        <v>215</v>
      </c>
      <c r="D37" s="119"/>
      <c r="E37" s="153"/>
      <c r="F37" s="153"/>
      <c r="G37" s="120" t="s">
        <v>60</v>
      </c>
      <c r="H37" s="148" cm="1">
        <f t="array" ref="H37">_xlfn.IFS(G37="","",G37="No interest",0,G37="Nice to have",1,G37="Useful",2,G37="Important",3,G37="Very important",4,G37="Critical",5,G37="Show stopper",6)</f>
        <v>6</v>
      </c>
      <c r="I37" s="149">
        <f t="shared" si="1"/>
        <v>4.0983606557377049E-4</v>
      </c>
      <c r="J37" s="150" t="s">
        <v>216</v>
      </c>
      <c r="K37" s="35" t="str" cm="1">
        <f t="array" ref="K37">_xlfn.TEXTJOIN(","&amp;CHAR(10),,TEXT(Table261424[[#This Row],[12]:[22]],"0,00%"))</f>
        <v>0,00%,
0,00%,
0,00%,
0,00%,
0,00%</v>
      </c>
      <c r="L37" s="26"/>
      <c r="M37" s="27" t="e">
        <f>I37-(I37*((MATCH(Table261424[[#This Row],[Evaluators Response (SELECT)]],Table261424[[#This Row],[1]:[11]],0)-1)/(COUNTA(Table261424[[#This Row],[1]:[11]])-COUNTBLANK(Table261424[[#This Row],[1]:[11]])-1)))</f>
        <v>#N/A</v>
      </c>
      <c r="N37" s="28"/>
      <c r="O37" s="29" t="str" cm="1">
        <f t="array" ref="O37">IFERROR(INDEX(_xlfn.UNIQUE(TRIM(_xlfn.TEXTSPLIT(Table261424[[#This Row],[Selection Options]:[Selection Options]],","))),,O$11),"")</f>
        <v>100%: Supported as delivered out of the box</v>
      </c>
      <c r="P37" s="29" t="str" cm="1">
        <f t="array" ref="P37">IFERROR(INDEX(_xlfn.UNIQUE(TRIM(_xlfn.TEXTSPLIT(Table261424[[#This Row],[Selection Options]:[Selection Options]],","))),,P$11),"")</f>
        <v xml:space="preserve">
75%: Supported via modifications (config)</v>
      </c>
      <c r="Q37" s="29" t="str" cm="1">
        <f t="array" ref="Q37">IFERROR(INDEX(_xlfn.UNIQUE(TRIM(_xlfn.TEXTSPLIT(Table261424[[#This Row],[Selection Options]:[Selection Options]],","))),,Q$11),"")</f>
        <v xml:space="preserve">
50%: Supported via a third party solution</v>
      </c>
      <c r="R37" s="29" t="str" cm="1">
        <f t="array" ref="R37">IFERROR(INDEX(_xlfn.UNIQUE(TRIM(_xlfn.TEXTSPLIT(Table261424[[#This Row],[Selection Options]:[Selection Options]],","))),,R$11),"")</f>
        <v xml:space="preserve">
25%: Supported via customisation (source code changes)</v>
      </c>
      <c r="S37" s="29" t="str" cm="1">
        <f t="array" ref="S37">IFERROR(INDEX(_xlfn.UNIQUE(TRIM(_xlfn.TEXTSPLIT(Table261424[[#This Row],[Selection Options]:[Selection Options]],","))),,S$11),"")</f>
        <v xml:space="preserve">
 0%: Not currently supported</v>
      </c>
      <c r="T37" s="29" t="str" cm="1">
        <f t="array" ref="T37">IFERROR(INDEX(_xlfn.UNIQUE(TRIM(_xlfn.TEXTSPLIT(Table261424[[#This Row],[Selection Options]:[Selection Options]],","))),,T$11),"")</f>
        <v/>
      </c>
      <c r="U37" s="29" t="str" cm="1">
        <f t="array" ref="U37">IFERROR(INDEX(_xlfn.UNIQUE(TRIM(_xlfn.TEXTSPLIT(Table261424[[#This Row],[Selection Options]:[Selection Options]],","))),,U$11),"")</f>
        <v/>
      </c>
      <c r="V37" s="29" t="str" cm="1">
        <f t="array" ref="V37">IFERROR(INDEX(_xlfn.UNIQUE(TRIM(_xlfn.TEXTSPLIT(Table261424[[#This Row],[Selection Options]:[Selection Options]],","))),,V$11),"")</f>
        <v/>
      </c>
      <c r="W37" s="29" t="str" cm="1">
        <f t="array" ref="W37">IFERROR(INDEX(_xlfn.UNIQUE(TRIM(_xlfn.TEXTSPLIT(Table261424[[#This Row],[Selection Options]:[Selection Options]],","))),,W$11),"")</f>
        <v/>
      </c>
      <c r="X37" s="29" t="str" cm="1">
        <f t="array" ref="X37">IFERROR(INDEX(_xlfn.UNIQUE(TRIM(_xlfn.TEXTSPLIT(Table261424[[#This Row],[Selection Options]:[Selection Options]],","))),,X$11),"")</f>
        <v/>
      </c>
      <c r="Y37" s="29" t="str" cm="1">
        <f t="array" ref="Y37">IFERROR(INDEX(_xlfn.UNIQUE(TRIM(_xlfn.TEXTSPLIT(Table261424[[#This Row],[Selection Options]:[Selection Options]],","))),,Y$11),"")</f>
        <v/>
      </c>
      <c r="Z37" s="30" cm="1">
        <f t="array" ref="Z37">IF(Table261424[[#This Row],[1]]="","",Table261424[[#This Row],[Weight]:[Weight]]-(Table261424[[#This Row],[Weight]:[Weight]]*((_xlfn.XMATCH(Table261424[[#This Row],[1]],Table261424[[#This Row],[1]:[11]],0))-1)/(COUNTA(Table261424[[#This Row],[1]:[11]])-COUNTBLANK(Table261424[[#This Row],[1]:[11]])-1)))</f>
        <v>4.0983606557377049E-4</v>
      </c>
      <c r="AA37" s="30" cm="1">
        <f t="array" ref="AA37">IF(Table261424[[#This Row],[2]]="","",Table261424[[#This Row],[Weight]:[Weight]]-(Table261424[[#This Row],[Weight]:[Weight]]*((_xlfn.XMATCH(Table261424[[#This Row],[2]],Table261424[[#This Row],[1]:[11]],0))-1)/(COUNTA(Table261424[[#This Row],[1]:[11]])-COUNTBLANK(Table261424[[#This Row],[1]:[11]])-1)))</f>
        <v>3.0737704918032784E-4</v>
      </c>
      <c r="AB37" s="30" cm="1">
        <f t="array" ref="AB37">IF(Table261424[[#This Row],[3]]="","",Table261424[[#This Row],[Weight]:[Weight]]-(Table261424[[#This Row],[Weight]:[Weight]]*((_xlfn.XMATCH(Table261424[[#This Row],[3]],Table261424[[#This Row],[1]:[11]],0))-1)/(COUNTA(Table261424[[#This Row],[1]:[11]])-COUNTBLANK(Table261424[[#This Row],[1]:[11]])-1)))</f>
        <v>2.0491803278688525E-4</v>
      </c>
      <c r="AC37" s="30" cm="1">
        <f t="array" ref="AC37">IF(Table261424[[#This Row],[4]]="","",Table261424[[#This Row],[Weight]:[Weight]]-(Table261424[[#This Row],[Weight]:[Weight]]*((_xlfn.XMATCH(Table261424[[#This Row],[4]],Table261424[[#This Row],[1]:[11]],0))-1)/(COUNTA(Table261424[[#This Row],[1]:[11]])-COUNTBLANK(Table261424[[#This Row],[1]:[11]])-1)))</f>
        <v>1.0245901639344265E-4</v>
      </c>
      <c r="AD37" s="30" cm="1">
        <f t="array" ref="AD37">IF(Table261424[[#This Row],[5]]="","",Table261424[[#This Row],[Weight]:[Weight]]-(Table261424[[#This Row],[Weight]:[Weight]]*((_xlfn.XMATCH(Table261424[[#This Row],[5]],Table261424[[#This Row],[1]:[11]],0))-1)/(COUNTA(Table261424[[#This Row],[1]:[11]])-COUNTBLANK(Table261424[[#This Row],[1]:[11]])-1)))</f>
        <v>0</v>
      </c>
      <c r="AE37" s="30" t="str" cm="1">
        <f t="array" ref="AE37">IF(Table261424[[#This Row],[6]]="","",Table261424[[#This Row],[Weight]:[Weight]]-(Table261424[[#This Row],[Weight]:[Weight]]*((_xlfn.XMATCH(Table261424[[#This Row],[6]],Table261424[[#This Row],[1]:[11]],0))-1)/(COUNTA(Table261424[[#This Row],[1]:[11]])-COUNTBLANK(Table261424[[#This Row],[1]:[11]])-1)))</f>
        <v/>
      </c>
      <c r="AF37" s="30" t="str" cm="1">
        <f t="array" ref="AF37">IF(Table261424[[#This Row],[7]]="","",Table261424[[#This Row],[Weight]:[Weight]]-(Table261424[[#This Row],[Weight]:[Weight]]*((_xlfn.XMATCH(Table261424[[#This Row],[7]],Table261424[[#This Row],[1]:[11]],0))-1)/(COUNTA(Table261424[[#This Row],[1]:[11]])-COUNTBLANK(Table261424[[#This Row],[1]:[11]])-1)))</f>
        <v/>
      </c>
      <c r="AG37" s="30" t="str" cm="1">
        <f t="array" ref="AG37">IF(Table261424[[#This Row],[8]]="","",Table261424[[#This Row],[Weight]:[Weight]]-(Table261424[[#This Row],[Weight]:[Weight]]*((_xlfn.XMATCH(Table261424[[#This Row],[8]],Table261424[[#This Row],[1]:[11]],0))-1)/(COUNTA(Table261424[[#This Row],[1]:[11]])-COUNTBLANK(Table261424[[#This Row],[1]:[11]])-1)))</f>
        <v/>
      </c>
      <c r="AH37" s="30" t="str" cm="1">
        <f t="array" ref="AH37">IF(Table261424[[#This Row],[9]]="","",Table261424[[#This Row],[Weight]:[Weight]]-(Table261424[[#This Row],[Weight]:[Weight]]*((_xlfn.XMATCH(Table261424[[#This Row],[9]],Table261424[[#This Row],[1]:[11]],0))-1)/(COUNTA(Table261424[[#This Row],[1]:[11]])-COUNTBLANK(Table261424[[#This Row],[1]:[11]])-1)))</f>
        <v/>
      </c>
      <c r="AI37" s="30" t="str" cm="1">
        <f t="array" ref="AI37">IF(Table261424[[#This Row],[10]]="","",Table261424[[#This Row],[Weight]:[Weight]]-(Table261424[[#This Row],[Weight]:[Weight]]*((_xlfn.XMATCH(Table261424[[#This Row],[10]],Table261424[[#This Row],[1]:[11]],0))-1)/(COUNTA(Table261424[[#This Row],[1]:[11]])-COUNTBLANK(Table261424[[#This Row],[1]:[11]])-1)))</f>
        <v/>
      </c>
      <c r="AJ37" s="30" t="str" cm="1">
        <f t="array" ref="AJ37">IF(Table261424[[#This Row],[11]]="","",Table261424[[#This Row],[Weight]:[Weight]]-(Table261424[[#This Row],[Weight]:[Weight]]*((_xlfn.XMATCH(Table261424[[#This Row],[11]],Table261424[[#This Row],[1]:[11]],0))-1)/(COUNTA(Table261424[[#This Row],[1]:[11]])-COUNTBLANK(Table261424[[#This Row],[1]:[11]])-1)))</f>
        <v/>
      </c>
    </row>
    <row r="38" spans="1:36" ht="72" x14ac:dyDescent="0.2">
      <c r="A38" s="174">
        <v>26</v>
      </c>
      <c r="B38" s="90" t="s">
        <v>241</v>
      </c>
      <c r="C38" s="119" t="s">
        <v>215</v>
      </c>
      <c r="D38" s="119"/>
      <c r="E38" s="153"/>
      <c r="F38" s="153"/>
      <c r="G38" s="120" t="s">
        <v>60</v>
      </c>
      <c r="H38" s="148" cm="1">
        <f t="array" ref="H38">_xlfn.IFS(G38="","",G38="No interest",0,G38="Nice to have",1,G38="Useful",2,G38="Important",3,G38="Very important",4,G38="Critical",5,G38="Show stopper",6)</f>
        <v>6</v>
      </c>
      <c r="I38" s="149">
        <f t="shared" si="1"/>
        <v>4.0983606557377049E-4</v>
      </c>
      <c r="J38" s="150" t="s">
        <v>216</v>
      </c>
      <c r="K38" s="35" t="str" cm="1">
        <f t="array" ref="K38">_xlfn.TEXTJOIN(","&amp;CHAR(10),,TEXT(Table261424[[#This Row],[12]:[22]],"0,00%"))</f>
        <v>0,00%,
0,00%,
0,00%,
0,00%,
0,00%</v>
      </c>
      <c r="L38" s="26"/>
      <c r="M38" s="27" t="e">
        <f>I38-(I38*((MATCH(Table261424[[#This Row],[Evaluators Response (SELECT)]],Table261424[[#This Row],[1]:[11]],0)-1)/(COUNTA(Table261424[[#This Row],[1]:[11]])-COUNTBLANK(Table261424[[#This Row],[1]:[11]])-1)))</f>
        <v>#N/A</v>
      </c>
      <c r="N38" s="28"/>
      <c r="O38" s="29" t="str" cm="1">
        <f t="array" ref="O38">IFERROR(INDEX(_xlfn.UNIQUE(TRIM(_xlfn.TEXTSPLIT(Table261424[[#This Row],[Selection Options]:[Selection Options]],","))),,O$11),"")</f>
        <v>100%: Supported as delivered out of the box</v>
      </c>
      <c r="P38" s="29" t="str" cm="1">
        <f t="array" ref="P38">IFERROR(INDEX(_xlfn.UNIQUE(TRIM(_xlfn.TEXTSPLIT(Table261424[[#This Row],[Selection Options]:[Selection Options]],","))),,P$11),"")</f>
        <v xml:space="preserve">
75%: Supported via modifications (config)</v>
      </c>
      <c r="Q38" s="29" t="str" cm="1">
        <f t="array" ref="Q38">IFERROR(INDEX(_xlfn.UNIQUE(TRIM(_xlfn.TEXTSPLIT(Table261424[[#This Row],[Selection Options]:[Selection Options]],","))),,Q$11),"")</f>
        <v xml:space="preserve">
50%: Supported via a third party solution</v>
      </c>
      <c r="R38" s="29" t="str" cm="1">
        <f t="array" ref="R38">IFERROR(INDEX(_xlfn.UNIQUE(TRIM(_xlfn.TEXTSPLIT(Table261424[[#This Row],[Selection Options]:[Selection Options]],","))),,R$11),"")</f>
        <v xml:space="preserve">
25%: Supported via customisation (source code changes)</v>
      </c>
      <c r="S38" s="29" t="str" cm="1">
        <f t="array" ref="S38">IFERROR(INDEX(_xlfn.UNIQUE(TRIM(_xlfn.TEXTSPLIT(Table261424[[#This Row],[Selection Options]:[Selection Options]],","))),,S$11),"")</f>
        <v xml:space="preserve">
 0%: Not currently supported</v>
      </c>
      <c r="T38" s="29" t="str" cm="1">
        <f t="array" ref="T38">IFERROR(INDEX(_xlfn.UNIQUE(TRIM(_xlfn.TEXTSPLIT(Table261424[[#This Row],[Selection Options]:[Selection Options]],","))),,T$11),"")</f>
        <v/>
      </c>
      <c r="U38" s="29" t="str" cm="1">
        <f t="array" ref="U38">IFERROR(INDEX(_xlfn.UNIQUE(TRIM(_xlfn.TEXTSPLIT(Table261424[[#This Row],[Selection Options]:[Selection Options]],","))),,U$11),"")</f>
        <v/>
      </c>
      <c r="V38" s="29" t="str" cm="1">
        <f t="array" ref="V38">IFERROR(INDEX(_xlfn.UNIQUE(TRIM(_xlfn.TEXTSPLIT(Table261424[[#This Row],[Selection Options]:[Selection Options]],","))),,V$11),"")</f>
        <v/>
      </c>
      <c r="W38" s="29" t="str" cm="1">
        <f t="array" ref="W38">IFERROR(INDEX(_xlfn.UNIQUE(TRIM(_xlfn.TEXTSPLIT(Table261424[[#This Row],[Selection Options]:[Selection Options]],","))),,W$11),"")</f>
        <v/>
      </c>
      <c r="X38" s="29" t="str" cm="1">
        <f t="array" ref="X38">IFERROR(INDEX(_xlfn.UNIQUE(TRIM(_xlfn.TEXTSPLIT(Table261424[[#This Row],[Selection Options]:[Selection Options]],","))),,X$11),"")</f>
        <v/>
      </c>
      <c r="Y38" s="29" t="str" cm="1">
        <f t="array" ref="Y38">IFERROR(INDEX(_xlfn.UNIQUE(TRIM(_xlfn.TEXTSPLIT(Table261424[[#This Row],[Selection Options]:[Selection Options]],","))),,Y$11),"")</f>
        <v/>
      </c>
      <c r="Z38" s="30" cm="1">
        <f t="array" ref="Z38">IF(Table261424[[#This Row],[1]]="","",Table261424[[#This Row],[Weight]:[Weight]]-(Table261424[[#This Row],[Weight]:[Weight]]*((_xlfn.XMATCH(Table261424[[#This Row],[1]],Table261424[[#This Row],[1]:[11]],0))-1)/(COUNTA(Table261424[[#This Row],[1]:[11]])-COUNTBLANK(Table261424[[#This Row],[1]:[11]])-1)))</f>
        <v>4.0983606557377049E-4</v>
      </c>
      <c r="AA38" s="30" cm="1">
        <f t="array" ref="AA38">IF(Table261424[[#This Row],[2]]="","",Table261424[[#This Row],[Weight]:[Weight]]-(Table261424[[#This Row],[Weight]:[Weight]]*((_xlfn.XMATCH(Table261424[[#This Row],[2]],Table261424[[#This Row],[1]:[11]],0))-1)/(COUNTA(Table261424[[#This Row],[1]:[11]])-COUNTBLANK(Table261424[[#This Row],[1]:[11]])-1)))</f>
        <v>3.0737704918032784E-4</v>
      </c>
      <c r="AB38" s="30" cm="1">
        <f t="array" ref="AB38">IF(Table261424[[#This Row],[3]]="","",Table261424[[#This Row],[Weight]:[Weight]]-(Table261424[[#This Row],[Weight]:[Weight]]*((_xlfn.XMATCH(Table261424[[#This Row],[3]],Table261424[[#This Row],[1]:[11]],0))-1)/(COUNTA(Table261424[[#This Row],[1]:[11]])-COUNTBLANK(Table261424[[#This Row],[1]:[11]])-1)))</f>
        <v>2.0491803278688525E-4</v>
      </c>
      <c r="AC38" s="30" cm="1">
        <f t="array" ref="AC38">IF(Table261424[[#This Row],[4]]="","",Table261424[[#This Row],[Weight]:[Weight]]-(Table261424[[#This Row],[Weight]:[Weight]]*((_xlfn.XMATCH(Table261424[[#This Row],[4]],Table261424[[#This Row],[1]:[11]],0))-1)/(COUNTA(Table261424[[#This Row],[1]:[11]])-COUNTBLANK(Table261424[[#This Row],[1]:[11]])-1)))</f>
        <v>1.0245901639344265E-4</v>
      </c>
      <c r="AD38" s="30" cm="1">
        <f t="array" ref="AD38">IF(Table261424[[#This Row],[5]]="","",Table261424[[#This Row],[Weight]:[Weight]]-(Table261424[[#This Row],[Weight]:[Weight]]*((_xlfn.XMATCH(Table261424[[#This Row],[5]],Table261424[[#This Row],[1]:[11]],0))-1)/(COUNTA(Table261424[[#This Row],[1]:[11]])-COUNTBLANK(Table261424[[#This Row],[1]:[11]])-1)))</f>
        <v>0</v>
      </c>
      <c r="AE38" s="30" t="str" cm="1">
        <f t="array" ref="AE38">IF(Table261424[[#This Row],[6]]="","",Table261424[[#This Row],[Weight]:[Weight]]-(Table261424[[#This Row],[Weight]:[Weight]]*((_xlfn.XMATCH(Table261424[[#This Row],[6]],Table261424[[#This Row],[1]:[11]],0))-1)/(COUNTA(Table261424[[#This Row],[1]:[11]])-COUNTBLANK(Table261424[[#This Row],[1]:[11]])-1)))</f>
        <v/>
      </c>
      <c r="AF38" s="30" t="str" cm="1">
        <f t="array" ref="AF38">IF(Table261424[[#This Row],[7]]="","",Table261424[[#This Row],[Weight]:[Weight]]-(Table261424[[#This Row],[Weight]:[Weight]]*((_xlfn.XMATCH(Table261424[[#This Row],[7]],Table261424[[#This Row],[1]:[11]],0))-1)/(COUNTA(Table261424[[#This Row],[1]:[11]])-COUNTBLANK(Table261424[[#This Row],[1]:[11]])-1)))</f>
        <v/>
      </c>
      <c r="AG38" s="30" t="str" cm="1">
        <f t="array" ref="AG38">IF(Table261424[[#This Row],[8]]="","",Table261424[[#This Row],[Weight]:[Weight]]-(Table261424[[#This Row],[Weight]:[Weight]]*((_xlfn.XMATCH(Table261424[[#This Row],[8]],Table261424[[#This Row],[1]:[11]],0))-1)/(COUNTA(Table261424[[#This Row],[1]:[11]])-COUNTBLANK(Table261424[[#This Row],[1]:[11]])-1)))</f>
        <v/>
      </c>
      <c r="AH38" s="30" t="str" cm="1">
        <f t="array" ref="AH38">IF(Table261424[[#This Row],[9]]="","",Table261424[[#This Row],[Weight]:[Weight]]-(Table261424[[#This Row],[Weight]:[Weight]]*((_xlfn.XMATCH(Table261424[[#This Row],[9]],Table261424[[#This Row],[1]:[11]],0))-1)/(COUNTA(Table261424[[#This Row],[1]:[11]])-COUNTBLANK(Table261424[[#This Row],[1]:[11]])-1)))</f>
        <v/>
      </c>
      <c r="AI38" s="30" t="str" cm="1">
        <f t="array" ref="AI38">IF(Table261424[[#This Row],[10]]="","",Table261424[[#This Row],[Weight]:[Weight]]-(Table261424[[#This Row],[Weight]:[Weight]]*((_xlfn.XMATCH(Table261424[[#This Row],[10]],Table261424[[#This Row],[1]:[11]],0))-1)/(COUNTA(Table261424[[#This Row],[1]:[11]])-COUNTBLANK(Table261424[[#This Row],[1]:[11]])-1)))</f>
        <v/>
      </c>
      <c r="AJ38" s="30" t="str" cm="1">
        <f t="array" ref="AJ38">IF(Table261424[[#This Row],[11]]="","",Table261424[[#This Row],[Weight]:[Weight]]-(Table261424[[#This Row],[Weight]:[Weight]]*((_xlfn.XMATCH(Table261424[[#This Row],[11]],Table261424[[#This Row],[1]:[11]],0))-1)/(COUNTA(Table261424[[#This Row],[1]:[11]])-COUNTBLANK(Table261424[[#This Row],[1]:[11]])-1)))</f>
        <v/>
      </c>
    </row>
    <row r="39" spans="1:36" ht="72" x14ac:dyDescent="0.2">
      <c r="A39" s="174">
        <v>27</v>
      </c>
      <c r="B39" s="90" t="s">
        <v>242</v>
      </c>
      <c r="C39" s="119" t="s">
        <v>215</v>
      </c>
      <c r="D39" s="119"/>
      <c r="E39" s="153"/>
      <c r="F39" s="153"/>
      <c r="G39" s="120" t="s">
        <v>60</v>
      </c>
      <c r="H39" s="148" cm="1">
        <f t="array" ref="H39">_xlfn.IFS(G39="","",G39="No interest",0,G39="Nice to have",1,G39="Useful",2,G39="Important",3,G39="Very important",4,G39="Critical",5,G39="Show stopper",6)</f>
        <v>6</v>
      </c>
      <c r="I39" s="149">
        <f t="shared" si="1"/>
        <v>4.0983606557377049E-4</v>
      </c>
      <c r="J39" s="150" t="s">
        <v>216</v>
      </c>
      <c r="K39" s="35" t="str" cm="1">
        <f t="array" ref="K39">_xlfn.TEXTJOIN(","&amp;CHAR(10),,TEXT(Table261424[[#This Row],[12]:[22]],"0,00%"))</f>
        <v>0,00%,
0,00%,
0,00%,
0,00%,
0,00%</v>
      </c>
      <c r="L39" s="26"/>
      <c r="M39" s="27" t="e">
        <f>I39-(I39*((MATCH(Table261424[[#This Row],[Evaluators Response (SELECT)]],Table261424[[#This Row],[1]:[11]],0)-1)/(COUNTA(Table261424[[#This Row],[1]:[11]])-COUNTBLANK(Table261424[[#This Row],[1]:[11]])-1)))</f>
        <v>#N/A</v>
      </c>
      <c r="N39" s="28"/>
      <c r="O39" s="29" t="str" cm="1">
        <f t="array" ref="O39">IFERROR(INDEX(_xlfn.UNIQUE(TRIM(_xlfn.TEXTSPLIT(Table261424[[#This Row],[Selection Options]:[Selection Options]],","))),,O$11),"")</f>
        <v>100%: Supported as delivered out of the box</v>
      </c>
      <c r="P39" s="29" t="str" cm="1">
        <f t="array" ref="P39">IFERROR(INDEX(_xlfn.UNIQUE(TRIM(_xlfn.TEXTSPLIT(Table261424[[#This Row],[Selection Options]:[Selection Options]],","))),,P$11),"")</f>
        <v xml:space="preserve">
75%: Supported via modifications (config)</v>
      </c>
      <c r="Q39" s="29" t="str" cm="1">
        <f t="array" ref="Q39">IFERROR(INDEX(_xlfn.UNIQUE(TRIM(_xlfn.TEXTSPLIT(Table261424[[#This Row],[Selection Options]:[Selection Options]],","))),,Q$11),"")</f>
        <v xml:space="preserve">
50%: Supported via a third party solution</v>
      </c>
      <c r="R39" s="29" t="str" cm="1">
        <f t="array" ref="R39">IFERROR(INDEX(_xlfn.UNIQUE(TRIM(_xlfn.TEXTSPLIT(Table261424[[#This Row],[Selection Options]:[Selection Options]],","))),,R$11),"")</f>
        <v xml:space="preserve">
25%: Supported via customisation (source code changes)</v>
      </c>
      <c r="S39" s="29" t="str" cm="1">
        <f t="array" ref="S39">IFERROR(INDEX(_xlfn.UNIQUE(TRIM(_xlfn.TEXTSPLIT(Table261424[[#This Row],[Selection Options]:[Selection Options]],","))),,S$11),"")</f>
        <v xml:space="preserve">
 0%: Not currently supported</v>
      </c>
      <c r="T39" s="29" t="str" cm="1">
        <f t="array" ref="T39">IFERROR(INDEX(_xlfn.UNIQUE(TRIM(_xlfn.TEXTSPLIT(Table261424[[#This Row],[Selection Options]:[Selection Options]],","))),,T$11),"")</f>
        <v/>
      </c>
      <c r="U39" s="29" t="str" cm="1">
        <f t="array" ref="U39">IFERROR(INDEX(_xlfn.UNIQUE(TRIM(_xlfn.TEXTSPLIT(Table261424[[#This Row],[Selection Options]:[Selection Options]],","))),,U$11),"")</f>
        <v/>
      </c>
      <c r="V39" s="29" t="str" cm="1">
        <f t="array" ref="V39">IFERROR(INDEX(_xlfn.UNIQUE(TRIM(_xlfn.TEXTSPLIT(Table261424[[#This Row],[Selection Options]:[Selection Options]],","))),,V$11),"")</f>
        <v/>
      </c>
      <c r="W39" s="29" t="str" cm="1">
        <f t="array" ref="W39">IFERROR(INDEX(_xlfn.UNIQUE(TRIM(_xlfn.TEXTSPLIT(Table261424[[#This Row],[Selection Options]:[Selection Options]],","))),,W$11),"")</f>
        <v/>
      </c>
      <c r="X39" s="29" t="str" cm="1">
        <f t="array" ref="X39">IFERROR(INDEX(_xlfn.UNIQUE(TRIM(_xlfn.TEXTSPLIT(Table261424[[#This Row],[Selection Options]:[Selection Options]],","))),,X$11),"")</f>
        <v/>
      </c>
      <c r="Y39" s="29" t="str" cm="1">
        <f t="array" ref="Y39">IFERROR(INDEX(_xlfn.UNIQUE(TRIM(_xlfn.TEXTSPLIT(Table261424[[#This Row],[Selection Options]:[Selection Options]],","))),,Y$11),"")</f>
        <v/>
      </c>
      <c r="Z39" s="30" cm="1">
        <f t="array" ref="Z39">IF(Table261424[[#This Row],[1]]="","",Table261424[[#This Row],[Weight]:[Weight]]-(Table261424[[#This Row],[Weight]:[Weight]]*((_xlfn.XMATCH(Table261424[[#This Row],[1]],Table261424[[#This Row],[1]:[11]],0))-1)/(COUNTA(Table261424[[#This Row],[1]:[11]])-COUNTBLANK(Table261424[[#This Row],[1]:[11]])-1)))</f>
        <v>4.0983606557377049E-4</v>
      </c>
      <c r="AA39" s="30" cm="1">
        <f t="array" ref="AA39">IF(Table261424[[#This Row],[2]]="","",Table261424[[#This Row],[Weight]:[Weight]]-(Table261424[[#This Row],[Weight]:[Weight]]*((_xlfn.XMATCH(Table261424[[#This Row],[2]],Table261424[[#This Row],[1]:[11]],0))-1)/(COUNTA(Table261424[[#This Row],[1]:[11]])-COUNTBLANK(Table261424[[#This Row],[1]:[11]])-1)))</f>
        <v>3.0737704918032784E-4</v>
      </c>
      <c r="AB39" s="30" cm="1">
        <f t="array" ref="AB39">IF(Table261424[[#This Row],[3]]="","",Table261424[[#This Row],[Weight]:[Weight]]-(Table261424[[#This Row],[Weight]:[Weight]]*((_xlfn.XMATCH(Table261424[[#This Row],[3]],Table261424[[#This Row],[1]:[11]],0))-1)/(COUNTA(Table261424[[#This Row],[1]:[11]])-COUNTBLANK(Table261424[[#This Row],[1]:[11]])-1)))</f>
        <v>2.0491803278688525E-4</v>
      </c>
      <c r="AC39" s="30" cm="1">
        <f t="array" ref="AC39">IF(Table261424[[#This Row],[4]]="","",Table261424[[#This Row],[Weight]:[Weight]]-(Table261424[[#This Row],[Weight]:[Weight]]*((_xlfn.XMATCH(Table261424[[#This Row],[4]],Table261424[[#This Row],[1]:[11]],0))-1)/(COUNTA(Table261424[[#This Row],[1]:[11]])-COUNTBLANK(Table261424[[#This Row],[1]:[11]])-1)))</f>
        <v>1.0245901639344265E-4</v>
      </c>
      <c r="AD39" s="30" cm="1">
        <f t="array" ref="AD39">IF(Table261424[[#This Row],[5]]="","",Table261424[[#This Row],[Weight]:[Weight]]-(Table261424[[#This Row],[Weight]:[Weight]]*((_xlfn.XMATCH(Table261424[[#This Row],[5]],Table261424[[#This Row],[1]:[11]],0))-1)/(COUNTA(Table261424[[#This Row],[1]:[11]])-COUNTBLANK(Table261424[[#This Row],[1]:[11]])-1)))</f>
        <v>0</v>
      </c>
      <c r="AE39" s="30" t="str" cm="1">
        <f t="array" ref="AE39">IF(Table261424[[#This Row],[6]]="","",Table261424[[#This Row],[Weight]:[Weight]]-(Table261424[[#This Row],[Weight]:[Weight]]*((_xlfn.XMATCH(Table261424[[#This Row],[6]],Table261424[[#This Row],[1]:[11]],0))-1)/(COUNTA(Table261424[[#This Row],[1]:[11]])-COUNTBLANK(Table261424[[#This Row],[1]:[11]])-1)))</f>
        <v/>
      </c>
      <c r="AF39" s="30" t="str" cm="1">
        <f t="array" ref="AF39">IF(Table261424[[#This Row],[7]]="","",Table261424[[#This Row],[Weight]:[Weight]]-(Table261424[[#This Row],[Weight]:[Weight]]*((_xlfn.XMATCH(Table261424[[#This Row],[7]],Table261424[[#This Row],[1]:[11]],0))-1)/(COUNTA(Table261424[[#This Row],[1]:[11]])-COUNTBLANK(Table261424[[#This Row],[1]:[11]])-1)))</f>
        <v/>
      </c>
      <c r="AG39" s="30" t="str" cm="1">
        <f t="array" ref="AG39">IF(Table261424[[#This Row],[8]]="","",Table261424[[#This Row],[Weight]:[Weight]]-(Table261424[[#This Row],[Weight]:[Weight]]*((_xlfn.XMATCH(Table261424[[#This Row],[8]],Table261424[[#This Row],[1]:[11]],0))-1)/(COUNTA(Table261424[[#This Row],[1]:[11]])-COUNTBLANK(Table261424[[#This Row],[1]:[11]])-1)))</f>
        <v/>
      </c>
      <c r="AH39" s="30" t="str" cm="1">
        <f t="array" ref="AH39">IF(Table261424[[#This Row],[9]]="","",Table261424[[#This Row],[Weight]:[Weight]]-(Table261424[[#This Row],[Weight]:[Weight]]*((_xlfn.XMATCH(Table261424[[#This Row],[9]],Table261424[[#This Row],[1]:[11]],0))-1)/(COUNTA(Table261424[[#This Row],[1]:[11]])-COUNTBLANK(Table261424[[#This Row],[1]:[11]])-1)))</f>
        <v/>
      </c>
      <c r="AI39" s="30" t="str" cm="1">
        <f t="array" ref="AI39">IF(Table261424[[#This Row],[10]]="","",Table261424[[#This Row],[Weight]:[Weight]]-(Table261424[[#This Row],[Weight]:[Weight]]*((_xlfn.XMATCH(Table261424[[#This Row],[10]],Table261424[[#This Row],[1]:[11]],0))-1)/(COUNTA(Table261424[[#This Row],[1]:[11]])-COUNTBLANK(Table261424[[#This Row],[1]:[11]])-1)))</f>
        <v/>
      </c>
      <c r="AJ39" s="30" t="str" cm="1">
        <f t="array" ref="AJ39">IF(Table261424[[#This Row],[11]]="","",Table261424[[#This Row],[Weight]:[Weight]]-(Table261424[[#This Row],[Weight]:[Weight]]*((_xlfn.XMATCH(Table261424[[#This Row],[11]],Table261424[[#This Row],[1]:[11]],0))-1)/(COUNTA(Table261424[[#This Row],[1]:[11]])-COUNTBLANK(Table261424[[#This Row],[1]:[11]])-1)))</f>
        <v/>
      </c>
    </row>
    <row r="40" spans="1:36" ht="72" x14ac:dyDescent="0.2">
      <c r="A40" s="174">
        <v>28</v>
      </c>
      <c r="B40" s="90" t="s">
        <v>243</v>
      </c>
      <c r="C40" s="119" t="s">
        <v>215</v>
      </c>
      <c r="D40" s="119"/>
      <c r="E40" s="153"/>
      <c r="F40" s="153"/>
      <c r="G40" s="120" t="s">
        <v>60</v>
      </c>
      <c r="H40" s="148" cm="1">
        <f t="array" ref="H40">_xlfn.IFS(G40="","",G40="No interest",0,G40="Nice to have",1,G40="Useful",2,G40="Important",3,G40="Very important",4,G40="Critical",5,G40="Show stopper",6)</f>
        <v>6</v>
      </c>
      <c r="I40" s="149">
        <f t="shared" si="1"/>
        <v>4.0983606557377049E-4</v>
      </c>
      <c r="J40" s="150" t="s">
        <v>216</v>
      </c>
      <c r="K40" s="35" t="str" cm="1">
        <f t="array" ref="K40">_xlfn.TEXTJOIN(","&amp;CHAR(10),,TEXT(Table261424[[#This Row],[12]:[22]],"0,00%"))</f>
        <v>0,00%,
0,00%,
0,00%,
0,00%,
0,00%</v>
      </c>
      <c r="L40" s="26"/>
      <c r="M40" s="27" t="e">
        <f>I40-(I40*((MATCH(Table261424[[#This Row],[Evaluators Response (SELECT)]],Table261424[[#This Row],[1]:[11]],0)-1)/(COUNTA(Table261424[[#This Row],[1]:[11]])-COUNTBLANK(Table261424[[#This Row],[1]:[11]])-1)))</f>
        <v>#N/A</v>
      </c>
      <c r="N40" s="28"/>
      <c r="O40" s="29" t="str" cm="1">
        <f t="array" ref="O40">IFERROR(INDEX(_xlfn.UNIQUE(TRIM(_xlfn.TEXTSPLIT(Table261424[[#This Row],[Selection Options]:[Selection Options]],","))),,O$11),"")</f>
        <v>100%: Supported as delivered out of the box</v>
      </c>
      <c r="P40" s="29" t="str" cm="1">
        <f t="array" ref="P40">IFERROR(INDEX(_xlfn.UNIQUE(TRIM(_xlfn.TEXTSPLIT(Table261424[[#This Row],[Selection Options]:[Selection Options]],","))),,P$11),"")</f>
        <v xml:space="preserve">
75%: Supported via modifications (config)</v>
      </c>
      <c r="Q40" s="29" t="str" cm="1">
        <f t="array" ref="Q40">IFERROR(INDEX(_xlfn.UNIQUE(TRIM(_xlfn.TEXTSPLIT(Table261424[[#This Row],[Selection Options]:[Selection Options]],","))),,Q$11),"")</f>
        <v xml:space="preserve">
50%: Supported via a third party solution</v>
      </c>
      <c r="R40" s="29" t="str" cm="1">
        <f t="array" ref="R40">IFERROR(INDEX(_xlfn.UNIQUE(TRIM(_xlfn.TEXTSPLIT(Table261424[[#This Row],[Selection Options]:[Selection Options]],","))),,R$11),"")</f>
        <v xml:space="preserve">
25%: Supported via customisation (source code changes)</v>
      </c>
      <c r="S40" s="29" t="str" cm="1">
        <f t="array" ref="S40">IFERROR(INDEX(_xlfn.UNIQUE(TRIM(_xlfn.TEXTSPLIT(Table261424[[#This Row],[Selection Options]:[Selection Options]],","))),,S$11),"")</f>
        <v xml:space="preserve">
 0%: Not currently supported</v>
      </c>
      <c r="T40" s="29" t="str" cm="1">
        <f t="array" ref="T40">IFERROR(INDEX(_xlfn.UNIQUE(TRIM(_xlfn.TEXTSPLIT(Table261424[[#This Row],[Selection Options]:[Selection Options]],","))),,T$11),"")</f>
        <v/>
      </c>
      <c r="U40" s="29" t="str" cm="1">
        <f t="array" ref="U40">IFERROR(INDEX(_xlfn.UNIQUE(TRIM(_xlfn.TEXTSPLIT(Table261424[[#This Row],[Selection Options]:[Selection Options]],","))),,U$11),"")</f>
        <v/>
      </c>
      <c r="V40" s="29" t="str" cm="1">
        <f t="array" ref="V40">IFERROR(INDEX(_xlfn.UNIQUE(TRIM(_xlfn.TEXTSPLIT(Table261424[[#This Row],[Selection Options]:[Selection Options]],","))),,V$11),"")</f>
        <v/>
      </c>
      <c r="W40" s="29" t="str" cm="1">
        <f t="array" ref="W40">IFERROR(INDEX(_xlfn.UNIQUE(TRIM(_xlfn.TEXTSPLIT(Table261424[[#This Row],[Selection Options]:[Selection Options]],","))),,W$11),"")</f>
        <v/>
      </c>
      <c r="X40" s="29" t="str" cm="1">
        <f t="array" ref="X40">IFERROR(INDEX(_xlfn.UNIQUE(TRIM(_xlfn.TEXTSPLIT(Table261424[[#This Row],[Selection Options]:[Selection Options]],","))),,X$11),"")</f>
        <v/>
      </c>
      <c r="Y40" s="29" t="str" cm="1">
        <f t="array" ref="Y40">IFERROR(INDEX(_xlfn.UNIQUE(TRIM(_xlfn.TEXTSPLIT(Table261424[[#This Row],[Selection Options]:[Selection Options]],","))),,Y$11),"")</f>
        <v/>
      </c>
      <c r="Z40" s="30" cm="1">
        <f t="array" ref="Z40">IF(Table261424[[#This Row],[1]]="","",Table261424[[#This Row],[Weight]:[Weight]]-(Table261424[[#This Row],[Weight]:[Weight]]*((_xlfn.XMATCH(Table261424[[#This Row],[1]],Table261424[[#This Row],[1]:[11]],0))-1)/(COUNTA(Table261424[[#This Row],[1]:[11]])-COUNTBLANK(Table261424[[#This Row],[1]:[11]])-1)))</f>
        <v>4.0983606557377049E-4</v>
      </c>
      <c r="AA40" s="30" cm="1">
        <f t="array" ref="AA40">IF(Table261424[[#This Row],[2]]="","",Table261424[[#This Row],[Weight]:[Weight]]-(Table261424[[#This Row],[Weight]:[Weight]]*((_xlfn.XMATCH(Table261424[[#This Row],[2]],Table261424[[#This Row],[1]:[11]],0))-1)/(COUNTA(Table261424[[#This Row],[1]:[11]])-COUNTBLANK(Table261424[[#This Row],[1]:[11]])-1)))</f>
        <v>3.0737704918032784E-4</v>
      </c>
      <c r="AB40" s="30" cm="1">
        <f t="array" ref="AB40">IF(Table261424[[#This Row],[3]]="","",Table261424[[#This Row],[Weight]:[Weight]]-(Table261424[[#This Row],[Weight]:[Weight]]*((_xlfn.XMATCH(Table261424[[#This Row],[3]],Table261424[[#This Row],[1]:[11]],0))-1)/(COUNTA(Table261424[[#This Row],[1]:[11]])-COUNTBLANK(Table261424[[#This Row],[1]:[11]])-1)))</f>
        <v>2.0491803278688525E-4</v>
      </c>
      <c r="AC40" s="30" cm="1">
        <f t="array" ref="AC40">IF(Table261424[[#This Row],[4]]="","",Table261424[[#This Row],[Weight]:[Weight]]-(Table261424[[#This Row],[Weight]:[Weight]]*((_xlfn.XMATCH(Table261424[[#This Row],[4]],Table261424[[#This Row],[1]:[11]],0))-1)/(COUNTA(Table261424[[#This Row],[1]:[11]])-COUNTBLANK(Table261424[[#This Row],[1]:[11]])-1)))</f>
        <v>1.0245901639344265E-4</v>
      </c>
      <c r="AD40" s="30" cm="1">
        <f t="array" ref="AD40">IF(Table261424[[#This Row],[5]]="","",Table261424[[#This Row],[Weight]:[Weight]]-(Table261424[[#This Row],[Weight]:[Weight]]*((_xlfn.XMATCH(Table261424[[#This Row],[5]],Table261424[[#This Row],[1]:[11]],0))-1)/(COUNTA(Table261424[[#This Row],[1]:[11]])-COUNTBLANK(Table261424[[#This Row],[1]:[11]])-1)))</f>
        <v>0</v>
      </c>
      <c r="AE40" s="30" t="str" cm="1">
        <f t="array" ref="AE40">IF(Table261424[[#This Row],[6]]="","",Table261424[[#This Row],[Weight]:[Weight]]-(Table261424[[#This Row],[Weight]:[Weight]]*((_xlfn.XMATCH(Table261424[[#This Row],[6]],Table261424[[#This Row],[1]:[11]],0))-1)/(COUNTA(Table261424[[#This Row],[1]:[11]])-COUNTBLANK(Table261424[[#This Row],[1]:[11]])-1)))</f>
        <v/>
      </c>
      <c r="AF40" s="30" t="str" cm="1">
        <f t="array" ref="AF40">IF(Table261424[[#This Row],[7]]="","",Table261424[[#This Row],[Weight]:[Weight]]-(Table261424[[#This Row],[Weight]:[Weight]]*((_xlfn.XMATCH(Table261424[[#This Row],[7]],Table261424[[#This Row],[1]:[11]],0))-1)/(COUNTA(Table261424[[#This Row],[1]:[11]])-COUNTBLANK(Table261424[[#This Row],[1]:[11]])-1)))</f>
        <v/>
      </c>
      <c r="AG40" s="30" t="str" cm="1">
        <f t="array" ref="AG40">IF(Table261424[[#This Row],[8]]="","",Table261424[[#This Row],[Weight]:[Weight]]-(Table261424[[#This Row],[Weight]:[Weight]]*((_xlfn.XMATCH(Table261424[[#This Row],[8]],Table261424[[#This Row],[1]:[11]],0))-1)/(COUNTA(Table261424[[#This Row],[1]:[11]])-COUNTBLANK(Table261424[[#This Row],[1]:[11]])-1)))</f>
        <v/>
      </c>
      <c r="AH40" s="30" t="str" cm="1">
        <f t="array" ref="AH40">IF(Table261424[[#This Row],[9]]="","",Table261424[[#This Row],[Weight]:[Weight]]-(Table261424[[#This Row],[Weight]:[Weight]]*((_xlfn.XMATCH(Table261424[[#This Row],[9]],Table261424[[#This Row],[1]:[11]],0))-1)/(COUNTA(Table261424[[#This Row],[1]:[11]])-COUNTBLANK(Table261424[[#This Row],[1]:[11]])-1)))</f>
        <v/>
      </c>
      <c r="AI40" s="30" t="str" cm="1">
        <f t="array" ref="AI40">IF(Table261424[[#This Row],[10]]="","",Table261424[[#This Row],[Weight]:[Weight]]-(Table261424[[#This Row],[Weight]:[Weight]]*((_xlfn.XMATCH(Table261424[[#This Row],[10]],Table261424[[#This Row],[1]:[11]],0))-1)/(COUNTA(Table261424[[#This Row],[1]:[11]])-COUNTBLANK(Table261424[[#This Row],[1]:[11]])-1)))</f>
        <v/>
      </c>
      <c r="AJ40" s="30" t="str" cm="1">
        <f t="array" ref="AJ40">IF(Table261424[[#This Row],[11]]="","",Table261424[[#This Row],[Weight]:[Weight]]-(Table261424[[#This Row],[Weight]:[Weight]]*((_xlfn.XMATCH(Table261424[[#This Row],[11]],Table261424[[#This Row],[1]:[11]],0))-1)/(COUNTA(Table261424[[#This Row],[1]:[11]])-COUNTBLANK(Table261424[[#This Row],[1]:[11]])-1)))</f>
        <v/>
      </c>
    </row>
    <row r="41" spans="1:36" ht="72" x14ac:dyDescent="0.2">
      <c r="A41" s="174">
        <v>29</v>
      </c>
      <c r="B41" s="90" t="s">
        <v>244</v>
      </c>
      <c r="C41" s="119" t="s">
        <v>215</v>
      </c>
      <c r="D41" s="119"/>
      <c r="E41" s="153"/>
      <c r="F41" s="153"/>
      <c r="G41" s="120" t="s">
        <v>60</v>
      </c>
      <c r="H41" s="148" cm="1">
        <f t="array" ref="H41">_xlfn.IFS(G41="","",G41="No interest",0,G41="Nice to have",1,G41="Useful",2,G41="Important",3,G41="Very important",4,G41="Critical",5,G41="Show stopper",6)</f>
        <v>6</v>
      </c>
      <c r="I41" s="149">
        <f t="shared" si="1"/>
        <v>4.0983606557377049E-4</v>
      </c>
      <c r="J41" s="150" t="s">
        <v>216</v>
      </c>
      <c r="K41" s="35" t="str" cm="1">
        <f t="array" ref="K41">_xlfn.TEXTJOIN(","&amp;CHAR(10),,TEXT(Table261424[[#This Row],[12]:[22]],"0,00%"))</f>
        <v>0,00%,
0,00%,
0,00%,
0,00%,
0,00%</v>
      </c>
      <c r="L41" s="26"/>
      <c r="M41" s="27" t="e">
        <f>I41-(I41*((MATCH(Table261424[[#This Row],[Evaluators Response (SELECT)]],Table261424[[#This Row],[1]:[11]],0)-1)/(COUNTA(Table261424[[#This Row],[1]:[11]])-COUNTBLANK(Table261424[[#This Row],[1]:[11]])-1)))</f>
        <v>#N/A</v>
      </c>
      <c r="N41" s="28"/>
      <c r="O41" s="29" t="str" cm="1">
        <f t="array" ref="O41">IFERROR(INDEX(_xlfn.UNIQUE(TRIM(_xlfn.TEXTSPLIT(Table261424[[#This Row],[Selection Options]:[Selection Options]],","))),,O$11),"")</f>
        <v>100%: Supported as delivered out of the box</v>
      </c>
      <c r="P41" s="29" t="str" cm="1">
        <f t="array" ref="P41">IFERROR(INDEX(_xlfn.UNIQUE(TRIM(_xlfn.TEXTSPLIT(Table261424[[#This Row],[Selection Options]:[Selection Options]],","))),,P$11),"")</f>
        <v xml:space="preserve">
75%: Supported via modifications (config)</v>
      </c>
      <c r="Q41" s="29" t="str" cm="1">
        <f t="array" ref="Q41">IFERROR(INDEX(_xlfn.UNIQUE(TRIM(_xlfn.TEXTSPLIT(Table261424[[#This Row],[Selection Options]:[Selection Options]],","))),,Q$11),"")</f>
        <v xml:space="preserve">
50%: Supported via a third party solution</v>
      </c>
      <c r="R41" s="29" t="str" cm="1">
        <f t="array" ref="R41">IFERROR(INDEX(_xlfn.UNIQUE(TRIM(_xlfn.TEXTSPLIT(Table261424[[#This Row],[Selection Options]:[Selection Options]],","))),,R$11),"")</f>
        <v xml:space="preserve">
25%: Supported via customisation (source code changes)</v>
      </c>
      <c r="S41" s="29" t="str" cm="1">
        <f t="array" ref="S41">IFERROR(INDEX(_xlfn.UNIQUE(TRIM(_xlfn.TEXTSPLIT(Table261424[[#This Row],[Selection Options]:[Selection Options]],","))),,S$11),"")</f>
        <v xml:space="preserve">
 0%: Not currently supported</v>
      </c>
      <c r="T41" s="29" t="str" cm="1">
        <f t="array" ref="T41">IFERROR(INDEX(_xlfn.UNIQUE(TRIM(_xlfn.TEXTSPLIT(Table261424[[#This Row],[Selection Options]:[Selection Options]],","))),,T$11),"")</f>
        <v/>
      </c>
      <c r="U41" s="29" t="str" cm="1">
        <f t="array" ref="U41">IFERROR(INDEX(_xlfn.UNIQUE(TRIM(_xlfn.TEXTSPLIT(Table261424[[#This Row],[Selection Options]:[Selection Options]],","))),,U$11),"")</f>
        <v/>
      </c>
      <c r="V41" s="29" t="str" cm="1">
        <f t="array" ref="V41">IFERROR(INDEX(_xlfn.UNIQUE(TRIM(_xlfn.TEXTSPLIT(Table261424[[#This Row],[Selection Options]:[Selection Options]],","))),,V$11),"")</f>
        <v/>
      </c>
      <c r="W41" s="29" t="str" cm="1">
        <f t="array" ref="W41">IFERROR(INDEX(_xlfn.UNIQUE(TRIM(_xlfn.TEXTSPLIT(Table261424[[#This Row],[Selection Options]:[Selection Options]],","))),,W$11),"")</f>
        <v/>
      </c>
      <c r="X41" s="29" t="str" cm="1">
        <f t="array" ref="X41">IFERROR(INDEX(_xlfn.UNIQUE(TRIM(_xlfn.TEXTSPLIT(Table261424[[#This Row],[Selection Options]:[Selection Options]],","))),,X$11),"")</f>
        <v/>
      </c>
      <c r="Y41" s="29" t="str" cm="1">
        <f t="array" ref="Y41">IFERROR(INDEX(_xlfn.UNIQUE(TRIM(_xlfn.TEXTSPLIT(Table261424[[#This Row],[Selection Options]:[Selection Options]],","))),,Y$11),"")</f>
        <v/>
      </c>
      <c r="Z41" s="30" cm="1">
        <f t="array" ref="Z41">IF(Table261424[[#This Row],[1]]="","",Table261424[[#This Row],[Weight]:[Weight]]-(Table261424[[#This Row],[Weight]:[Weight]]*((_xlfn.XMATCH(Table261424[[#This Row],[1]],Table261424[[#This Row],[1]:[11]],0))-1)/(COUNTA(Table261424[[#This Row],[1]:[11]])-COUNTBLANK(Table261424[[#This Row],[1]:[11]])-1)))</f>
        <v>4.0983606557377049E-4</v>
      </c>
      <c r="AA41" s="30" cm="1">
        <f t="array" ref="AA41">IF(Table261424[[#This Row],[2]]="","",Table261424[[#This Row],[Weight]:[Weight]]-(Table261424[[#This Row],[Weight]:[Weight]]*((_xlfn.XMATCH(Table261424[[#This Row],[2]],Table261424[[#This Row],[1]:[11]],0))-1)/(COUNTA(Table261424[[#This Row],[1]:[11]])-COUNTBLANK(Table261424[[#This Row],[1]:[11]])-1)))</f>
        <v>3.0737704918032784E-4</v>
      </c>
      <c r="AB41" s="30" cm="1">
        <f t="array" ref="AB41">IF(Table261424[[#This Row],[3]]="","",Table261424[[#This Row],[Weight]:[Weight]]-(Table261424[[#This Row],[Weight]:[Weight]]*((_xlfn.XMATCH(Table261424[[#This Row],[3]],Table261424[[#This Row],[1]:[11]],0))-1)/(COUNTA(Table261424[[#This Row],[1]:[11]])-COUNTBLANK(Table261424[[#This Row],[1]:[11]])-1)))</f>
        <v>2.0491803278688525E-4</v>
      </c>
      <c r="AC41" s="30" cm="1">
        <f t="array" ref="AC41">IF(Table261424[[#This Row],[4]]="","",Table261424[[#This Row],[Weight]:[Weight]]-(Table261424[[#This Row],[Weight]:[Weight]]*((_xlfn.XMATCH(Table261424[[#This Row],[4]],Table261424[[#This Row],[1]:[11]],0))-1)/(COUNTA(Table261424[[#This Row],[1]:[11]])-COUNTBLANK(Table261424[[#This Row],[1]:[11]])-1)))</f>
        <v>1.0245901639344265E-4</v>
      </c>
      <c r="AD41" s="30" cm="1">
        <f t="array" ref="AD41">IF(Table261424[[#This Row],[5]]="","",Table261424[[#This Row],[Weight]:[Weight]]-(Table261424[[#This Row],[Weight]:[Weight]]*((_xlfn.XMATCH(Table261424[[#This Row],[5]],Table261424[[#This Row],[1]:[11]],0))-1)/(COUNTA(Table261424[[#This Row],[1]:[11]])-COUNTBLANK(Table261424[[#This Row],[1]:[11]])-1)))</f>
        <v>0</v>
      </c>
      <c r="AE41" s="30" t="str" cm="1">
        <f t="array" ref="AE41">IF(Table261424[[#This Row],[6]]="","",Table261424[[#This Row],[Weight]:[Weight]]-(Table261424[[#This Row],[Weight]:[Weight]]*((_xlfn.XMATCH(Table261424[[#This Row],[6]],Table261424[[#This Row],[1]:[11]],0))-1)/(COUNTA(Table261424[[#This Row],[1]:[11]])-COUNTBLANK(Table261424[[#This Row],[1]:[11]])-1)))</f>
        <v/>
      </c>
      <c r="AF41" s="30" t="str" cm="1">
        <f t="array" ref="AF41">IF(Table261424[[#This Row],[7]]="","",Table261424[[#This Row],[Weight]:[Weight]]-(Table261424[[#This Row],[Weight]:[Weight]]*((_xlfn.XMATCH(Table261424[[#This Row],[7]],Table261424[[#This Row],[1]:[11]],0))-1)/(COUNTA(Table261424[[#This Row],[1]:[11]])-COUNTBLANK(Table261424[[#This Row],[1]:[11]])-1)))</f>
        <v/>
      </c>
      <c r="AG41" s="30" t="str" cm="1">
        <f t="array" ref="AG41">IF(Table261424[[#This Row],[8]]="","",Table261424[[#This Row],[Weight]:[Weight]]-(Table261424[[#This Row],[Weight]:[Weight]]*((_xlfn.XMATCH(Table261424[[#This Row],[8]],Table261424[[#This Row],[1]:[11]],0))-1)/(COUNTA(Table261424[[#This Row],[1]:[11]])-COUNTBLANK(Table261424[[#This Row],[1]:[11]])-1)))</f>
        <v/>
      </c>
      <c r="AH41" s="30" t="str" cm="1">
        <f t="array" ref="AH41">IF(Table261424[[#This Row],[9]]="","",Table261424[[#This Row],[Weight]:[Weight]]-(Table261424[[#This Row],[Weight]:[Weight]]*((_xlfn.XMATCH(Table261424[[#This Row],[9]],Table261424[[#This Row],[1]:[11]],0))-1)/(COUNTA(Table261424[[#This Row],[1]:[11]])-COUNTBLANK(Table261424[[#This Row],[1]:[11]])-1)))</f>
        <v/>
      </c>
      <c r="AI41" s="30" t="str" cm="1">
        <f t="array" ref="AI41">IF(Table261424[[#This Row],[10]]="","",Table261424[[#This Row],[Weight]:[Weight]]-(Table261424[[#This Row],[Weight]:[Weight]]*((_xlfn.XMATCH(Table261424[[#This Row],[10]],Table261424[[#This Row],[1]:[11]],0))-1)/(COUNTA(Table261424[[#This Row],[1]:[11]])-COUNTBLANK(Table261424[[#This Row],[1]:[11]])-1)))</f>
        <v/>
      </c>
      <c r="AJ41" s="30" t="str" cm="1">
        <f t="array" ref="AJ41">IF(Table261424[[#This Row],[11]]="","",Table261424[[#This Row],[Weight]:[Weight]]-(Table261424[[#This Row],[Weight]:[Weight]]*((_xlfn.XMATCH(Table261424[[#This Row],[11]],Table261424[[#This Row],[1]:[11]],0))-1)/(COUNTA(Table261424[[#This Row],[1]:[11]])-COUNTBLANK(Table261424[[#This Row],[1]:[11]])-1)))</f>
        <v/>
      </c>
    </row>
    <row r="42" spans="1:36" ht="72" x14ac:dyDescent="0.2">
      <c r="A42" s="174">
        <v>30</v>
      </c>
      <c r="B42" s="119" t="s">
        <v>245</v>
      </c>
      <c r="C42" s="119" t="s">
        <v>215</v>
      </c>
      <c r="D42" s="119"/>
      <c r="E42" s="153"/>
      <c r="F42" s="153"/>
      <c r="G42" s="121" t="s">
        <v>60</v>
      </c>
      <c r="H42" s="148" cm="1">
        <f t="array" ref="H42">_xlfn.IFS(G42="","",G42="No interest",0,G42="Nice to have",1,G42="Useful",2,G42="Important",3,G42="Very important",4,G42="Critical",5,G42="Show stopper",6)</f>
        <v>6</v>
      </c>
      <c r="I42" s="149">
        <f t="shared" si="1"/>
        <v>4.0983606557377049E-4</v>
      </c>
      <c r="J42" s="150" t="s">
        <v>216</v>
      </c>
      <c r="K42" s="35" t="str" cm="1">
        <f t="array" ref="K42">_xlfn.TEXTJOIN(","&amp;CHAR(10),,TEXT(Table261424[[#This Row],[12]:[22]],"0,00%"))</f>
        <v>0,00%,
0,00%,
0,00%,
0,00%,
0,00%</v>
      </c>
      <c r="L42" s="26"/>
      <c r="M42" s="27" t="e">
        <f>I42-(I42*((MATCH(Table261424[[#This Row],[Evaluators Response (SELECT)]],Table261424[[#This Row],[1]:[11]],0)-1)/(COUNTA(Table261424[[#This Row],[1]:[11]])-COUNTBLANK(Table261424[[#This Row],[1]:[11]])-1)))</f>
        <v>#N/A</v>
      </c>
      <c r="N42" s="28"/>
      <c r="O42" s="29" t="str" cm="1">
        <f t="array" ref="O42">IFERROR(INDEX(_xlfn.UNIQUE(TRIM(_xlfn.TEXTSPLIT(Table261424[[#This Row],[Selection Options]:[Selection Options]],","))),,O$11),"")</f>
        <v>100%: Supported as delivered out of the box</v>
      </c>
      <c r="P42" s="29" t="str" cm="1">
        <f t="array" ref="P42">IFERROR(INDEX(_xlfn.UNIQUE(TRIM(_xlfn.TEXTSPLIT(Table261424[[#This Row],[Selection Options]:[Selection Options]],","))),,P$11),"")</f>
        <v xml:space="preserve">
75%: Supported via modifications (config)</v>
      </c>
      <c r="Q42" s="29" t="str" cm="1">
        <f t="array" ref="Q42">IFERROR(INDEX(_xlfn.UNIQUE(TRIM(_xlfn.TEXTSPLIT(Table261424[[#This Row],[Selection Options]:[Selection Options]],","))),,Q$11),"")</f>
        <v xml:space="preserve">
50%: Supported via a third party solution</v>
      </c>
      <c r="R42" s="29" t="str" cm="1">
        <f t="array" ref="R42">IFERROR(INDEX(_xlfn.UNIQUE(TRIM(_xlfn.TEXTSPLIT(Table261424[[#This Row],[Selection Options]:[Selection Options]],","))),,R$11),"")</f>
        <v xml:space="preserve">
25%: Supported via customisation (source code changes)</v>
      </c>
      <c r="S42" s="29" t="str" cm="1">
        <f t="array" ref="S42">IFERROR(INDEX(_xlfn.UNIQUE(TRIM(_xlfn.TEXTSPLIT(Table261424[[#This Row],[Selection Options]:[Selection Options]],","))),,S$11),"")</f>
        <v xml:space="preserve">
 0%: Not currently supported</v>
      </c>
      <c r="T42" s="29" t="str" cm="1">
        <f t="array" ref="T42">IFERROR(INDEX(_xlfn.UNIQUE(TRIM(_xlfn.TEXTSPLIT(Table261424[[#This Row],[Selection Options]:[Selection Options]],","))),,T$11),"")</f>
        <v/>
      </c>
      <c r="U42" s="29" t="str" cm="1">
        <f t="array" ref="U42">IFERROR(INDEX(_xlfn.UNIQUE(TRIM(_xlfn.TEXTSPLIT(Table261424[[#This Row],[Selection Options]:[Selection Options]],","))),,U$11),"")</f>
        <v/>
      </c>
      <c r="V42" s="29" t="str" cm="1">
        <f t="array" ref="V42">IFERROR(INDEX(_xlfn.UNIQUE(TRIM(_xlfn.TEXTSPLIT(Table261424[[#This Row],[Selection Options]:[Selection Options]],","))),,V$11),"")</f>
        <v/>
      </c>
      <c r="W42" s="29" t="str" cm="1">
        <f t="array" ref="W42">IFERROR(INDEX(_xlfn.UNIQUE(TRIM(_xlfn.TEXTSPLIT(Table261424[[#This Row],[Selection Options]:[Selection Options]],","))),,W$11),"")</f>
        <v/>
      </c>
      <c r="X42" s="29" t="str" cm="1">
        <f t="array" ref="X42">IFERROR(INDEX(_xlfn.UNIQUE(TRIM(_xlfn.TEXTSPLIT(Table261424[[#This Row],[Selection Options]:[Selection Options]],","))),,X$11),"")</f>
        <v/>
      </c>
      <c r="Y42" s="29" t="str" cm="1">
        <f t="array" ref="Y42">IFERROR(INDEX(_xlfn.UNIQUE(TRIM(_xlfn.TEXTSPLIT(Table261424[[#This Row],[Selection Options]:[Selection Options]],","))),,Y$11),"")</f>
        <v/>
      </c>
      <c r="Z42" s="30" cm="1">
        <f t="array" ref="Z42">IF(Table261424[[#This Row],[1]]="","",Table261424[[#This Row],[Weight]:[Weight]]-(Table261424[[#This Row],[Weight]:[Weight]]*((_xlfn.XMATCH(Table261424[[#This Row],[1]],Table261424[[#This Row],[1]:[11]],0))-1)/(COUNTA(Table261424[[#This Row],[1]:[11]])-COUNTBLANK(Table261424[[#This Row],[1]:[11]])-1)))</f>
        <v>4.0983606557377049E-4</v>
      </c>
      <c r="AA42" s="30" cm="1">
        <f t="array" ref="AA42">IF(Table261424[[#This Row],[2]]="","",Table261424[[#This Row],[Weight]:[Weight]]-(Table261424[[#This Row],[Weight]:[Weight]]*((_xlfn.XMATCH(Table261424[[#This Row],[2]],Table261424[[#This Row],[1]:[11]],0))-1)/(COUNTA(Table261424[[#This Row],[1]:[11]])-COUNTBLANK(Table261424[[#This Row],[1]:[11]])-1)))</f>
        <v>3.0737704918032784E-4</v>
      </c>
      <c r="AB42" s="30" cm="1">
        <f t="array" ref="AB42">IF(Table261424[[#This Row],[3]]="","",Table261424[[#This Row],[Weight]:[Weight]]-(Table261424[[#This Row],[Weight]:[Weight]]*((_xlfn.XMATCH(Table261424[[#This Row],[3]],Table261424[[#This Row],[1]:[11]],0))-1)/(COUNTA(Table261424[[#This Row],[1]:[11]])-COUNTBLANK(Table261424[[#This Row],[1]:[11]])-1)))</f>
        <v>2.0491803278688525E-4</v>
      </c>
      <c r="AC42" s="30" cm="1">
        <f t="array" ref="AC42">IF(Table261424[[#This Row],[4]]="","",Table261424[[#This Row],[Weight]:[Weight]]-(Table261424[[#This Row],[Weight]:[Weight]]*((_xlfn.XMATCH(Table261424[[#This Row],[4]],Table261424[[#This Row],[1]:[11]],0))-1)/(COUNTA(Table261424[[#This Row],[1]:[11]])-COUNTBLANK(Table261424[[#This Row],[1]:[11]])-1)))</f>
        <v>1.0245901639344265E-4</v>
      </c>
      <c r="AD42" s="30" cm="1">
        <f t="array" ref="AD42">IF(Table261424[[#This Row],[5]]="","",Table261424[[#This Row],[Weight]:[Weight]]-(Table261424[[#This Row],[Weight]:[Weight]]*((_xlfn.XMATCH(Table261424[[#This Row],[5]],Table261424[[#This Row],[1]:[11]],0))-1)/(COUNTA(Table261424[[#This Row],[1]:[11]])-COUNTBLANK(Table261424[[#This Row],[1]:[11]])-1)))</f>
        <v>0</v>
      </c>
      <c r="AE42" s="30" t="str" cm="1">
        <f t="array" ref="AE42">IF(Table261424[[#This Row],[6]]="","",Table261424[[#This Row],[Weight]:[Weight]]-(Table261424[[#This Row],[Weight]:[Weight]]*((_xlfn.XMATCH(Table261424[[#This Row],[6]],Table261424[[#This Row],[1]:[11]],0))-1)/(COUNTA(Table261424[[#This Row],[1]:[11]])-COUNTBLANK(Table261424[[#This Row],[1]:[11]])-1)))</f>
        <v/>
      </c>
      <c r="AF42" s="30" t="str" cm="1">
        <f t="array" ref="AF42">IF(Table261424[[#This Row],[7]]="","",Table261424[[#This Row],[Weight]:[Weight]]-(Table261424[[#This Row],[Weight]:[Weight]]*((_xlfn.XMATCH(Table261424[[#This Row],[7]],Table261424[[#This Row],[1]:[11]],0))-1)/(COUNTA(Table261424[[#This Row],[1]:[11]])-COUNTBLANK(Table261424[[#This Row],[1]:[11]])-1)))</f>
        <v/>
      </c>
      <c r="AG42" s="30" t="str" cm="1">
        <f t="array" ref="AG42">IF(Table261424[[#This Row],[8]]="","",Table261424[[#This Row],[Weight]:[Weight]]-(Table261424[[#This Row],[Weight]:[Weight]]*((_xlfn.XMATCH(Table261424[[#This Row],[8]],Table261424[[#This Row],[1]:[11]],0))-1)/(COUNTA(Table261424[[#This Row],[1]:[11]])-COUNTBLANK(Table261424[[#This Row],[1]:[11]])-1)))</f>
        <v/>
      </c>
      <c r="AH42" s="30" t="str" cm="1">
        <f t="array" ref="AH42">IF(Table261424[[#This Row],[9]]="","",Table261424[[#This Row],[Weight]:[Weight]]-(Table261424[[#This Row],[Weight]:[Weight]]*((_xlfn.XMATCH(Table261424[[#This Row],[9]],Table261424[[#This Row],[1]:[11]],0))-1)/(COUNTA(Table261424[[#This Row],[1]:[11]])-COUNTBLANK(Table261424[[#This Row],[1]:[11]])-1)))</f>
        <v/>
      </c>
      <c r="AI42" s="30" t="str" cm="1">
        <f t="array" ref="AI42">IF(Table261424[[#This Row],[10]]="","",Table261424[[#This Row],[Weight]:[Weight]]-(Table261424[[#This Row],[Weight]:[Weight]]*((_xlfn.XMATCH(Table261424[[#This Row],[10]],Table261424[[#This Row],[1]:[11]],0))-1)/(COUNTA(Table261424[[#This Row],[1]:[11]])-COUNTBLANK(Table261424[[#This Row],[1]:[11]])-1)))</f>
        <v/>
      </c>
      <c r="AJ42" s="30" t="str" cm="1">
        <f t="array" ref="AJ42">IF(Table261424[[#This Row],[11]]="","",Table261424[[#This Row],[Weight]:[Weight]]-(Table261424[[#This Row],[Weight]:[Weight]]*((_xlfn.XMATCH(Table261424[[#This Row],[11]],Table261424[[#This Row],[1]:[11]],0))-1)/(COUNTA(Table261424[[#This Row],[1]:[11]])-COUNTBLANK(Table261424[[#This Row],[1]:[11]])-1)))</f>
        <v/>
      </c>
    </row>
    <row r="43" spans="1:36" ht="72" x14ac:dyDescent="0.2">
      <c r="A43" s="174">
        <v>31</v>
      </c>
      <c r="B43" s="119" t="s">
        <v>246</v>
      </c>
      <c r="C43" s="119" t="s">
        <v>215</v>
      </c>
      <c r="D43" s="119"/>
      <c r="E43" s="153"/>
      <c r="F43" s="153"/>
      <c r="G43" s="121" t="s">
        <v>188</v>
      </c>
      <c r="H43" s="148" cm="1">
        <f t="array" ref="H43">_xlfn.IFS(G43="","",G43="No interest",0,G43="Nice to have",1,G43="Useful",2,G43="Important",3,G43="Very important",4,G43="Critical",5,G43="Show stopper",6)</f>
        <v>5</v>
      </c>
      <c r="I43" s="149">
        <f t="shared" si="1"/>
        <v>3.4153005464480874E-4</v>
      </c>
      <c r="J43" s="150" t="s">
        <v>216</v>
      </c>
      <c r="K43" s="35" t="str" cm="1">
        <f t="array" ref="K43">_xlfn.TEXTJOIN(","&amp;CHAR(10),,TEXT(Table261424[[#This Row],[12]:[22]],"0,00%"))</f>
        <v>0,00%,
0,00%,
0,00%,
0,00%,
0,00%</v>
      </c>
      <c r="L43" s="26"/>
      <c r="M43" s="27" t="e">
        <f>I43-(I43*((MATCH(Table261424[[#This Row],[Evaluators Response (SELECT)]],Table261424[[#This Row],[1]:[11]],0)-1)/(COUNTA(Table261424[[#This Row],[1]:[11]])-COUNTBLANK(Table261424[[#This Row],[1]:[11]])-1)))</f>
        <v>#N/A</v>
      </c>
      <c r="N43" s="28"/>
      <c r="O43" s="29" t="str" cm="1">
        <f t="array" ref="O43">IFERROR(INDEX(_xlfn.UNIQUE(TRIM(_xlfn.TEXTSPLIT(Table261424[[#This Row],[Selection Options]:[Selection Options]],","))),,O$11),"")</f>
        <v>100%: Supported as delivered out of the box</v>
      </c>
      <c r="P43" s="29" t="str" cm="1">
        <f t="array" ref="P43">IFERROR(INDEX(_xlfn.UNIQUE(TRIM(_xlfn.TEXTSPLIT(Table261424[[#This Row],[Selection Options]:[Selection Options]],","))),,P$11),"")</f>
        <v xml:space="preserve">
75%: Supported via modifications (config)</v>
      </c>
      <c r="Q43" s="29" t="str" cm="1">
        <f t="array" ref="Q43">IFERROR(INDEX(_xlfn.UNIQUE(TRIM(_xlfn.TEXTSPLIT(Table261424[[#This Row],[Selection Options]:[Selection Options]],","))),,Q$11),"")</f>
        <v xml:space="preserve">
50%: Supported via a third party solution</v>
      </c>
      <c r="R43" s="29" t="str" cm="1">
        <f t="array" ref="R43">IFERROR(INDEX(_xlfn.UNIQUE(TRIM(_xlfn.TEXTSPLIT(Table261424[[#This Row],[Selection Options]:[Selection Options]],","))),,R$11),"")</f>
        <v xml:space="preserve">
25%: Supported via customisation (source code changes)</v>
      </c>
      <c r="S43" s="29" t="str" cm="1">
        <f t="array" ref="S43">IFERROR(INDEX(_xlfn.UNIQUE(TRIM(_xlfn.TEXTSPLIT(Table261424[[#This Row],[Selection Options]:[Selection Options]],","))),,S$11),"")</f>
        <v xml:space="preserve">
 0%: Not currently supported</v>
      </c>
      <c r="T43" s="29" t="str" cm="1">
        <f t="array" ref="T43">IFERROR(INDEX(_xlfn.UNIQUE(TRIM(_xlfn.TEXTSPLIT(Table261424[[#This Row],[Selection Options]:[Selection Options]],","))),,T$11),"")</f>
        <v/>
      </c>
      <c r="U43" s="29" t="str" cm="1">
        <f t="array" ref="U43">IFERROR(INDEX(_xlfn.UNIQUE(TRIM(_xlfn.TEXTSPLIT(Table261424[[#This Row],[Selection Options]:[Selection Options]],","))),,U$11),"")</f>
        <v/>
      </c>
      <c r="V43" s="29" t="str" cm="1">
        <f t="array" ref="V43">IFERROR(INDEX(_xlfn.UNIQUE(TRIM(_xlfn.TEXTSPLIT(Table261424[[#This Row],[Selection Options]:[Selection Options]],","))),,V$11),"")</f>
        <v/>
      </c>
      <c r="W43" s="29" t="str" cm="1">
        <f t="array" ref="W43">IFERROR(INDEX(_xlfn.UNIQUE(TRIM(_xlfn.TEXTSPLIT(Table261424[[#This Row],[Selection Options]:[Selection Options]],","))),,W$11),"")</f>
        <v/>
      </c>
      <c r="X43" s="29" t="str" cm="1">
        <f t="array" ref="X43">IFERROR(INDEX(_xlfn.UNIQUE(TRIM(_xlfn.TEXTSPLIT(Table261424[[#This Row],[Selection Options]:[Selection Options]],","))),,X$11),"")</f>
        <v/>
      </c>
      <c r="Y43" s="29" t="str" cm="1">
        <f t="array" ref="Y43">IFERROR(INDEX(_xlfn.UNIQUE(TRIM(_xlfn.TEXTSPLIT(Table261424[[#This Row],[Selection Options]:[Selection Options]],","))),,Y$11),"")</f>
        <v/>
      </c>
      <c r="Z43" s="30" cm="1">
        <f t="array" ref="Z43">IF(Table261424[[#This Row],[1]]="","",Table261424[[#This Row],[Weight]:[Weight]]-(Table261424[[#This Row],[Weight]:[Weight]]*((_xlfn.XMATCH(Table261424[[#This Row],[1]],Table261424[[#This Row],[1]:[11]],0))-1)/(COUNTA(Table261424[[#This Row],[1]:[11]])-COUNTBLANK(Table261424[[#This Row],[1]:[11]])-1)))</f>
        <v>3.4153005464480874E-4</v>
      </c>
      <c r="AA43" s="30" cm="1">
        <f t="array" ref="AA43">IF(Table261424[[#This Row],[2]]="","",Table261424[[#This Row],[Weight]:[Weight]]-(Table261424[[#This Row],[Weight]:[Weight]]*((_xlfn.XMATCH(Table261424[[#This Row],[2]],Table261424[[#This Row],[1]:[11]],0))-1)/(COUNTA(Table261424[[#This Row],[1]:[11]])-COUNTBLANK(Table261424[[#This Row],[1]:[11]])-1)))</f>
        <v>2.5614754098360657E-4</v>
      </c>
      <c r="AB43" s="30" cm="1">
        <f t="array" ref="AB43">IF(Table261424[[#This Row],[3]]="","",Table261424[[#This Row],[Weight]:[Weight]]-(Table261424[[#This Row],[Weight]:[Weight]]*((_xlfn.XMATCH(Table261424[[#This Row],[3]],Table261424[[#This Row],[1]:[11]],0))-1)/(COUNTA(Table261424[[#This Row],[1]:[11]])-COUNTBLANK(Table261424[[#This Row],[1]:[11]])-1)))</f>
        <v>1.7076502732240437E-4</v>
      </c>
      <c r="AC43" s="30" cm="1">
        <f t="array" ref="AC43">IF(Table261424[[#This Row],[4]]="","",Table261424[[#This Row],[Weight]:[Weight]]-(Table261424[[#This Row],[Weight]:[Weight]]*((_xlfn.XMATCH(Table261424[[#This Row],[4]],Table261424[[#This Row],[1]:[11]],0))-1)/(COUNTA(Table261424[[#This Row],[1]:[11]])-COUNTBLANK(Table261424[[#This Row],[1]:[11]])-1)))</f>
        <v>8.5382513661202172E-5</v>
      </c>
      <c r="AD43" s="30" cm="1">
        <f t="array" ref="AD43">IF(Table261424[[#This Row],[5]]="","",Table261424[[#This Row],[Weight]:[Weight]]-(Table261424[[#This Row],[Weight]:[Weight]]*((_xlfn.XMATCH(Table261424[[#This Row],[5]],Table261424[[#This Row],[1]:[11]],0))-1)/(COUNTA(Table261424[[#This Row],[1]:[11]])-COUNTBLANK(Table261424[[#This Row],[1]:[11]])-1)))</f>
        <v>0</v>
      </c>
      <c r="AE43" s="30" t="str" cm="1">
        <f t="array" ref="AE43">IF(Table261424[[#This Row],[6]]="","",Table261424[[#This Row],[Weight]:[Weight]]-(Table261424[[#This Row],[Weight]:[Weight]]*((_xlfn.XMATCH(Table261424[[#This Row],[6]],Table261424[[#This Row],[1]:[11]],0))-1)/(COUNTA(Table261424[[#This Row],[1]:[11]])-COUNTBLANK(Table261424[[#This Row],[1]:[11]])-1)))</f>
        <v/>
      </c>
      <c r="AF43" s="30" t="str" cm="1">
        <f t="array" ref="AF43">IF(Table261424[[#This Row],[7]]="","",Table261424[[#This Row],[Weight]:[Weight]]-(Table261424[[#This Row],[Weight]:[Weight]]*((_xlfn.XMATCH(Table261424[[#This Row],[7]],Table261424[[#This Row],[1]:[11]],0))-1)/(COUNTA(Table261424[[#This Row],[1]:[11]])-COUNTBLANK(Table261424[[#This Row],[1]:[11]])-1)))</f>
        <v/>
      </c>
      <c r="AG43" s="30" t="str" cm="1">
        <f t="array" ref="AG43">IF(Table261424[[#This Row],[8]]="","",Table261424[[#This Row],[Weight]:[Weight]]-(Table261424[[#This Row],[Weight]:[Weight]]*((_xlfn.XMATCH(Table261424[[#This Row],[8]],Table261424[[#This Row],[1]:[11]],0))-1)/(COUNTA(Table261424[[#This Row],[1]:[11]])-COUNTBLANK(Table261424[[#This Row],[1]:[11]])-1)))</f>
        <v/>
      </c>
      <c r="AH43" s="30" t="str" cm="1">
        <f t="array" ref="AH43">IF(Table261424[[#This Row],[9]]="","",Table261424[[#This Row],[Weight]:[Weight]]-(Table261424[[#This Row],[Weight]:[Weight]]*((_xlfn.XMATCH(Table261424[[#This Row],[9]],Table261424[[#This Row],[1]:[11]],0))-1)/(COUNTA(Table261424[[#This Row],[1]:[11]])-COUNTBLANK(Table261424[[#This Row],[1]:[11]])-1)))</f>
        <v/>
      </c>
      <c r="AI43" s="30" t="str" cm="1">
        <f t="array" ref="AI43">IF(Table261424[[#This Row],[10]]="","",Table261424[[#This Row],[Weight]:[Weight]]-(Table261424[[#This Row],[Weight]:[Weight]]*((_xlfn.XMATCH(Table261424[[#This Row],[10]],Table261424[[#This Row],[1]:[11]],0))-1)/(COUNTA(Table261424[[#This Row],[1]:[11]])-COUNTBLANK(Table261424[[#This Row],[1]:[11]])-1)))</f>
        <v/>
      </c>
      <c r="AJ43" s="30" t="str" cm="1">
        <f t="array" ref="AJ43">IF(Table261424[[#This Row],[11]]="","",Table261424[[#This Row],[Weight]:[Weight]]-(Table261424[[#This Row],[Weight]:[Weight]]*((_xlfn.XMATCH(Table261424[[#This Row],[11]],Table261424[[#This Row],[1]:[11]],0))-1)/(COUNTA(Table261424[[#This Row],[1]:[11]])-COUNTBLANK(Table261424[[#This Row],[1]:[11]])-1)))</f>
        <v/>
      </c>
    </row>
    <row r="44" spans="1:36" s="167" customFormat="1" ht="148.5" customHeight="1" x14ac:dyDescent="0.2">
      <c r="A44" s="173">
        <v>32</v>
      </c>
      <c r="B44" s="195" t="s">
        <v>247</v>
      </c>
      <c r="C44" s="158" t="s">
        <v>215</v>
      </c>
      <c r="D44" s="158"/>
      <c r="E44" s="28"/>
      <c r="F44" s="28"/>
      <c r="G44" s="159" t="s">
        <v>60</v>
      </c>
      <c r="H44" s="155" cm="1">
        <f t="array" ref="H44">_xlfn.IFS(G44="","",G44="No interest",0,G44="Nice to have",1,G44="Useful",2,G44="Important",3,G44="Very important",4,G44="Critical",5,G44="Show stopper",6)</f>
        <v>6</v>
      </c>
      <c r="I44" s="156">
        <f>(H44/$H$11)*$G$11</f>
        <v>4.0983606557377049E-4</v>
      </c>
      <c r="J44" s="157" t="s">
        <v>216</v>
      </c>
      <c r="K44" s="158" t="str" cm="1">
        <f t="array" ref="K44">_xlfn.TEXTJOIN(","&amp;CHAR(10),,TEXT(Table261424[[#This Row],[12]:[22]],"0,00%"))</f>
        <v>0,00%,
0,00%,
0,00%,
0,00%,
0,00%</v>
      </c>
      <c r="L44" s="175"/>
      <c r="M44" s="176" t="e">
        <f>I44-(I44*((MATCH(Table261424[[#This Row],[Evaluators Response (SELECT)]],Table261424[[#This Row],[1]:[11]],0)-1)/(COUNTA(Table261424[[#This Row],[1]:[11]])-COUNTBLANK(Table261424[[#This Row],[1]:[11]])-1)))</f>
        <v>#N/A</v>
      </c>
      <c r="N44" s="28"/>
      <c r="O44" s="39" t="str" cm="1">
        <f t="array" ref="O44">IFERROR(INDEX(_xlfn.UNIQUE(TRIM(_xlfn.TEXTSPLIT(Table261424[[#This Row],[Selection Options]:[Selection Options]],","))),,O$11),"")</f>
        <v>100%: Supported as delivered out of the box</v>
      </c>
      <c r="P44" s="39" t="str" cm="1">
        <f t="array" ref="P44">IFERROR(INDEX(_xlfn.UNIQUE(TRIM(_xlfn.TEXTSPLIT(Table261424[[#This Row],[Selection Options]:[Selection Options]],","))),,P$11),"")</f>
        <v xml:space="preserve">
75%: Supported via modifications (config)</v>
      </c>
      <c r="Q44" s="39" t="str" cm="1">
        <f t="array" ref="Q44">IFERROR(INDEX(_xlfn.UNIQUE(TRIM(_xlfn.TEXTSPLIT(Table261424[[#This Row],[Selection Options]:[Selection Options]],","))),,Q$11),"")</f>
        <v xml:space="preserve">
50%: Supported via a third party solution</v>
      </c>
      <c r="R44" s="39" t="str" cm="1">
        <f t="array" ref="R44">IFERROR(INDEX(_xlfn.UNIQUE(TRIM(_xlfn.TEXTSPLIT(Table261424[[#This Row],[Selection Options]:[Selection Options]],","))),,R$11),"")</f>
        <v xml:space="preserve">
25%: Supported via customisation (source code changes)</v>
      </c>
      <c r="S44" s="177" t="str" cm="1">
        <f t="array" ref="S44">IFERROR(INDEX(_xlfn.UNIQUE(TRIM(_xlfn.TEXTSPLIT(Table261424[[#This Row],[Selection Options]:[Selection Options]],","))),,S$11),"")</f>
        <v xml:space="preserve">
 0%: Not currently supported</v>
      </c>
      <c r="T44" s="39" t="str" cm="1">
        <f t="array" ref="T44">IFERROR(INDEX(_xlfn.UNIQUE(TRIM(_xlfn.TEXTSPLIT(Table261424[[#This Row],[Selection Options]:[Selection Options]],","))),,T$11),"")</f>
        <v/>
      </c>
      <c r="U44" s="39" t="str" cm="1">
        <f t="array" ref="U44">IFERROR(INDEX(_xlfn.UNIQUE(TRIM(_xlfn.TEXTSPLIT(Table261424[[#This Row],[Selection Options]:[Selection Options]],","))),,U$11),"")</f>
        <v/>
      </c>
      <c r="V44" s="39" t="str" cm="1">
        <f t="array" ref="V44">IFERROR(INDEX(_xlfn.UNIQUE(TRIM(_xlfn.TEXTSPLIT(Table261424[[#This Row],[Selection Options]:[Selection Options]],","))),,V$11),"")</f>
        <v/>
      </c>
      <c r="W44" s="39" t="str" cm="1">
        <f t="array" ref="W44">IFERROR(INDEX(_xlfn.UNIQUE(TRIM(_xlfn.TEXTSPLIT(Table261424[[#This Row],[Selection Options]:[Selection Options]],","))),,W$11),"")</f>
        <v/>
      </c>
      <c r="X44" s="39" t="str" cm="1">
        <f t="array" ref="X44">IFERROR(INDEX(_xlfn.UNIQUE(TRIM(_xlfn.TEXTSPLIT(Table261424[[#This Row],[Selection Options]:[Selection Options]],","))),,X$11),"")</f>
        <v/>
      </c>
      <c r="Y44" s="39" t="str" cm="1">
        <f t="array" ref="Y44">IFERROR(INDEX(_xlfn.UNIQUE(TRIM(_xlfn.TEXTSPLIT(Table261424[[#This Row],[Selection Options]:[Selection Options]],","))),,Y$11),"")</f>
        <v/>
      </c>
      <c r="Z44" s="30" cm="1">
        <f t="array" ref="Z44">IF(Table261424[[#This Row],[1]]="","",Table261424[[#This Row],[Weight]:[Weight]]-(Table261424[[#This Row],[Weight]:[Weight]]*((_xlfn.XMATCH(Table261424[[#This Row],[1]],Table261424[[#This Row],[1]:[11]],0))-1)/(COUNTA(Table261424[[#This Row],[1]:[11]])-COUNTBLANK(Table261424[[#This Row],[1]:[11]])-1)))</f>
        <v>4.0983606557377049E-4</v>
      </c>
      <c r="AA44" s="30" cm="1">
        <f t="array" ref="AA44">IF(Table261424[[#This Row],[2]]="","",Table261424[[#This Row],[Weight]:[Weight]]-(Table261424[[#This Row],[Weight]:[Weight]]*((_xlfn.XMATCH(Table261424[[#This Row],[2]],Table261424[[#This Row],[1]:[11]],0))-1)/(COUNTA(Table261424[[#This Row],[1]:[11]])-COUNTBLANK(Table261424[[#This Row],[1]:[11]])-1)))</f>
        <v>3.0737704918032784E-4</v>
      </c>
      <c r="AB44" s="30" cm="1">
        <f t="array" ref="AB44">IF(Table261424[[#This Row],[3]]="","",Table261424[[#This Row],[Weight]:[Weight]]-(Table261424[[#This Row],[Weight]:[Weight]]*((_xlfn.XMATCH(Table261424[[#This Row],[3]],Table261424[[#This Row],[1]:[11]],0))-1)/(COUNTA(Table261424[[#This Row],[1]:[11]])-COUNTBLANK(Table261424[[#This Row],[1]:[11]])-1)))</f>
        <v>2.0491803278688525E-4</v>
      </c>
      <c r="AC44" s="30" cm="1">
        <f t="array" ref="AC44">IF(Table261424[[#This Row],[4]]="","",Table261424[[#This Row],[Weight]:[Weight]]-(Table261424[[#This Row],[Weight]:[Weight]]*((_xlfn.XMATCH(Table261424[[#This Row],[4]],Table261424[[#This Row],[1]:[11]],0))-1)/(COUNTA(Table261424[[#This Row],[1]:[11]])-COUNTBLANK(Table261424[[#This Row],[1]:[11]])-1)))</f>
        <v>1.0245901639344265E-4</v>
      </c>
      <c r="AD44" s="30" cm="1">
        <f t="array" ref="AD44">IF(Table261424[[#This Row],[5]]="","",Table261424[[#This Row],[Weight]:[Weight]]-(Table261424[[#This Row],[Weight]:[Weight]]*((_xlfn.XMATCH(Table261424[[#This Row],[5]],Table261424[[#This Row],[1]:[11]],0))-1)/(COUNTA(Table261424[[#This Row],[1]:[11]])-COUNTBLANK(Table261424[[#This Row],[1]:[11]])-1)))</f>
        <v>0</v>
      </c>
      <c r="AE44" s="30" t="str" cm="1">
        <f t="array" ref="AE44">IF(Table261424[[#This Row],[6]]="","",Table261424[[#This Row],[Weight]:[Weight]]-(Table261424[[#This Row],[Weight]:[Weight]]*((_xlfn.XMATCH(Table261424[[#This Row],[6]],Table261424[[#This Row],[1]:[11]],0))-1)/(COUNTA(Table261424[[#This Row],[1]:[11]])-COUNTBLANK(Table261424[[#This Row],[1]:[11]])-1)))</f>
        <v/>
      </c>
      <c r="AF44" s="30" t="str" cm="1">
        <f t="array" ref="AF44">IF(Table261424[[#This Row],[7]]="","",Table261424[[#This Row],[Weight]:[Weight]]-(Table261424[[#This Row],[Weight]:[Weight]]*((_xlfn.XMATCH(Table261424[[#This Row],[7]],Table261424[[#This Row],[1]:[11]],0))-1)/(COUNTA(Table261424[[#This Row],[1]:[11]])-COUNTBLANK(Table261424[[#This Row],[1]:[11]])-1)))</f>
        <v/>
      </c>
      <c r="AG44" s="30" t="str" cm="1">
        <f t="array" ref="AG44">IF(Table261424[[#This Row],[8]]="","",Table261424[[#This Row],[Weight]:[Weight]]-(Table261424[[#This Row],[Weight]:[Weight]]*((_xlfn.XMATCH(Table261424[[#This Row],[8]],Table261424[[#This Row],[1]:[11]],0))-1)/(COUNTA(Table261424[[#This Row],[1]:[11]])-COUNTBLANK(Table261424[[#This Row],[1]:[11]])-1)))</f>
        <v/>
      </c>
      <c r="AH44" s="39" t="str" cm="1">
        <f t="array" ref="AH44">IF(Table261424[[#This Row],[9]]="","",Table261424[[#This Row],[Weight]:[Weight]]-(Table261424[[#This Row],[Weight]:[Weight]]*((_xlfn.XMATCH(Table261424[[#This Row],[9]],Table261424[[#This Row],[1]:[11]],0))-1)/(COUNTA(Table261424[[#This Row],[1]:[11]])-COUNTBLANK(Table261424[[#This Row],[1]:[11]])-1)))</f>
        <v/>
      </c>
      <c r="AI44" s="39" t="str" cm="1">
        <f t="array" ref="AI44">IF(Table261424[[#This Row],[10]]="","",Table261424[[#This Row],[Weight]:[Weight]]-(Table261424[[#This Row],[Weight]:[Weight]]*((_xlfn.XMATCH(Table261424[[#This Row],[10]],Table261424[[#This Row],[1]:[11]],0))-1)/(COUNTA(Table261424[[#This Row],[1]:[11]])-COUNTBLANK(Table261424[[#This Row],[1]:[11]])-1)))</f>
        <v/>
      </c>
      <c r="AJ44" s="39" t="str" cm="1">
        <f t="array" ref="AJ44">IF(Table261424[[#This Row],[11]]="","",Table261424[[#This Row],[Weight]:[Weight]]-(Table261424[[#This Row],[Weight]:[Weight]]*((_xlfn.XMATCH(Table261424[[#This Row],[11]],Table261424[[#This Row],[1]:[11]],0))-1)/(COUNTA(Table261424[[#This Row],[1]:[11]])-COUNTBLANK(Table261424[[#This Row],[1]:[11]])-1)))</f>
        <v/>
      </c>
    </row>
    <row r="45" spans="1:36" s="167" customFormat="1" ht="128.44999999999999" customHeight="1" x14ac:dyDescent="0.2">
      <c r="A45" s="173">
        <v>33</v>
      </c>
      <c r="B45" s="21" t="s">
        <v>248</v>
      </c>
      <c r="C45" s="158" t="s">
        <v>215</v>
      </c>
      <c r="D45" s="158"/>
      <c r="E45" s="28"/>
      <c r="F45" s="28"/>
      <c r="G45" s="159" t="s">
        <v>60</v>
      </c>
      <c r="H45" s="155" cm="1">
        <f t="array" ref="H45">_xlfn.IFS(G45="","",G45="No interest",0,G45="Nice to have",1,G45="Useful",2,G45="Important",3,G45="Very important",4,G45="Critical",5,G45="Show stopper",6)</f>
        <v>6</v>
      </c>
      <c r="I45" s="156">
        <f>(H45/$H$11)*$G$11</f>
        <v>4.0983606557377049E-4</v>
      </c>
      <c r="J45" s="157" t="s">
        <v>216</v>
      </c>
      <c r="K45" s="158" t="str" cm="1">
        <f t="array" ref="K45">_xlfn.TEXTJOIN(","&amp;CHAR(10),,TEXT(Table261424[[#This Row],[12]:[22]],"0,00%"))</f>
        <v>0,00%,
0,00%,
0,00%,
0,00%,
0,00%</v>
      </c>
      <c r="L45" s="175"/>
      <c r="M45" s="176" t="e">
        <f>I45-(I45*((MATCH(Table261424[[#This Row],[Evaluators Response (SELECT)]],Table261424[[#This Row],[1]:[11]],0)-1)/(COUNTA(Table261424[[#This Row],[1]:[11]])-COUNTBLANK(Table261424[[#This Row],[1]:[11]])-1)))</f>
        <v>#N/A</v>
      </c>
      <c r="N45" s="28"/>
      <c r="O45" s="39" t="str" cm="1">
        <f t="array" ref="O45">IFERROR(INDEX(_xlfn.UNIQUE(TRIM(_xlfn.TEXTSPLIT(Table261424[[#This Row],[Selection Options]:[Selection Options]],","))),,O$11),"")</f>
        <v>100%: Supported as delivered out of the box</v>
      </c>
      <c r="P45" s="39" t="str" cm="1">
        <f t="array" ref="P45">IFERROR(INDEX(_xlfn.UNIQUE(TRIM(_xlfn.TEXTSPLIT(Table261424[[#This Row],[Selection Options]:[Selection Options]],","))),,P$11),"")</f>
        <v xml:space="preserve">
75%: Supported via modifications (config)</v>
      </c>
      <c r="Q45" s="39" t="str" cm="1">
        <f t="array" ref="Q45">IFERROR(INDEX(_xlfn.UNIQUE(TRIM(_xlfn.TEXTSPLIT(Table261424[[#This Row],[Selection Options]:[Selection Options]],","))),,Q$11),"")</f>
        <v xml:space="preserve">
50%: Supported via a third party solution</v>
      </c>
      <c r="R45" s="39" t="str" cm="1">
        <f t="array" ref="R45">IFERROR(INDEX(_xlfn.UNIQUE(TRIM(_xlfn.TEXTSPLIT(Table261424[[#This Row],[Selection Options]:[Selection Options]],","))),,R$11),"")</f>
        <v xml:space="preserve">
25%: Supported via customisation (source code changes)</v>
      </c>
      <c r="S45" s="177" t="str" cm="1">
        <f t="array" ref="S45">IFERROR(INDEX(_xlfn.UNIQUE(TRIM(_xlfn.TEXTSPLIT(Table261424[[#This Row],[Selection Options]:[Selection Options]],","))),,S$11),"")</f>
        <v xml:space="preserve">
 0%: Not currently supported</v>
      </c>
      <c r="T45" s="39" t="str" cm="1">
        <f t="array" ref="T45">IFERROR(INDEX(_xlfn.UNIQUE(TRIM(_xlfn.TEXTSPLIT(Table261424[[#This Row],[Selection Options]:[Selection Options]],","))),,T$11),"")</f>
        <v/>
      </c>
      <c r="U45" s="39" t="str" cm="1">
        <f t="array" ref="U45">IFERROR(INDEX(_xlfn.UNIQUE(TRIM(_xlfn.TEXTSPLIT(Table261424[[#This Row],[Selection Options]:[Selection Options]],","))),,U$11),"")</f>
        <v/>
      </c>
      <c r="V45" s="39" t="str" cm="1">
        <f t="array" ref="V45">IFERROR(INDEX(_xlfn.UNIQUE(TRIM(_xlfn.TEXTSPLIT(Table261424[[#This Row],[Selection Options]:[Selection Options]],","))),,V$11),"")</f>
        <v/>
      </c>
      <c r="W45" s="39" t="str" cm="1">
        <f t="array" ref="W45">IFERROR(INDEX(_xlfn.UNIQUE(TRIM(_xlfn.TEXTSPLIT(Table261424[[#This Row],[Selection Options]:[Selection Options]],","))),,W$11),"")</f>
        <v/>
      </c>
      <c r="X45" s="39" t="str" cm="1">
        <f t="array" ref="X45">IFERROR(INDEX(_xlfn.UNIQUE(TRIM(_xlfn.TEXTSPLIT(Table261424[[#This Row],[Selection Options]:[Selection Options]],","))),,X$11),"")</f>
        <v/>
      </c>
      <c r="Y45" s="39" t="str" cm="1">
        <f t="array" ref="Y45">IFERROR(INDEX(_xlfn.UNIQUE(TRIM(_xlfn.TEXTSPLIT(Table261424[[#This Row],[Selection Options]:[Selection Options]],","))),,Y$11),"")</f>
        <v/>
      </c>
      <c r="Z45" s="30" cm="1">
        <f t="array" ref="Z45">IF(Table261424[[#This Row],[1]]="","",Table261424[[#This Row],[Weight]:[Weight]]-(Table261424[[#This Row],[Weight]:[Weight]]*((_xlfn.XMATCH(Table261424[[#This Row],[1]],Table261424[[#This Row],[1]:[11]],0))-1)/(COUNTA(Table261424[[#This Row],[1]:[11]])-COUNTBLANK(Table261424[[#This Row],[1]:[11]])-1)))</f>
        <v>4.0983606557377049E-4</v>
      </c>
      <c r="AA45" s="30" cm="1">
        <f t="array" ref="AA45">IF(Table261424[[#This Row],[2]]="","",Table261424[[#This Row],[Weight]:[Weight]]-(Table261424[[#This Row],[Weight]:[Weight]]*((_xlfn.XMATCH(Table261424[[#This Row],[2]],Table261424[[#This Row],[1]:[11]],0))-1)/(COUNTA(Table261424[[#This Row],[1]:[11]])-COUNTBLANK(Table261424[[#This Row],[1]:[11]])-1)))</f>
        <v>3.0737704918032784E-4</v>
      </c>
      <c r="AB45" s="30" cm="1">
        <f t="array" ref="AB45">IF(Table261424[[#This Row],[3]]="","",Table261424[[#This Row],[Weight]:[Weight]]-(Table261424[[#This Row],[Weight]:[Weight]]*((_xlfn.XMATCH(Table261424[[#This Row],[3]],Table261424[[#This Row],[1]:[11]],0))-1)/(COUNTA(Table261424[[#This Row],[1]:[11]])-COUNTBLANK(Table261424[[#This Row],[1]:[11]])-1)))</f>
        <v>2.0491803278688525E-4</v>
      </c>
      <c r="AC45" s="30" cm="1">
        <f t="array" ref="AC45">IF(Table261424[[#This Row],[4]]="","",Table261424[[#This Row],[Weight]:[Weight]]-(Table261424[[#This Row],[Weight]:[Weight]]*((_xlfn.XMATCH(Table261424[[#This Row],[4]],Table261424[[#This Row],[1]:[11]],0))-1)/(COUNTA(Table261424[[#This Row],[1]:[11]])-COUNTBLANK(Table261424[[#This Row],[1]:[11]])-1)))</f>
        <v>1.0245901639344265E-4</v>
      </c>
      <c r="AD45" s="30" cm="1">
        <f t="array" ref="AD45">IF(Table261424[[#This Row],[5]]="","",Table261424[[#This Row],[Weight]:[Weight]]-(Table261424[[#This Row],[Weight]:[Weight]]*((_xlfn.XMATCH(Table261424[[#This Row],[5]],Table261424[[#This Row],[1]:[11]],0))-1)/(COUNTA(Table261424[[#This Row],[1]:[11]])-COUNTBLANK(Table261424[[#This Row],[1]:[11]])-1)))</f>
        <v>0</v>
      </c>
      <c r="AE45" s="30" t="str" cm="1">
        <f t="array" ref="AE45">IF(Table261424[[#This Row],[6]]="","",Table261424[[#This Row],[Weight]:[Weight]]-(Table261424[[#This Row],[Weight]:[Weight]]*((_xlfn.XMATCH(Table261424[[#This Row],[6]],Table261424[[#This Row],[1]:[11]],0))-1)/(COUNTA(Table261424[[#This Row],[1]:[11]])-COUNTBLANK(Table261424[[#This Row],[1]:[11]])-1)))</f>
        <v/>
      </c>
      <c r="AF45" s="30" t="str" cm="1">
        <f t="array" ref="AF45">IF(Table261424[[#This Row],[7]]="","",Table261424[[#This Row],[Weight]:[Weight]]-(Table261424[[#This Row],[Weight]:[Weight]]*((_xlfn.XMATCH(Table261424[[#This Row],[7]],Table261424[[#This Row],[1]:[11]],0))-1)/(COUNTA(Table261424[[#This Row],[1]:[11]])-COUNTBLANK(Table261424[[#This Row],[1]:[11]])-1)))</f>
        <v/>
      </c>
      <c r="AG45" s="30" t="str" cm="1">
        <f t="array" ref="AG45">IF(Table261424[[#This Row],[8]]="","",Table261424[[#This Row],[Weight]:[Weight]]-(Table261424[[#This Row],[Weight]:[Weight]]*((_xlfn.XMATCH(Table261424[[#This Row],[8]],Table261424[[#This Row],[1]:[11]],0))-1)/(COUNTA(Table261424[[#This Row],[1]:[11]])-COUNTBLANK(Table261424[[#This Row],[1]:[11]])-1)))</f>
        <v/>
      </c>
      <c r="AH45" s="39" t="str" cm="1">
        <f t="array" ref="AH45">IF(Table261424[[#This Row],[9]]="","",Table261424[[#This Row],[Weight]:[Weight]]-(Table261424[[#This Row],[Weight]:[Weight]]*((_xlfn.XMATCH(Table261424[[#This Row],[9]],Table261424[[#This Row],[1]:[11]],0))-1)/(COUNTA(Table261424[[#This Row],[1]:[11]])-COUNTBLANK(Table261424[[#This Row],[1]:[11]])-1)))</f>
        <v/>
      </c>
      <c r="AI45" s="39" t="str" cm="1">
        <f t="array" ref="AI45">IF(Table261424[[#This Row],[10]]="","",Table261424[[#This Row],[Weight]:[Weight]]-(Table261424[[#This Row],[Weight]:[Weight]]*((_xlfn.XMATCH(Table261424[[#This Row],[10]],Table261424[[#This Row],[1]:[11]],0))-1)/(COUNTA(Table261424[[#This Row],[1]:[11]])-COUNTBLANK(Table261424[[#This Row],[1]:[11]])-1)))</f>
        <v/>
      </c>
      <c r="AJ45" s="39" t="str" cm="1">
        <f t="array" ref="AJ45">IF(Table261424[[#This Row],[11]]="","",Table261424[[#This Row],[Weight]:[Weight]]-(Table261424[[#This Row],[Weight]:[Weight]]*((_xlfn.XMATCH(Table261424[[#This Row],[11]],Table261424[[#This Row],[1]:[11]],0))-1)/(COUNTA(Table261424[[#This Row],[1]:[11]])-COUNTBLANK(Table261424[[#This Row],[1]:[11]])-1)))</f>
        <v/>
      </c>
    </row>
    <row r="46" spans="1:36" s="167" customFormat="1" ht="117.95" customHeight="1" x14ac:dyDescent="0.2">
      <c r="A46" s="173">
        <v>34</v>
      </c>
      <c r="B46" s="21" t="s">
        <v>249</v>
      </c>
      <c r="C46" s="158" t="s">
        <v>215</v>
      </c>
      <c r="D46" s="158"/>
      <c r="E46" s="28"/>
      <c r="F46" s="28"/>
      <c r="G46" s="159" t="s">
        <v>60</v>
      </c>
      <c r="H46" s="155" cm="1">
        <f t="array" ref="H46">_xlfn.IFS(G46="","",G46="No interest",0,G46="Nice to have",1,G46="Useful",2,G46="Important",3,G46="Very important",4,G46="Critical",5,G46="Show stopper",6)</f>
        <v>6</v>
      </c>
      <c r="I46" s="156">
        <f>(H46/$H$11)*$G$11</f>
        <v>4.0983606557377049E-4</v>
      </c>
      <c r="J46" s="157" t="s">
        <v>216</v>
      </c>
      <c r="K46" s="158" t="str" cm="1">
        <f t="array" ref="K46">_xlfn.TEXTJOIN(","&amp;CHAR(10),,TEXT(Table261424[[#This Row],[12]:[22]],"0,00%"))</f>
        <v>0,00%,
0,00%,
0,00%,
0,00%,
0,00%</v>
      </c>
      <c r="L46" s="175"/>
      <c r="M46" s="176" t="e">
        <f>I46-(I46*((MATCH(Table261424[[#This Row],[Evaluators Response (SELECT)]],Table261424[[#This Row],[1]:[11]],0)-1)/(COUNTA(Table261424[[#This Row],[1]:[11]])-COUNTBLANK(Table261424[[#This Row],[1]:[11]])-1)))</f>
        <v>#N/A</v>
      </c>
      <c r="N46" s="28"/>
      <c r="O46" s="39" t="str" cm="1">
        <f t="array" ref="O46">IFERROR(INDEX(_xlfn.UNIQUE(TRIM(_xlfn.TEXTSPLIT(Table261424[[#This Row],[Selection Options]:[Selection Options]],","))),,O$11),"")</f>
        <v>100%: Supported as delivered out of the box</v>
      </c>
      <c r="P46" s="39" t="str" cm="1">
        <f t="array" ref="P46">IFERROR(INDEX(_xlfn.UNIQUE(TRIM(_xlfn.TEXTSPLIT(Table261424[[#This Row],[Selection Options]:[Selection Options]],","))),,P$11),"")</f>
        <v xml:space="preserve">
75%: Supported via modifications (config)</v>
      </c>
      <c r="Q46" s="39" t="str" cm="1">
        <f t="array" ref="Q46">IFERROR(INDEX(_xlfn.UNIQUE(TRIM(_xlfn.TEXTSPLIT(Table261424[[#This Row],[Selection Options]:[Selection Options]],","))),,Q$11),"")</f>
        <v xml:space="preserve">
50%: Supported via a third party solution</v>
      </c>
      <c r="R46" s="39" t="str" cm="1">
        <f t="array" ref="R46">IFERROR(INDEX(_xlfn.UNIQUE(TRIM(_xlfn.TEXTSPLIT(Table261424[[#This Row],[Selection Options]:[Selection Options]],","))),,R$11),"")</f>
        <v xml:space="preserve">
25%: Supported via customisation (source code changes)</v>
      </c>
      <c r="S46" s="177" t="str" cm="1">
        <f t="array" ref="S46">IFERROR(INDEX(_xlfn.UNIQUE(TRIM(_xlfn.TEXTSPLIT(Table261424[[#This Row],[Selection Options]:[Selection Options]],","))),,S$11),"")</f>
        <v xml:space="preserve">
 0%: Not currently supported</v>
      </c>
      <c r="T46" s="39" t="str" cm="1">
        <f t="array" ref="T46">IFERROR(INDEX(_xlfn.UNIQUE(TRIM(_xlfn.TEXTSPLIT(Table261424[[#This Row],[Selection Options]:[Selection Options]],","))),,T$11),"")</f>
        <v/>
      </c>
      <c r="U46" s="39" t="str" cm="1">
        <f t="array" ref="U46">IFERROR(INDEX(_xlfn.UNIQUE(TRIM(_xlfn.TEXTSPLIT(Table261424[[#This Row],[Selection Options]:[Selection Options]],","))),,U$11),"")</f>
        <v/>
      </c>
      <c r="V46" s="39" t="str" cm="1">
        <f t="array" ref="V46">IFERROR(INDEX(_xlfn.UNIQUE(TRIM(_xlfn.TEXTSPLIT(Table261424[[#This Row],[Selection Options]:[Selection Options]],","))),,V$11),"")</f>
        <v/>
      </c>
      <c r="W46" s="39" t="str" cm="1">
        <f t="array" ref="W46">IFERROR(INDEX(_xlfn.UNIQUE(TRIM(_xlfn.TEXTSPLIT(Table261424[[#This Row],[Selection Options]:[Selection Options]],","))),,W$11),"")</f>
        <v/>
      </c>
      <c r="X46" s="39" t="str" cm="1">
        <f t="array" ref="X46">IFERROR(INDEX(_xlfn.UNIQUE(TRIM(_xlfn.TEXTSPLIT(Table261424[[#This Row],[Selection Options]:[Selection Options]],","))),,X$11),"")</f>
        <v/>
      </c>
      <c r="Y46" s="39" t="str" cm="1">
        <f t="array" ref="Y46">IFERROR(INDEX(_xlfn.UNIQUE(TRIM(_xlfn.TEXTSPLIT(Table261424[[#This Row],[Selection Options]:[Selection Options]],","))),,Y$11),"")</f>
        <v/>
      </c>
      <c r="Z46" s="30" cm="1">
        <f t="array" ref="Z46">IF(Table261424[[#This Row],[1]]="","",Table261424[[#This Row],[Weight]:[Weight]]-(Table261424[[#This Row],[Weight]:[Weight]]*((_xlfn.XMATCH(Table261424[[#This Row],[1]],Table261424[[#This Row],[1]:[11]],0))-1)/(COUNTA(Table261424[[#This Row],[1]:[11]])-COUNTBLANK(Table261424[[#This Row],[1]:[11]])-1)))</f>
        <v>4.0983606557377049E-4</v>
      </c>
      <c r="AA46" s="30" cm="1">
        <f t="array" ref="AA46">IF(Table261424[[#This Row],[2]]="","",Table261424[[#This Row],[Weight]:[Weight]]-(Table261424[[#This Row],[Weight]:[Weight]]*((_xlfn.XMATCH(Table261424[[#This Row],[2]],Table261424[[#This Row],[1]:[11]],0))-1)/(COUNTA(Table261424[[#This Row],[1]:[11]])-COUNTBLANK(Table261424[[#This Row],[1]:[11]])-1)))</f>
        <v>3.0737704918032784E-4</v>
      </c>
      <c r="AB46" s="30" cm="1">
        <f t="array" ref="AB46">IF(Table261424[[#This Row],[3]]="","",Table261424[[#This Row],[Weight]:[Weight]]-(Table261424[[#This Row],[Weight]:[Weight]]*((_xlfn.XMATCH(Table261424[[#This Row],[3]],Table261424[[#This Row],[1]:[11]],0))-1)/(COUNTA(Table261424[[#This Row],[1]:[11]])-COUNTBLANK(Table261424[[#This Row],[1]:[11]])-1)))</f>
        <v>2.0491803278688525E-4</v>
      </c>
      <c r="AC46" s="30" cm="1">
        <f t="array" ref="AC46">IF(Table261424[[#This Row],[4]]="","",Table261424[[#This Row],[Weight]:[Weight]]-(Table261424[[#This Row],[Weight]:[Weight]]*((_xlfn.XMATCH(Table261424[[#This Row],[4]],Table261424[[#This Row],[1]:[11]],0))-1)/(COUNTA(Table261424[[#This Row],[1]:[11]])-COUNTBLANK(Table261424[[#This Row],[1]:[11]])-1)))</f>
        <v>1.0245901639344265E-4</v>
      </c>
      <c r="AD46" s="30" cm="1">
        <f t="array" ref="AD46">IF(Table261424[[#This Row],[5]]="","",Table261424[[#This Row],[Weight]:[Weight]]-(Table261424[[#This Row],[Weight]:[Weight]]*((_xlfn.XMATCH(Table261424[[#This Row],[5]],Table261424[[#This Row],[1]:[11]],0))-1)/(COUNTA(Table261424[[#This Row],[1]:[11]])-COUNTBLANK(Table261424[[#This Row],[1]:[11]])-1)))</f>
        <v>0</v>
      </c>
      <c r="AE46" s="30" t="str" cm="1">
        <f t="array" ref="AE46">IF(Table261424[[#This Row],[6]]="","",Table261424[[#This Row],[Weight]:[Weight]]-(Table261424[[#This Row],[Weight]:[Weight]]*((_xlfn.XMATCH(Table261424[[#This Row],[6]],Table261424[[#This Row],[1]:[11]],0))-1)/(COUNTA(Table261424[[#This Row],[1]:[11]])-COUNTBLANK(Table261424[[#This Row],[1]:[11]])-1)))</f>
        <v/>
      </c>
      <c r="AF46" s="30" t="str" cm="1">
        <f t="array" ref="AF46">IF(Table261424[[#This Row],[7]]="","",Table261424[[#This Row],[Weight]:[Weight]]-(Table261424[[#This Row],[Weight]:[Weight]]*((_xlfn.XMATCH(Table261424[[#This Row],[7]],Table261424[[#This Row],[1]:[11]],0))-1)/(COUNTA(Table261424[[#This Row],[1]:[11]])-COUNTBLANK(Table261424[[#This Row],[1]:[11]])-1)))</f>
        <v/>
      </c>
      <c r="AG46" s="30" t="str" cm="1">
        <f t="array" ref="AG46">IF(Table261424[[#This Row],[8]]="","",Table261424[[#This Row],[Weight]:[Weight]]-(Table261424[[#This Row],[Weight]:[Weight]]*((_xlfn.XMATCH(Table261424[[#This Row],[8]],Table261424[[#This Row],[1]:[11]],0))-1)/(COUNTA(Table261424[[#This Row],[1]:[11]])-COUNTBLANK(Table261424[[#This Row],[1]:[11]])-1)))</f>
        <v/>
      </c>
      <c r="AH46" s="39" t="str" cm="1">
        <f t="array" ref="AH46">IF(Table261424[[#This Row],[9]]="","",Table261424[[#This Row],[Weight]:[Weight]]-(Table261424[[#This Row],[Weight]:[Weight]]*((_xlfn.XMATCH(Table261424[[#This Row],[9]],Table261424[[#This Row],[1]:[11]],0))-1)/(COUNTA(Table261424[[#This Row],[1]:[11]])-COUNTBLANK(Table261424[[#This Row],[1]:[11]])-1)))</f>
        <v/>
      </c>
      <c r="AI46" s="39" t="str" cm="1">
        <f t="array" ref="AI46">IF(Table261424[[#This Row],[10]]="","",Table261424[[#This Row],[Weight]:[Weight]]-(Table261424[[#This Row],[Weight]:[Weight]]*((_xlfn.XMATCH(Table261424[[#This Row],[10]],Table261424[[#This Row],[1]:[11]],0))-1)/(COUNTA(Table261424[[#This Row],[1]:[11]])-COUNTBLANK(Table261424[[#This Row],[1]:[11]])-1)))</f>
        <v/>
      </c>
      <c r="AJ46" s="39" t="str" cm="1">
        <f t="array" ref="AJ46">IF(Table261424[[#This Row],[11]]="","",Table261424[[#This Row],[Weight]:[Weight]]-(Table261424[[#This Row],[Weight]:[Weight]]*((_xlfn.XMATCH(Table261424[[#This Row],[11]],Table261424[[#This Row],[1]:[11]],0))-1)/(COUNTA(Table261424[[#This Row],[1]:[11]])-COUNTBLANK(Table261424[[#This Row],[1]:[11]])-1)))</f>
        <v/>
      </c>
    </row>
    <row r="47" spans="1:36" s="167" customFormat="1" ht="100.5" customHeight="1" x14ac:dyDescent="0.2">
      <c r="A47" s="173">
        <v>35</v>
      </c>
      <c r="B47" s="21" t="s">
        <v>250</v>
      </c>
      <c r="C47" s="158" t="s">
        <v>215</v>
      </c>
      <c r="D47" s="158"/>
      <c r="E47" s="28"/>
      <c r="F47" s="28"/>
      <c r="G47" s="159" t="s">
        <v>188</v>
      </c>
      <c r="H47" s="155" cm="1">
        <f t="array" ref="H47">_xlfn.IFS(G47="","",G47="No interest",0,G47="Nice to have",1,G47="Useful",2,G47="Important",3,G47="Very important",4,G47="Critical",5,G47="Show stopper",6)</f>
        <v>5</v>
      </c>
      <c r="I47" s="156">
        <f>(H47/$H$11)*$G$11</f>
        <v>3.4153005464480874E-4</v>
      </c>
      <c r="J47" s="157" t="s">
        <v>216</v>
      </c>
      <c r="K47" s="158" t="str" cm="1">
        <f t="array" ref="K47">_xlfn.TEXTJOIN(","&amp;CHAR(10),,TEXT(Table261424[[#This Row],[12]:[22]],"0,00%"))</f>
        <v>0,00%,
0,00%,
0,00%,
0,00%,
0,00%</v>
      </c>
      <c r="L47" s="175"/>
      <c r="M47" s="176" t="e">
        <f>I47-(I47*((MATCH(Table261424[[#This Row],[Evaluators Response (SELECT)]],Table261424[[#This Row],[1]:[11]],0)-1)/(COUNTA(Table261424[[#This Row],[1]:[11]])-COUNTBLANK(Table261424[[#This Row],[1]:[11]])-1)))</f>
        <v>#N/A</v>
      </c>
      <c r="N47" s="28"/>
      <c r="O47" s="39" t="str" cm="1">
        <f t="array" ref="O47">IFERROR(INDEX(_xlfn.UNIQUE(TRIM(_xlfn.TEXTSPLIT(Table261424[[#This Row],[Selection Options]:[Selection Options]],","))),,O$11),"")</f>
        <v>100%: Supported as delivered out of the box</v>
      </c>
      <c r="P47" s="39" t="str" cm="1">
        <f t="array" ref="P47">IFERROR(INDEX(_xlfn.UNIQUE(TRIM(_xlfn.TEXTSPLIT(Table261424[[#This Row],[Selection Options]:[Selection Options]],","))),,P$11),"")</f>
        <v xml:space="preserve">
75%: Supported via modifications (config)</v>
      </c>
      <c r="Q47" s="39" t="str" cm="1">
        <f t="array" ref="Q47">IFERROR(INDEX(_xlfn.UNIQUE(TRIM(_xlfn.TEXTSPLIT(Table261424[[#This Row],[Selection Options]:[Selection Options]],","))),,Q$11),"")</f>
        <v xml:space="preserve">
50%: Supported via a third party solution</v>
      </c>
      <c r="R47" s="39" t="str" cm="1">
        <f t="array" ref="R47">IFERROR(INDEX(_xlfn.UNIQUE(TRIM(_xlfn.TEXTSPLIT(Table261424[[#This Row],[Selection Options]:[Selection Options]],","))),,R$11),"")</f>
        <v xml:space="preserve">
25%: Supported via customisation (source code changes)</v>
      </c>
      <c r="S47" s="177" t="str" cm="1">
        <f t="array" ref="S47">IFERROR(INDEX(_xlfn.UNIQUE(TRIM(_xlfn.TEXTSPLIT(Table261424[[#This Row],[Selection Options]:[Selection Options]],","))),,S$11),"")</f>
        <v xml:space="preserve">
 0%: Not currently supported</v>
      </c>
      <c r="T47" s="39" t="str" cm="1">
        <f t="array" ref="T47">IFERROR(INDEX(_xlfn.UNIQUE(TRIM(_xlfn.TEXTSPLIT(Table261424[[#This Row],[Selection Options]:[Selection Options]],","))),,T$11),"")</f>
        <v/>
      </c>
      <c r="U47" s="39" t="str" cm="1">
        <f t="array" ref="U47">IFERROR(INDEX(_xlfn.UNIQUE(TRIM(_xlfn.TEXTSPLIT(Table261424[[#This Row],[Selection Options]:[Selection Options]],","))),,U$11),"")</f>
        <v/>
      </c>
      <c r="V47" s="39" t="str" cm="1">
        <f t="array" ref="V47">IFERROR(INDEX(_xlfn.UNIQUE(TRIM(_xlfn.TEXTSPLIT(Table261424[[#This Row],[Selection Options]:[Selection Options]],","))),,V$11),"")</f>
        <v/>
      </c>
      <c r="W47" s="39" t="str" cm="1">
        <f t="array" ref="W47">IFERROR(INDEX(_xlfn.UNIQUE(TRIM(_xlfn.TEXTSPLIT(Table261424[[#This Row],[Selection Options]:[Selection Options]],","))),,W$11),"")</f>
        <v/>
      </c>
      <c r="X47" s="39" t="str" cm="1">
        <f t="array" ref="X47">IFERROR(INDEX(_xlfn.UNIQUE(TRIM(_xlfn.TEXTSPLIT(Table261424[[#This Row],[Selection Options]:[Selection Options]],","))),,X$11),"")</f>
        <v/>
      </c>
      <c r="Y47" s="39" t="str" cm="1">
        <f t="array" ref="Y47">IFERROR(INDEX(_xlfn.UNIQUE(TRIM(_xlfn.TEXTSPLIT(Table261424[[#This Row],[Selection Options]:[Selection Options]],","))),,Y$11),"")</f>
        <v/>
      </c>
      <c r="Z47" s="30" cm="1">
        <f t="array" ref="Z47">IF(Table261424[[#This Row],[1]]="","",Table261424[[#This Row],[Weight]:[Weight]]-(Table261424[[#This Row],[Weight]:[Weight]]*((_xlfn.XMATCH(Table261424[[#This Row],[1]],Table261424[[#This Row],[1]:[11]],0))-1)/(COUNTA(Table261424[[#This Row],[1]:[11]])-COUNTBLANK(Table261424[[#This Row],[1]:[11]])-1)))</f>
        <v>3.4153005464480874E-4</v>
      </c>
      <c r="AA47" s="30" cm="1">
        <f t="array" ref="AA47">IF(Table261424[[#This Row],[2]]="","",Table261424[[#This Row],[Weight]:[Weight]]-(Table261424[[#This Row],[Weight]:[Weight]]*((_xlfn.XMATCH(Table261424[[#This Row],[2]],Table261424[[#This Row],[1]:[11]],0))-1)/(COUNTA(Table261424[[#This Row],[1]:[11]])-COUNTBLANK(Table261424[[#This Row],[1]:[11]])-1)))</f>
        <v>2.5614754098360657E-4</v>
      </c>
      <c r="AB47" s="30" cm="1">
        <f t="array" ref="AB47">IF(Table261424[[#This Row],[3]]="","",Table261424[[#This Row],[Weight]:[Weight]]-(Table261424[[#This Row],[Weight]:[Weight]]*((_xlfn.XMATCH(Table261424[[#This Row],[3]],Table261424[[#This Row],[1]:[11]],0))-1)/(COUNTA(Table261424[[#This Row],[1]:[11]])-COUNTBLANK(Table261424[[#This Row],[1]:[11]])-1)))</f>
        <v>1.7076502732240437E-4</v>
      </c>
      <c r="AC47" s="30" cm="1">
        <f t="array" ref="AC47">IF(Table261424[[#This Row],[4]]="","",Table261424[[#This Row],[Weight]:[Weight]]-(Table261424[[#This Row],[Weight]:[Weight]]*((_xlfn.XMATCH(Table261424[[#This Row],[4]],Table261424[[#This Row],[1]:[11]],0))-1)/(COUNTA(Table261424[[#This Row],[1]:[11]])-COUNTBLANK(Table261424[[#This Row],[1]:[11]])-1)))</f>
        <v>8.5382513661202172E-5</v>
      </c>
      <c r="AD47" s="30" cm="1">
        <f t="array" ref="AD47">IF(Table261424[[#This Row],[5]]="","",Table261424[[#This Row],[Weight]:[Weight]]-(Table261424[[#This Row],[Weight]:[Weight]]*((_xlfn.XMATCH(Table261424[[#This Row],[5]],Table261424[[#This Row],[1]:[11]],0))-1)/(COUNTA(Table261424[[#This Row],[1]:[11]])-COUNTBLANK(Table261424[[#This Row],[1]:[11]])-1)))</f>
        <v>0</v>
      </c>
      <c r="AE47" s="30" t="str" cm="1">
        <f t="array" ref="AE47">IF(Table261424[[#This Row],[6]]="","",Table261424[[#This Row],[Weight]:[Weight]]-(Table261424[[#This Row],[Weight]:[Weight]]*((_xlfn.XMATCH(Table261424[[#This Row],[6]],Table261424[[#This Row],[1]:[11]],0))-1)/(COUNTA(Table261424[[#This Row],[1]:[11]])-COUNTBLANK(Table261424[[#This Row],[1]:[11]])-1)))</f>
        <v/>
      </c>
      <c r="AF47" s="30" t="str" cm="1">
        <f t="array" ref="AF47">IF(Table261424[[#This Row],[7]]="","",Table261424[[#This Row],[Weight]:[Weight]]-(Table261424[[#This Row],[Weight]:[Weight]]*((_xlfn.XMATCH(Table261424[[#This Row],[7]],Table261424[[#This Row],[1]:[11]],0))-1)/(COUNTA(Table261424[[#This Row],[1]:[11]])-COUNTBLANK(Table261424[[#This Row],[1]:[11]])-1)))</f>
        <v/>
      </c>
      <c r="AG47" s="30" t="str" cm="1">
        <f t="array" ref="AG47">IF(Table261424[[#This Row],[8]]="","",Table261424[[#This Row],[Weight]:[Weight]]-(Table261424[[#This Row],[Weight]:[Weight]]*((_xlfn.XMATCH(Table261424[[#This Row],[8]],Table261424[[#This Row],[1]:[11]],0))-1)/(COUNTA(Table261424[[#This Row],[1]:[11]])-COUNTBLANK(Table261424[[#This Row],[1]:[11]])-1)))</f>
        <v/>
      </c>
      <c r="AH47" s="39" t="str" cm="1">
        <f t="array" ref="AH47">IF(Table261424[[#This Row],[9]]="","",Table261424[[#This Row],[Weight]:[Weight]]-(Table261424[[#This Row],[Weight]:[Weight]]*((_xlfn.XMATCH(Table261424[[#This Row],[9]],Table261424[[#This Row],[1]:[11]],0))-1)/(COUNTA(Table261424[[#This Row],[1]:[11]])-COUNTBLANK(Table261424[[#This Row],[1]:[11]])-1)))</f>
        <v/>
      </c>
      <c r="AI47" s="39" t="str" cm="1">
        <f t="array" ref="AI47">IF(Table261424[[#This Row],[10]]="","",Table261424[[#This Row],[Weight]:[Weight]]-(Table261424[[#This Row],[Weight]:[Weight]]*((_xlfn.XMATCH(Table261424[[#This Row],[10]],Table261424[[#This Row],[1]:[11]],0))-1)/(COUNTA(Table261424[[#This Row],[1]:[11]])-COUNTBLANK(Table261424[[#This Row],[1]:[11]])-1)))</f>
        <v/>
      </c>
      <c r="AJ47" s="39" t="str" cm="1">
        <f t="array" ref="AJ47">IF(Table261424[[#This Row],[11]]="","",Table261424[[#This Row],[Weight]:[Weight]]-(Table261424[[#This Row],[Weight]:[Weight]]*((_xlfn.XMATCH(Table261424[[#This Row],[11]],Table261424[[#This Row],[1]:[11]],0))-1)/(COUNTA(Table261424[[#This Row],[1]:[11]])-COUNTBLANK(Table261424[[#This Row],[1]:[11]])-1)))</f>
        <v/>
      </c>
    </row>
    <row r="48" spans="1:36" s="167" customFormat="1" ht="110.45" customHeight="1" x14ac:dyDescent="0.2">
      <c r="A48" s="173">
        <v>36</v>
      </c>
      <c r="B48" s="21" t="s">
        <v>251</v>
      </c>
      <c r="C48" s="178" t="s">
        <v>215</v>
      </c>
      <c r="D48" s="179"/>
      <c r="E48" s="28"/>
      <c r="F48" s="28"/>
      <c r="G48" s="159" t="s">
        <v>60</v>
      </c>
      <c r="H48" s="155" cm="1">
        <f t="array" ref="H48">_xlfn.IFS(G48="","",G48="No interest",0,G48="Nice to have",1,G48="Useful",2,G48="Important",3,G48="Very important",4,G48="Critical",5,G48="Show stopper",6)</f>
        <v>6</v>
      </c>
      <c r="I48" s="156">
        <f t="shared" ref="I48" si="2">(H48/$H$11)*$G$11</f>
        <v>4.0983606557377049E-4</v>
      </c>
      <c r="J48" s="157" t="s">
        <v>216</v>
      </c>
      <c r="K48" s="158" t="str" cm="1">
        <f t="array" ref="K48">_xlfn.TEXTJOIN(","&amp;CHAR(10),,TEXT(Table261424[[#This Row],[12]:[22]],"0,00%"))</f>
        <v>0,00%,
0,00%,
0,00%,
0,00%,
0,00%</v>
      </c>
      <c r="L48" s="175"/>
      <c r="M48" s="176" t="e">
        <f>I48-(I48*((MATCH(Table261424[[#This Row],[Evaluators Response (SELECT)]],Table261424[[#This Row],[1]:[11]],0)-1)/(COUNTA(Table261424[[#This Row],[1]:[11]])-COUNTBLANK(Table261424[[#This Row],[1]:[11]])-1)))</f>
        <v>#N/A</v>
      </c>
      <c r="N48" s="28"/>
      <c r="O48" s="39" t="str" cm="1">
        <f t="array" ref="O48">IFERROR(INDEX(_xlfn.UNIQUE(TRIM(_xlfn.TEXTSPLIT(Table261424[[#This Row],[Selection Options]:[Selection Options]],","))),,O$11),"")</f>
        <v>100%: Supported as delivered out of the box</v>
      </c>
      <c r="P48" s="39" t="str" cm="1">
        <f t="array" ref="P48">IFERROR(INDEX(_xlfn.UNIQUE(TRIM(_xlfn.TEXTSPLIT(Table261424[[#This Row],[Selection Options]:[Selection Options]],","))),,P$11),"")</f>
        <v xml:space="preserve">
75%: Supported via modifications (config)</v>
      </c>
      <c r="Q48" s="39" t="str" cm="1">
        <f t="array" ref="Q48">IFERROR(INDEX(_xlfn.UNIQUE(TRIM(_xlfn.TEXTSPLIT(Table261424[[#This Row],[Selection Options]:[Selection Options]],","))),,Q$11),"")</f>
        <v xml:space="preserve">
50%: Supported via a third party solution</v>
      </c>
      <c r="R48" s="39" t="str" cm="1">
        <f t="array" ref="R48">IFERROR(INDEX(_xlfn.UNIQUE(TRIM(_xlfn.TEXTSPLIT(Table261424[[#This Row],[Selection Options]:[Selection Options]],","))),,R$11),"")</f>
        <v xml:space="preserve">
25%: Supported via customisation (source code changes)</v>
      </c>
      <c r="S48" s="177" t="str" cm="1">
        <f t="array" ref="S48">IFERROR(INDEX(_xlfn.UNIQUE(TRIM(_xlfn.TEXTSPLIT(Table261424[[#This Row],[Selection Options]:[Selection Options]],","))),,S$11),"")</f>
        <v xml:space="preserve">
 0%: Not currently supported</v>
      </c>
      <c r="T48" s="39" t="str" cm="1">
        <f t="array" ref="T48">IFERROR(INDEX(_xlfn.UNIQUE(TRIM(_xlfn.TEXTSPLIT(Table261424[[#This Row],[Selection Options]:[Selection Options]],","))),,T$11),"")</f>
        <v/>
      </c>
      <c r="U48" s="39" t="str" cm="1">
        <f t="array" ref="U48">IFERROR(INDEX(_xlfn.UNIQUE(TRIM(_xlfn.TEXTSPLIT(Table261424[[#This Row],[Selection Options]:[Selection Options]],","))),,U$11),"")</f>
        <v/>
      </c>
      <c r="V48" s="39" t="str" cm="1">
        <f t="array" ref="V48">IFERROR(INDEX(_xlfn.UNIQUE(TRIM(_xlfn.TEXTSPLIT(Table261424[[#This Row],[Selection Options]:[Selection Options]],","))),,V$11),"")</f>
        <v/>
      </c>
      <c r="W48" s="39" t="str" cm="1">
        <f t="array" ref="W48">IFERROR(INDEX(_xlfn.UNIQUE(TRIM(_xlfn.TEXTSPLIT(Table261424[[#This Row],[Selection Options]:[Selection Options]],","))),,W$11),"")</f>
        <v/>
      </c>
      <c r="X48" s="39" t="str" cm="1">
        <f t="array" ref="X48">IFERROR(INDEX(_xlfn.UNIQUE(TRIM(_xlfn.TEXTSPLIT(Table261424[[#This Row],[Selection Options]:[Selection Options]],","))),,X$11),"")</f>
        <v/>
      </c>
      <c r="Y48" s="39" t="str" cm="1">
        <f t="array" ref="Y48">IFERROR(INDEX(_xlfn.UNIQUE(TRIM(_xlfn.TEXTSPLIT(Table261424[[#This Row],[Selection Options]:[Selection Options]],","))),,Y$11),"")</f>
        <v/>
      </c>
      <c r="Z48" s="30" cm="1">
        <f t="array" ref="Z48">IF(Table261424[[#This Row],[1]]="","",Table261424[[#This Row],[Weight]:[Weight]]-(Table261424[[#This Row],[Weight]:[Weight]]*((_xlfn.XMATCH(Table261424[[#This Row],[1]],Table261424[[#This Row],[1]:[11]],0))-1)/(COUNTA(Table261424[[#This Row],[1]:[11]])-COUNTBLANK(Table261424[[#This Row],[1]:[11]])-1)))</f>
        <v>4.0983606557377049E-4</v>
      </c>
      <c r="AA48" s="30" cm="1">
        <f t="array" ref="AA48">IF(Table261424[[#This Row],[2]]="","",Table261424[[#This Row],[Weight]:[Weight]]-(Table261424[[#This Row],[Weight]:[Weight]]*((_xlfn.XMATCH(Table261424[[#This Row],[2]],Table261424[[#This Row],[1]:[11]],0))-1)/(COUNTA(Table261424[[#This Row],[1]:[11]])-COUNTBLANK(Table261424[[#This Row],[1]:[11]])-1)))</f>
        <v>3.0737704918032784E-4</v>
      </c>
      <c r="AB48" s="30" cm="1">
        <f t="array" ref="AB48">IF(Table261424[[#This Row],[3]]="","",Table261424[[#This Row],[Weight]:[Weight]]-(Table261424[[#This Row],[Weight]:[Weight]]*((_xlfn.XMATCH(Table261424[[#This Row],[3]],Table261424[[#This Row],[1]:[11]],0))-1)/(COUNTA(Table261424[[#This Row],[1]:[11]])-COUNTBLANK(Table261424[[#This Row],[1]:[11]])-1)))</f>
        <v>2.0491803278688525E-4</v>
      </c>
      <c r="AC48" s="30" cm="1">
        <f t="array" ref="AC48">IF(Table261424[[#This Row],[4]]="","",Table261424[[#This Row],[Weight]:[Weight]]-(Table261424[[#This Row],[Weight]:[Weight]]*((_xlfn.XMATCH(Table261424[[#This Row],[4]],Table261424[[#This Row],[1]:[11]],0))-1)/(COUNTA(Table261424[[#This Row],[1]:[11]])-COUNTBLANK(Table261424[[#This Row],[1]:[11]])-1)))</f>
        <v>1.0245901639344265E-4</v>
      </c>
      <c r="AD48" s="30" cm="1">
        <f t="array" ref="AD48">IF(Table261424[[#This Row],[5]]="","",Table261424[[#This Row],[Weight]:[Weight]]-(Table261424[[#This Row],[Weight]:[Weight]]*((_xlfn.XMATCH(Table261424[[#This Row],[5]],Table261424[[#This Row],[1]:[11]],0))-1)/(COUNTA(Table261424[[#This Row],[1]:[11]])-COUNTBLANK(Table261424[[#This Row],[1]:[11]])-1)))</f>
        <v>0</v>
      </c>
      <c r="AE48" s="30" t="str" cm="1">
        <f t="array" ref="AE48">IF(Table261424[[#This Row],[6]]="","",Table261424[[#This Row],[Weight]:[Weight]]-(Table261424[[#This Row],[Weight]:[Weight]]*((_xlfn.XMATCH(Table261424[[#This Row],[6]],Table261424[[#This Row],[1]:[11]],0))-1)/(COUNTA(Table261424[[#This Row],[1]:[11]])-COUNTBLANK(Table261424[[#This Row],[1]:[11]])-1)))</f>
        <v/>
      </c>
      <c r="AF48" s="30" t="str" cm="1">
        <f t="array" ref="AF48">IF(Table261424[[#This Row],[7]]="","",Table261424[[#This Row],[Weight]:[Weight]]-(Table261424[[#This Row],[Weight]:[Weight]]*((_xlfn.XMATCH(Table261424[[#This Row],[7]],Table261424[[#This Row],[1]:[11]],0))-1)/(COUNTA(Table261424[[#This Row],[1]:[11]])-COUNTBLANK(Table261424[[#This Row],[1]:[11]])-1)))</f>
        <v/>
      </c>
      <c r="AG48" s="30" t="str" cm="1">
        <f t="array" ref="AG48">IF(Table261424[[#This Row],[8]]="","",Table261424[[#This Row],[Weight]:[Weight]]-(Table261424[[#This Row],[Weight]:[Weight]]*((_xlfn.XMATCH(Table261424[[#This Row],[8]],Table261424[[#This Row],[1]:[11]],0))-1)/(COUNTA(Table261424[[#This Row],[1]:[11]])-COUNTBLANK(Table261424[[#This Row],[1]:[11]])-1)))</f>
        <v/>
      </c>
      <c r="AH48" s="39" t="str" cm="1">
        <f t="array" ref="AH48">IF(Table261424[[#This Row],[9]]="","",Table261424[[#This Row],[Weight]:[Weight]]-(Table261424[[#This Row],[Weight]:[Weight]]*((_xlfn.XMATCH(Table261424[[#This Row],[9]],Table261424[[#This Row],[1]:[11]],0))-1)/(COUNTA(Table261424[[#This Row],[1]:[11]])-COUNTBLANK(Table261424[[#This Row],[1]:[11]])-1)))</f>
        <v/>
      </c>
      <c r="AI48" s="39" t="str" cm="1">
        <f t="array" ref="AI48">IF(Table261424[[#This Row],[10]]="","",Table261424[[#This Row],[Weight]:[Weight]]-(Table261424[[#This Row],[Weight]:[Weight]]*((_xlfn.XMATCH(Table261424[[#This Row],[10]],Table261424[[#This Row],[1]:[11]],0))-1)/(COUNTA(Table261424[[#This Row],[1]:[11]])-COUNTBLANK(Table261424[[#This Row],[1]:[11]])-1)))</f>
        <v/>
      </c>
      <c r="AJ48" s="39" t="str" cm="1">
        <f t="array" ref="AJ48">IF(Table261424[[#This Row],[11]]="","",Table261424[[#This Row],[Weight]:[Weight]]-(Table261424[[#This Row],[Weight]:[Weight]]*((_xlfn.XMATCH(Table261424[[#This Row],[11]],Table261424[[#This Row],[1]:[11]],0))-1)/(COUNTA(Table261424[[#This Row],[1]:[11]])-COUNTBLANK(Table261424[[#This Row],[1]:[11]])-1)))</f>
        <v/>
      </c>
    </row>
    <row r="49" spans="1:36" s="167" customFormat="1" ht="138.6" customHeight="1" x14ac:dyDescent="0.2">
      <c r="A49" s="173">
        <v>37</v>
      </c>
      <c r="B49" s="158" t="s">
        <v>252</v>
      </c>
      <c r="C49" s="178" t="s">
        <v>215</v>
      </c>
      <c r="D49" s="179"/>
      <c r="E49" s="38"/>
      <c r="F49" s="38"/>
      <c r="G49" s="159" t="s">
        <v>60</v>
      </c>
      <c r="H49" s="160" cm="1">
        <f t="array" ref="H49">_xlfn.IFS(G49="","",G49="No interest",0,G49="Nice to have",1,G49="Useful",2,G49="Important",3,G49="Very important",4,G49="Critical",5,G49="Show stopper",6)</f>
        <v>6</v>
      </c>
      <c r="I49" s="161">
        <f t="shared" ref="I49:I68" si="3">(H49/$H$11)*$G$11</f>
        <v>4.0983606557377049E-4</v>
      </c>
      <c r="J49" s="157" t="s">
        <v>216</v>
      </c>
      <c r="K49" s="158" t="str" cm="1">
        <f t="array" ref="K49">_xlfn.TEXTJOIN(","&amp;CHAR(10),,TEXT(Table261424[[#This Row],[12]:[22]],"0,00%"))</f>
        <v>0,00%,
0,00%,
0,00%,
0,00%,
0,00%</v>
      </c>
      <c r="L49" s="180"/>
      <c r="M49" s="181" t="e">
        <f>I49-(I49*((MATCH(Table261424[[#This Row],[Evaluators Response (SELECT)]],Table261424[[#This Row],[1]:[11]],0)-1)/(COUNTA(Table261424[[#This Row],[1]:[11]])-COUNTBLANK(Table261424[[#This Row],[1]:[11]])-1)))</f>
        <v>#N/A</v>
      </c>
      <c r="N49" s="38"/>
      <c r="O49" s="29" t="str" cm="1">
        <f t="array" ref="O49">IFERROR(INDEX(_xlfn.UNIQUE(TRIM(_xlfn.TEXTSPLIT(Table261424[[#This Row],[Selection Options]:[Selection Options]],","))),,O$11),"")</f>
        <v>100%: Supported as delivered out of the box</v>
      </c>
      <c r="P49" s="29" t="str" cm="1">
        <f t="array" ref="P49">IFERROR(INDEX(_xlfn.UNIQUE(TRIM(_xlfn.TEXTSPLIT(Table261424[[#This Row],[Selection Options]:[Selection Options]],","))),,P$11),"")</f>
        <v xml:space="preserve">
75%: Supported via modifications (config)</v>
      </c>
      <c r="Q49" s="29" t="str" cm="1">
        <f t="array" ref="Q49">IFERROR(INDEX(_xlfn.UNIQUE(TRIM(_xlfn.TEXTSPLIT(Table261424[[#This Row],[Selection Options]:[Selection Options]],","))),,Q$11),"")</f>
        <v xml:space="preserve">
50%: Supported via a third party solution</v>
      </c>
      <c r="R49" s="29" t="str" cm="1">
        <f t="array" ref="R49">IFERROR(INDEX(_xlfn.UNIQUE(TRIM(_xlfn.TEXTSPLIT(Table261424[[#This Row],[Selection Options]:[Selection Options]],","))),,R$11),"")</f>
        <v xml:space="preserve">
25%: Supported via customisation (source code changes)</v>
      </c>
      <c r="S49" s="182" t="str" cm="1">
        <f t="array" ref="S49">IFERROR(INDEX(_xlfn.UNIQUE(TRIM(_xlfn.TEXTSPLIT(Table261424[[#This Row],[Selection Options]:[Selection Options]],","))),,S$11),"")</f>
        <v xml:space="preserve">
 0%: Not currently supported</v>
      </c>
      <c r="T49" s="29" t="str" cm="1">
        <f t="array" ref="T49">IFERROR(INDEX(_xlfn.UNIQUE(TRIM(_xlfn.TEXTSPLIT(Table261424[[#This Row],[Selection Options]:[Selection Options]],","))),,T$11),"")</f>
        <v/>
      </c>
      <c r="U49" s="29" t="str" cm="1">
        <f t="array" ref="U49">IFERROR(INDEX(_xlfn.UNIQUE(TRIM(_xlfn.TEXTSPLIT(Table261424[[#This Row],[Selection Options]:[Selection Options]],","))),,U$11),"")</f>
        <v/>
      </c>
      <c r="V49" s="29" t="str" cm="1">
        <f t="array" ref="V49">IFERROR(INDEX(_xlfn.UNIQUE(TRIM(_xlfn.TEXTSPLIT(Table261424[[#This Row],[Selection Options]:[Selection Options]],","))),,V$11),"")</f>
        <v/>
      </c>
      <c r="W49" s="29" t="str" cm="1">
        <f t="array" ref="W49">IFERROR(INDEX(_xlfn.UNIQUE(TRIM(_xlfn.TEXTSPLIT(Table261424[[#This Row],[Selection Options]:[Selection Options]],","))),,W$11),"")</f>
        <v/>
      </c>
      <c r="X49" s="29" t="str" cm="1">
        <f t="array" ref="X49">IFERROR(INDEX(_xlfn.UNIQUE(TRIM(_xlfn.TEXTSPLIT(Table261424[[#This Row],[Selection Options]:[Selection Options]],","))),,X$11),"")</f>
        <v/>
      </c>
      <c r="Y49" s="29" t="str" cm="1">
        <f t="array" ref="Y49">IFERROR(INDEX(_xlfn.UNIQUE(TRIM(_xlfn.TEXTSPLIT(Table261424[[#This Row],[Selection Options]:[Selection Options]],","))),,Y$11),"")</f>
        <v/>
      </c>
      <c r="Z49" s="183" cm="1">
        <f t="array" ref="Z49">IF(Table261424[[#This Row],[1]]="","",Table261424[[#This Row],[Weight]:[Weight]]-(Table261424[[#This Row],[Weight]:[Weight]]*((_xlfn.XMATCH(Table261424[[#This Row],[1]],Table261424[[#This Row],[1]:[11]],0))-1)/(COUNTA(Table261424[[#This Row],[1]:[11]])-COUNTBLANK(Table261424[[#This Row],[1]:[11]])-1)))</f>
        <v>4.0983606557377049E-4</v>
      </c>
      <c r="AA49" s="183" cm="1">
        <f t="array" ref="AA49">IF(Table261424[[#This Row],[2]]="","",Table261424[[#This Row],[Weight]:[Weight]]-(Table261424[[#This Row],[Weight]:[Weight]]*((_xlfn.XMATCH(Table261424[[#This Row],[2]],Table261424[[#This Row],[1]:[11]],0))-1)/(COUNTA(Table261424[[#This Row],[1]:[11]])-COUNTBLANK(Table261424[[#This Row],[1]:[11]])-1)))</f>
        <v>3.0737704918032784E-4</v>
      </c>
      <c r="AB49" s="183" cm="1">
        <f t="array" ref="AB49">IF(Table261424[[#This Row],[3]]="","",Table261424[[#This Row],[Weight]:[Weight]]-(Table261424[[#This Row],[Weight]:[Weight]]*((_xlfn.XMATCH(Table261424[[#This Row],[3]],Table261424[[#This Row],[1]:[11]],0))-1)/(COUNTA(Table261424[[#This Row],[1]:[11]])-COUNTBLANK(Table261424[[#This Row],[1]:[11]])-1)))</f>
        <v>2.0491803278688525E-4</v>
      </c>
      <c r="AC49" s="183" cm="1">
        <f t="array" ref="AC49">IF(Table261424[[#This Row],[4]]="","",Table261424[[#This Row],[Weight]:[Weight]]-(Table261424[[#This Row],[Weight]:[Weight]]*((_xlfn.XMATCH(Table261424[[#This Row],[4]],Table261424[[#This Row],[1]:[11]],0))-1)/(COUNTA(Table261424[[#This Row],[1]:[11]])-COUNTBLANK(Table261424[[#This Row],[1]:[11]])-1)))</f>
        <v>1.0245901639344265E-4</v>
      </c>
      <c r="AD49" s="183" cm="1">
        <f t="array" ref="AD49">IF(Table261424[[#This Row],[5]]="","",Table261424[[#This Row],[Weight]:[Weight]]-(Table261424[[#This Row],[Weight]:[Weight]]*((_xlfn.XMATCH(Table261424[[#This Row],[5]],Table261424[[#This Row],[1]:[11]],0))-1)/(COUNTA(Table261424[[#This Row],[1]:[11]])-COUNTBLANK(Table261424[[#This Row],[1]:[11]])-1)))</f>
        <v>0</v>
      </c>
      <c r="AE49" s="183" t="str" cm="1">
        <f t="array" ref="AE49">IF(Table261424[[#This Row],[6]]="","",Table261424[[#This Row],[Weight]:[Weight]]-(Table261424[[#This Row],[Weight]:[Weight]]*((_xlfn.XMATCH(Table261424[[#This Row],[6]],Table261424[[#This Row],[1]:[11]],0))-1)/(COUNTA(Table261424[[#This Row],[1]:[11]])-COUNTBLANK(Table261424[[#This Row],[1]:[11]])-1)))</f>
        <v/>
      </c>
      <c r="AF49" s="183" t="str" cm="1">
        <f t="array" ref="AF49">IF(Table261424[[#This Row],[7]]="","",Table261424[[#This Row],[Weight]:[Weight]]-(Table261424[[#This Row],[Weight]:[Weight]]*((_xlfn.XMATCH(Table261424[[#This Row],[7]],Table261424[[#This Row],[1]:[11]],0))-1)/(COUNTA(Table261424[[#This Row],[1]:[11]])-COUNTBLANK(Table261424[[#This Row],[1]:[11]])-1)))</f>
        <v/>
      </c>
      <c r="AG49" s="183" t="str" cm="1">
        <f t="array" ref="AG49">IF(Table261424[[#This Row],[8]]="","",Table261424[[#This Row],[Weight]:[Weight]]-(Table261424[[#This Row],[Weight]:[Weight]]*((_xlfn.XMATCH(Table261424[[#This Row],[8]],Table261424[[#This Row],[1]:[11]],0))-1)/(COUNTA(Table261424[[#This Row],[1]:[11]])-COUNTBLANK(Table261424[[#This Row],[1]:[11]])-1)))</f>
        <v/>
      </c>
      <c r="AH49" s="29" t="str" cm="1">
        <f t="array" ref="AH49">IF(Table261424[[#This Row],[9]]="","",Table261424[[#This Row],[Weight]:[Weight]]-(Table261424[[#This Row],[Weight]:[Weight]]*((_xlfn.XMATCH(Table261424[[#This Row],[9]],Table261424[[#This Row],[1]:[11]],0))-1)/(COUNTA(Table261424[[#This Row],[1]:[11]])-COUNTBLANK(Table261424[[#This Row],[1]:[11]])-1)))</f>
        <v/>
      </c>
      <c r="AI49" s="29" t="str" cm="1">
        <f t="array" ref="AI49">IF(Table261424[[#This Row],[10]]="","",Table261424[[#This Row],[Weight]:[Weight]]-(Table261424[[#This Row],[Weight]:[Weight]]*((_xlfn.XMATCH(Table261424[[#This Row],[10]],Table261424[[#This Row],[1]:[11]],0))-1)/(COUNTA(Table261424[[#This Row],[1]:[11]])-COUNTBLANK(Table261424[[#This Row],[1]:[11]])-1)))</f>
        <v/>
      </c>
      <c r="AJ49" s="29" t="str" cm="1">
        <f t="array" ref="AJ49">IF(Table261424[[#This Row],[11]]="","",Table261424[[#This Row],[Weight]:[Weight]]-(Table261424[[#This Row],[Weight]:[Weight]]*((_xlfn.XMATCH(Table261424[[#This Row],[11]],Table261424[[#This Row],[1]:[11]],0))-1)/(COUNTA(Table261424[[#This Row],[1]:[11]])-COUNTBLANK(Table261424[[#This Row],[1]:[11]])-1)))</f>
        <v/>
      </c>
    </row>
    <row r="50" spans="1:36" s="167" customFormat="1" ht="149.1" customHeight="1" x14ac:dyDescent="0.2">
      <c r="A50" s="173">
        <v>38</v>
      </c>
      <c r="B50" s="158" t="s">
        <v>253</v>
      </c>
      <c r="C50" s="178" t="s">
        <v>215</v>
      </c>
      <c r="D50" s="179"/>
      <c r="E50" s="38"/>
      <c r="F50" s="38"/>
      <c r="G50" s="159" t="s">
        <v>188</v>
      </c>
      <c r="H50" s="160" cm="1">
        <f t="array" ref="H50">_xlfn.IFS(G50="","",G50="No interest",0,G50="Nice to have",1,G50="Useful",2,G50="Important",3,G50="Very important",4,G50="Critical",5,G50="Show stopper",6)</f>
        <v>5</v>
      </c>
      <c r="I50" s="161">
        <f t="shared" si="3"/>
        <v>3.4153005464480874E-4</v>
      </c>
      <c r="J50" s="157" t="s">
        <v>216</v>
      </c>
      <c r="K50" s="158" t="str" cm="1">
        <f t="array" ref="K50">_xlfn.TEXTJOIN(","&amp;CHAR(10),,TEXT(Table261424[[#This Row],[12]:[22]],"0,00%"))</f>
        <v>0,00%,
0,00%,
0,00%,
0,00%,
0,00%</v>
      </c>
      <c r="L50" s="180"/>
      <c r="M50" s="181" t="e">
        <f>I50-(I50*((MATCH(Table261424[[#This Row],[Evaluators Response (SELECT)]],Table261424[[#This Row],[1]:[11]],0)-1)/(COUNTA(Table261424[[#This Row],[1]:[11]])-COUNTBLANK(Table261424[[#This Row],[1]:[11]])-1)))</f>
        <v>#N/A</v>
      </c>
      <c r="N50" s="38"/>
      <c r="O50" s="29" t="str" cm="1">
        <f t="array" ref="O50">IFERROR(INDEX(_xlfn.UNIQUE(TRIM(_xlfn.TEXTSPLIT(Table261424[[#This Row],[Selection Options]:[Selection Options]],","))),,O$11),"")</f>
        <v>100%: Supported as delivered out of the box</v>
      </c>
      <c r="P50" s="29" t="str" cm="1">
        <f t="array" ref="P50">IFERROR(INDEX(_xlfn.UNIQUE(TRIM(_xlfn.TEXTSPLIT(Table261424[[#This Row],[Selection Options]:[Selection Options]],","))),,P$11),"")</f>
        <v xml:space="preserve">
75%: Supported via modifications (config)</v>
      </c>
      <c r="Q50" s="29" t="str" cm="1">
        <f t="array" ref="Q50">IFERROR(INDEX(_xlfn.UNIQUE(TRIM(_xlfn.TEXTSPLIT(Table261424[[#This Row],[Selection Options]:[Selection Options]],","))),,Q$11),"")</f>
        <v xml:space="preserve">
50%: Supported via a third party solution</v>
      </c>
      <c r="R50" s="29" t="str" cm="1">
        <f t="array" ref="R50">IFERROR(INDEX(_xlfn.UNIQUE(TRIM(_xlfn.TEXTSPLIT(Table261424[[#This Row],[Selection Options]:[Selection Options]],","))),,R$11),"")</f>
        <v xml:space="preserve">
25%: Supported via customisation (source code changes)</v>
      </c>
      <c r="S50" s="182" t="str" cm="1">
        <f t="array" ref="S50">IFERROR(INDEX(_xlfn.UNIQUE(TRIM(_xlfn.TEXTSPLIT(Table261424[[#This Row],[Selection Options]:[Selection Options]],","))),,S$11),"")</f>
        <v xml:space="preserve">
 0%: Not currently supported</v>
      </c>
      <c r="T50" s="29" t="str" cm="1">
        <f t="array" ref="T50">IFERROR(INDEX(_xlfn.UNIQUE(TRIM(_xlfn.TEXTSPLIT(Table261424[[#This Row],[Selection Options]:[Selection Options]],","))),,T$11),"")</f>
        <v/>
      </c>
      <c r="U50" s="29" t="str" cm="1">
        <f t="array" ref="U50">IFERROR(INDEX(_xlfn.UNIQUE(TRIM(_xlfn.TEXTSPLIT(Table261424[[#This Row],[Selection Options]:[Selection Options]],","))),,U$11),"")</f>
        <v/>
      </c>
      <c r="V50" s="29" t="str" cm="1">
        <f t="array" ref="V50">IFERROR(INDEX(_xlfn.UNIQUE(TRIM(_xlfn.TEXTSPLIT(Table261424[[#This Row],[Selection Options]:[Selection Options]],","))),,V$11),"")</f>
        <v/>
      </c>
      <c r="W50" s="29" t="str" cm="1">
        <f t="array" ref="W50">IFERROR(INDEX(_xlfn.UNIQUE(TRIM(_xlfn.TEXTSPLIT(Table261424[[#This Row],[Selection Options]:[Selection Options]],","))),,W$11),"")</f>
        <v/>
      </c>
      <c r="X50" s="29" t="str" cm="1">
        <f t="array" ref="X50">IFERROR(INDEX(_xlfn.UNIQUE(TRIM(_xlfn.TEXTSPLIT(Table261424[[#This Row],[Selection Options]:[Selection Options]],","))),,X$11),"")</f>
        <v/>
      </c>
      <c r="Y50" s="29" t="str" cm="1">
        <f t="array" ref="Y50">IFERROR(INDEX(_xlfn.UNIQUE(TRIM(_xlfn.TEXTSPLIT(Table261424[[#This Row],[Selection Options]:[Selection Options]],","))),,Y$11),"")</f>
        <v/>
      </c>
      <c r="Z50" s="183" cm="1">
        <f t="array" ref="Z50">IF(Table261424[[#This Row],[1]]="","",Table261424[[#This Row],[Weight]:[Weight]]-(Table261424[[#This Row],[Weight]:[Weight]]*((_xlfn.XMATCH(Table261424[[#This Row],[1]],Table261424[[#This Row],[1]:[11]],0))-1)/(COUNTA(Table261424[[#This Row],[1]:[11]])-COUNTBLANK(Table261424[[#This Row],[1]:[11]])-1)))</f>
        <v>3.4153005464480874E-4</v>
      </c>
      <c r="AA50" s="183" cm="1">
        <f t="array" ref="AA50">IF(Table261424[[#This Row],[2]]="","",Table261424[[#This Row],[Weight]:[Weight]]-(Table261424[[#This Row],[Weight]:[Weight]]*((_xlfn.XMATCH(Table261424[[#This Row],[2]],Table261424[[#This Row],[1]:[11]],0))-1)/(COUNTA(Table261424[[#This Row],[1]:[11]])-COUNTBLANK(Table261424[[#This Row],[1]:[11]])-1)))</f>
        <v>2.5614754098360657E-4</v>
      </c>
      <c r="AB50" s="183" cm="1">
        <f t="array" ref="AB50">IF(Table261424[[#This Row],[3]]="","",Table261424[[#This Row],[Weight]:[Weight]]-(Table261424[[#This Row],[Weight]:[Weight]]*((_xlfn.XMATCH(Table261424[[#This Row],[3]],Table261424[[#This Row],[1]:[11]],0))-1)/(COUNTA(Table261424[[#This Row],[1]:[11]])-COUNTBLANK(Table261424[[#This Row],[1]:[11]])-1)))</f>
        <v>1.7076502732240437E-4</v>
      </c>
      <c r="AC50" s="183" cm="1">
        <f t="array" ref="AC50">IF(Table261424[[#This Row],[4]]="","",Table261424[[#This Row],[Weight]:[Weight]]-(Table261424[[#This Row],[Weight]:[Weight]]*((_xlfn.XMATCH(Table261424[[#This Row],[4]],Table261424[[#This Row],[1]:[11]],0))-1)/(COUNTA(Table261424[[#This Row],[1]:[11]])-COUNTBLANK(Table261424[[#This Row],[1]:[11]])-1)))</f>
        <v>8.5382513661202172E-5</v>
      </c>
      <c r="AD50" s="183" cm="1">
        <f t="array" ref="AD50">IF(Table261424[[#This Row],[5]]="","",Table261424[[#This Row],[Weight]:[Weight]]-(Table261424[[#This Row],[Weight]:[Weight]]*((_xlfn.XMATCH(Table261424[[#This Row],[5]],Table261424[[#This Row],[1]:[11]],0))-1)/(COUNTA(Table261424[[#This Row],[1]:[11]])-COUNTBLANK(Table261424[[#This Row],[1]:[11]])-1)))</f>
        <v>0</v>
      </c>
      <c r="AE50" s="183" t="str" cm="1">
        <f t="array" ref="AE50">IF(Table261424[[#This Row],[6]]="","",Table261424[[#This Row],[Weight]:[Weight]]-(Table261424[[#This Row],[Weight]:[Weight]]*((_xlfn.XMATCH(Table261424[[#This Row],[6]],Table261424[[#This Row],[1]:[11]],0))-1)/(COUNTA(Table261424[[#This Row],[1]:[11]])-COUNTBLANK(Table261424[[#This Row],[1]:[11]])-1)))</f>
        <v/>
      </c>
      <c r="AF50" s="183" t="str" cm="1">
        <f t="array" ref="AF50">IF(Table261424[[#This Row],[7]]="","",Table261424[[#This Row],[Weight]:[Weight]]-(Table261424[[#This Row],[Weight]:[Weight]]*((_xlfn.XMATCH(Table261424[[#This Row],[7]],Table261424[[#This Row],[1]:[11]],0))-1)/(COUNTA(Table261424[[#This Row],[1]:[11]])-COUNTBLANK(Table261424[[#This Row],[1]:[11]])-1)))</f>
        <v/>
      </c>
      <c r="AG50" s="183" t="str" cm="1">
        <f t="array" ref="AG50">IF(Table261424[[#This Row],[8]]="","",Table261424[[#This Row],[Weight]:[Weight]]-(Table261424[[#This Row],[Weight]:[Weight]]*((_xlfn.XMATCH(Table261424[[#This Row],[8]],Table261424[[#This Row],[1]:[11]],0))-1)/(COUNTA(Table261424[[#This Row],[1]:[11]])-COUNTBLANK(Table261424[[#This Row],[1]:[11]])-1)))</f>
        <v/>
      </c>
      <c r="AH50" s="29" t="str" cm="1">
        <f t="array" ref="AH50">IF(Table261424[[#This Row],[9]]="","",Table261424[[#This Row],[Weight]:[Weight]]-(Table261424[[#This Row],[Weight]:[Weight]]*((_xlfn.XMATCH(Table261424[[#This Row],[9]],Table261424[[#This Row],[1]:[11]],0))-1)/(COUNTA(Table261424[[#This Row],[1]:[11]])-COUNTBLANK(Table261424[[#This Row],[1]:[11]])-1)))</f>
        <v/>
      </c>
      <c r="AI50" s="29" t="str" cm="1">
        <f t="array" ref="AI50">IF(Table261424[[#This Row],[10]]="","",Table261424[[#This Row],[Weight]:[Weight]]-(Table261424[[#This Row],[Weight]:[Weight]]*((_xlfn.XMATCH(Table261424[[#This Row],[10]],Table261424[[#This Row],[1]:[11]],0))-1)/(COUNTA(Table261424[[#This Row],[1]:[11]])-COUNTBLANK(Table261424[[#This Row],[1]:[11]])-1)))</f>
        <v/>
      </c>
      <c r="AJ50" s="29" t="str" cm="1">
        <f t="array" ref="AJ50">IF(Table261424[[#This Row],[11]]="","",Table261424[[#This Row],[Weight]:[Weight]]-(Table261424[[#This Row],[Weight]:[Weight]]*((_xlfn.XMATCH(Table261424[[#This Row],[11]],Table261424[[#This Row],[1]:[11]],0))-1)/(COUNTA(Table261424[[#This Row],[1]:[11]])-COUNTBLANK(Table261424[[#This Row],[1]:[11]])-1)))</f>
        <v/>
      </c>
    </row>
    <row r="51" spans="1:36" ht="131.1" customHeight="1" x14ac:dyDescent="0.2">
      <c r="A51" s="173">
        <v>39</v>
      </c>
      <c r="B51" s="158" t="s">
        <v>254</v>
      </c>
      <c r="C51" s="178" t="s">
        <v>215</v>
      </c>
      <c r="D51" s="179"/>
      <c r="E51" s="38"/>
      <c r="F51" s="38"/>
      <c r="G51" s="159" t="s">
        <v>188</v>
      </c>
      <c r="H51" s="160" cm="1">
        <f t="array" ref="H51">_xlfn.IFS(G51="","",G51="No interest",0,G51="Nice to have",1,G51="Useful",2,G51="Important",3,G51="Very important",4,G51="Critical",5,G51="Show stopper",6)</f>
        <v>5</v>
      </c>
      <c r="I51" s="161">
        <f t="shared" si="3"/>
        <v>3.4153005464480874E-4</v>
      </c>
      <c r="J51" s="157" t="s">
        <v>216</v>
      </c>
      <c r="K51" s="158" t="str" cm="1">
        <f t="array" ref="K51">_xlfn.TEXTJOIN(","&amp;CHAR(10),,TEXT(Table261424[[#This Row],[12]:[22]],"0,00%"))</f>
        <v>0,00%,
0,00%,
0,00%,
0,00%,
0,00%</v>
      </c>
      <c r="L51" s="180"/>
      <c r="M51" s="181" t="e">
        <f>I51-(I51*((MATCH(Table261424[[#This Row],[Evaluators Response (SELECT)]],Table261424[[#This Row],[1]:[11]],0)-1)/(COUNTA(Table261424[[#This Row],[1]:[11]])-COUNTBLANK(Table261424[[#This Row],[1]:[11]])-1)))</f>
        <v>#N/A</v>
      </c>
      <c r="N51" s="38"/>
      <c r="O51" s="29" t="str" cm="1">
        <f t="array" ref="O51">IFERROR(INDEX(_xlfn.UNIQUE(TRIM(_xlfn.TEXTSPLIT(Table261424[[#This Row],[Selection Options]:[Selection Options]],","))),,O$11),"")</f>
        <v>100%: Supported as delivered out of the box</v>
      </c>
      <c r="P51" s="29" t="str" cm="1">
        <f t="array" ref="P51">IFERROR(INDEX(_xlfn.UNIQUE(TRIM(_xlfn.TEXTSPLIT(Table261424[[#This Row],[Selection Options]:[Selection Options]],","))),,P$11),"")</f>
        <v xml:space="preserve">
75%: Supported via modifications (config)</v>
      </c>
      <c r="Q51" s="29" t="str" cm="1">
        <f t="array" ref="Q51">IFERROR(INDEX(_xlfn.UNIQUE(TRIM(_xlfn.TEXTSPLIT(Table261424[[#This Row],[Selection Options]:[Selection Options]],","))),,Q$11),"")</f>
        <v xml:space="preserve">
50%: Supported via a third party solution</v>
      </c>
      <c r="R51" s="29" t="str" cm="1">
        <f t="array" ref="R51">IFERROR(INDEX(_xlfn.UNIQUE(TRIM(_xlfn.TEXTSPLIT(Table261424[[#This Row],[Selection Options]:[Selection Options]],","))),,R$11),"")</f>
        <v xml:space="preserve">
25%: Supported via customisation (source code changes)</v>
      </c>
      <c r="S51" s="182" t="str" cm="1">
        <f t="array" ref="S51">IFERROR(INDEX(_xlfn.UNIQUE(TRIM(_xlfn.TEXTSPLIT(Table261424[[#This Row],[Selection Options]:[Selection Options]],","))),,S$11),"")</f>
        <v xml:space="preserve">
 0%: Not currently supported</v>
      </c>
      <c r="T51" s="29" t="str" cm="1">
        <f t="array" ref="T51">IFERROR(INDEX(_xlfn.UNIQUE(TRIM(_xlfn.TEXTSPLIT(Table261424[[#This Row],[Selection Options]:[Selection Options]],","))),,T$11),"")</f>
        <v/>
      </c>
      <c r="U51" s="29" t="str" cm="1">
        <f t="array" ref="U51">IFERROR(INDEX(_xlfn.UNIQUE(TRIM(_xlfn.TEXTSPLIT(Table261424[[#This Row],[Selection Options]:[Selection Options]],","))),,U$11),"")</f>
        <v/>
      </c>
      <c r="V51" s="29" t="str" cm="1">
        <f t="array" ref="V51">IFERROR(INDEX(_xlfn.UNIQUE(TRIM(_xlfn.TEXTSPLIT(Table261424[[#This Row],[Selection Options]:[Selection Options]],","))),,V$11),"")</f>
        <v/>
      </c>
      <c r="W51" s="29" t="str" cm="1">
        <f t="array" ref="W51">IFERROR(INDEX(_xlfn.UNIQUE(TRIM(_xlfn.TEXTSPLIT(Table261424[[#This Row],[Selection Options]:[Selection Options]],","))),,W$11),"")</f>
        <v/>
      </c>
      <c r="X51" s="29" t="str" cm="1">
        <f t="array" ref="X51">IFERROR(INDEX(_xlfn.UNIQUE(TRIM(_xlfn.TEXTSPLIT(Table261424[[#This Row],[Selection Options]:[Selection Options]],","))),,X$11),"")</f>
        <v/>
      </c>
      <c r="Y51" s="29" t="str" cm="1">
        <f t="array" ref="Y51">IFERROR(INDEX(_xlfn.UNIQUE(TRIM(_xlfn.TEXTSPLIT(Table261424[[#This Row],[Selection Options]:[Selection Options]],","))),,Y$11),"")</f>
        <v/>
      </c>
      <c r="Z51" s="183" cm="1">
        <f t="array" ref="Z51">IF(Table261424[[#This Row],[1]]="","",Table261424[[#This Row],[Weight]:[Weight]]-(Table261424[[#This Row],[Weight]:[Weight]]*((_xlfn.XMATCH(Table261424[[#This Row],[1]],Table261424[[#This Row],[1]:[11]],0))-1)/(COUNTA(Table261424[[#This Row],[1]:[11]])-COUNTBLANK(Table261424[[#This Row],[1]:[11]])-1)))</f>
        <v>3.4153005464480874E-4</v>
      </c>
      <c r="AA51" s="183" cm="1">
        <f t="array" ref="AA51">IF(Table261424[[#This Row],[2]]="","",Table261424[[#This Row],[Weight]:[Weight]]-(Table261424[[#This Row],[Weight]:[Weight]]*((_xlfn.XMATCH(Table261424[[#This Row],[2]],Table261424[[#This Row],[1]:[11]],0))-1)/(COUNTA(Table261424[[#This Row],[1]:[11]])-COUNTBLANK(Table261424[[#This Row],[1]:[11]])-1)))</f>
        <v>2.5614754098360657E-4</v>
      </c>
      <c r="AB51" s="183" cm="1">
        <f t="array" ref="AB51">IF(Table261424[[#This Row],[3]]="","",Table261424[[#This Row],[Weight]:[Weight]]-(Table261424[[#This Row],[Weight]:[Weight]]*((_xlfn.XMATCH(Table261424[[#This Row],[3]],Table261424[[#This Row],[1]:[11]],0))-1)/(COUNTA(Table261424[[#This Row],[1]:[11]])-COUNTBLANK(Table261424[[#This Row],[1]:[11]])-1)))</f>
        <v>1.7076502732240437E-4</v>
      </c>
      <c r="AC51" s="183" cm="1">
        <f t="array" ref="AC51">IF(Table261424[[#This Row],[4]]="","",Table261424[[#This Row],[Weight]:[Weight]]-(Table261424[[#This Row],[Weight]:[Weight]]*((_xlfn.XMATCH(Table261424[[#This Row],[4]],Table261424[[#This Row],[1]:[11]],0))-1)/(COUNTA(Table261424[[#This Row],[1]:[11]])-COUNTBLANK(Table261424[[#This Row],[1]:[11]])-1)))</f>
        <v>8.5382513661202172E-5</v>
      </c>
      <c r="AD51" s="183" cm="1">
        <f t="array" ref="AD51">IF(Table261424[[#This Row],[5]]="","",Table261424[[#This Row],[Weight]:[Weight]]-(Table261424[[#This Row],[Weight]:[Weight]]*((_xlfn.XMATCH(Table261424[[#This Row],[5]],Table261424[[#This Row],[1]:[11]],0))-1)/(COUNTA(Table261424[[#This Row],[1]:[11]])-COUNTBLANK(Table261424[[#This Row],[1]:[11]])-1)))</f>
        <v>0</v>
      </c>
      <c r="AE51" s="183" t="str" cm="1">
        <f t="array" ref="AE51">IF(Table261424[[#This Row],[6]]="","",Table261424[[#This Row],[Weight]:[Weight]]-(Table261424[[#This Row],[Weight]:[Weight]]*((_xlfn.XMATCH(Table261424[[#This Row],[6]],Table261424[[#This Row],[1]:[11]],0))-1)/(COUNTA(Table261424[[#This Row],[1]:[11]])-COUNTBLANK(Table261424[[#This Row],[1]:[11]])-1)))</f>
        <v/>
      </c>
      <c r="AF51" s="183" t="str" cm="1">
        <f t="array" ref="AF51">IF(Table261424[[#This Row],[7]]="","",Table261424[[#This Row],[Weight]:[Weight]]-(Table261424[[#This Row],[Weight]:[Weight]]*((_xlfn.XMATCH(Table261424[[#This Row],[7]],Table261424[[#This Row],[1]:[11]],0))-1)/(COUNTA(Table261424[[#This Row],[1]:[11]])-COUNTBLANK(Table261424[[#This Row],[1]:[11]])-1)))</f>
        <v/>
      </c>
      <c r="AG51" s="183" t="str" cm="1">
        <f t="array" ref="AG51">IF(Table261424[[#This Row],[8]]="","",Table261424[[#This Row],[Weight]:[Weight]]-(Table261424[[#This Row],[Weight]:[Weight]]*((_xlfn.XMATCH(Table261424[[#This Row],[8]],Table261424[[#This Row],[1]:[11]],0))-1)/(COUNTA(Table261424[[#This Row],[1]:[11]])-COUNTBLANK(Table261424[[#This Row],[1]:[11]])-1)))</f>
        <v/>
      </c>
      <c r="AH51" s="29" t="str" cm="1">
        <f t="array" ref="AH51">IF(Table261424[[#This Row],[9]]="","",Table261424[[#This Row],[Weight]:[Weight]]-(Table261424[[#This Row],[Weight]:[Weight]]*((_xlfn.XMATCH(Table261424[[#This Row],[9]],Table261424[[#This Row],[1]:[11]],0))-1)/(COUNTA(Table261424[[#This Row],[1]:[11]])-COUNTBLANK(Table261424[[#This Row],[1]:[11]])-1)))</f>
        <v/>
      </c>
      <c r="AI51" s="29" t="str" cm="1">
        <f t="array" ref="AI51">IF(Table261424[[#This Row],[10]]="","",Table261424[[#This Row],[Weight]:[Weight]]-(Table261424[[#This Row],[Weight]:[Weight]]*((_xlfn.XMATCH(Table261424[[#This Row],[10]],Table261424[[#This Row],[1]:[11]],0))-1)/(COUNTA(Table261424[[#This Row],[1]:[11]])-COUNTBLANK(Table261424[[#This Row],[1]:[11]])-1)))</f>
        <v/>
      </c>
      <c r="AJ51" s="29" t="str" cm="1">
        <f t="array" ref="AJ51">IF(Table261424[[#This Row],[11]]="","",Table261424[[#This Row],[Weight]:[Weight]]-(Table261424[[#This Row],[Weight]:[Weight]]*((_xlfn.XMATCH(Table261424[[#This Row],[11]],Table261424[[#This Row],[1]:[11]],0))-1)/(COUNTA(Table261424[[#This Row],[1]:[11]])-COUNTBLANK(Table261424[[#This Row],[1]:[11]])-1)))</f>
        <v/>
      </c>
    </row>
    <row r="52" spans="1:36" s="167" customFormat="1" ht="117" customHeight="1" x14ac:dyDescent="0.2">
      <c r="A52" s="173">
        <v>40</v>
      </c>
      <c r="B52" s="158" t="s">
        <v>255</v>
      </c>
      <c r="C52" s="178" t="s">
        <v>215</v>
      </c>
      <c r="D52" s="179"/>
      <c r="E52" s="38"/>
      <c r="F52" s="38"/>
      <c r="G52" s="159" t="s">
        <v>256</v>
      </c>
      <c r="H52" s="160" cm="1">
        <f t="array" ref="H52">_xlfn.IFS(G52="","",G52="No interest",0,G52="Nice to have",1,G52="Useful",2,G52="Important",3,G52="Very important",4,G52="Critical",5,G52="Show stopper",6)</f>
        <v>2</v>
      </c>
      <c r="I52" s="161">
        <f t="shared" si="3"/>
        <v>1.366120218579235E-4</v>
      </c>
      <c r="J52" s="157" t="s">
        <v>216</v>
      </c>
      <c r="K52" s="158" t="str" cm="1">
        <f t="array" ref="K52">_xlfn.TEXTJOIN(","&amp;CHAR(10),,TEXT(Table261424[[#This Row],[12]:[22]],"0,00%"))</f>
        <v>0,00%,
0,00%,
0,00%,
0,00%,
0,00%</v>
      </c>
      <c r="L52" s="180"/>
      <c r="M52" s="181" t="e">
        <f>I52-(I52*((MATCH(Table261424[[#This Row],[Evaluators Response (SELECT)]],Table261424[[#This Row],[1]:[11]],0)-1)/(COUNTA(Table261424[[#This Row],[1]:[11]])-COUNTBLANK(Table261424[[#This Row],[1]:[11]])-1)))</f>
        <v>#N/A</v>
      </c>
      <c r="N52" s="38"/>
      <c r="O52" s="29" t="str" cm="1">
        <f t="array" ref="O52">IFERROR(INDEX(_xlfn.UNIQUE(TRIM(_xlfn.TEXTSPLIT(Table261424[[#This Row],[Selection Options]:[Selection Options]],","))),,O$11),"")</f>
        <v>100%: Supported as delivered out of the box</v>
      </c>
      <c r="P52" s="29" t="str" cm="1">
        <f t="array" ref="P52">IFERROR(INDEX(_xlfn.UNIQUE(TRIM(_xlfn.TEXTSPLIT(Table261424[[#This Row],[Selection Options]:[Selection Options]],","))),,P$11),"")</f>
        <v xml:space="preserve">
75%: Supported via modifications (config)</v>
      </c>
      <c r="Q52" s="29" t="str" cm="1">
        <f t="array" ref="Q52">IFERROR(INDEX(_xlfn.UNIQUE(TRIM(_xlfn.TEXTSPLIT(Table261424[[#This Row],[Selection Options]:[Selection Options]],","))),,Q$11),"")</f>
        <v xml:space="preserve">
50%: Supported via a third party solution</v>
      </c>
      <c r="R52" s="29" t="str" cm="1">
        <f t="array" ref="R52">IFERROR(INDEX(_xlfn.UNIQUE(TRIM(_xlfn.TEXTSPLIT(Table261424[[#This Row],[Selection Options]:[Selection Options]],","))),,R$11),"")</f>
        <v xml:space="preserve">
25%: Supported via customisation (source code changes)</v>
      </c>
      <c r="S52" s="182" t="str" cm="1">
        <f t="array" ref="S52">IFERROR(INDEX(_xlfn.UNIQUE(TRIM(_xlfn.TEXTSPLIT(Table261424[[#This Row],[Selection Options]:[Selection Options]],","))),,S$11),"")</f>
        <v xml:space="preserve">
 0%: Not currently supported</v>
      </c>
      <c r="T52" s="29" t="str" cm="1">
        <f t="array" ref="T52">IFERROR(INDEX(_xlfn.UNIQUE(TRIM(_xlfn.TEXTSPLIT(Table261424[[#This Row],[Selection Options]:[Selection Options]],","))),,T$11),"")</f>
        <v/>
      </c>
      <c r="U52" s="29" t="str" cm="1">
        <f t="array" ref="U52">IFERROR(INDEX(_xlfn.UNIQUE(TRIM(_xlfn.TEXTSPLIT(Table261424[[#This Row],[Selection Options]:[Selection Options]],","))),,U$11),"")</f>
        <v/>
      </c>
      <c r="V52" s="29" t="str" cm="1">
        <f t="array" ref="V52">IFERROR(INDEX(_xlfn.UNIQUE(TRIM(_xlfn.TEXTSPLIT(Table261424[[#This Row],[Selection Options]:[Selection Options]],","))),,V$11),"")</f>
        <v/>
      </c>
      <c r="W52" s="29" t="str" cm="1">
        <f t="array" ref="W52">IFERROR(INDEX(_xlfn.UNIQUE(TRIM(_xlfn.TEXTSPLIT(Table261424[[#This Row],[Selection Options]:[Selection Options]],","))),,W$11),"")</f>
        <v/>
      </c>
      <c r="X52" s="29" t="str" cm="1">
        <f t="array" ref="X52">IFERROR(INDEX(_xlfn.UNIQUE(TRIM(_xlfn.TEXTSPLIT(Table261424[[#This Row],[Selection Options]:[Selection Options]],","))),,X$11),"")</f>
        <v/>
      </c>
      <c r="Y52" s="29" t="str" cm="1">
        <f t="array" ref="Y52">IFERROR(INDEX(_xlfn.UNIQUE(TRIM(_xlfn.TEXTSPLIT(Table261424[[#This Row],[Selection Options]:[Selection Options]],","))),,Y$11),"")</f>
        <v/>
      </c>
      <c r="Z52" s="183" cm="1">
        <f t="array" ref="Z52">IF(Table261424[[#This Row],[1]]="","",Table261424[[#This Row],[Weight]:[Weight]]-(Table261424[[#This Row],[Weight]:[Weight]]*((_xlfn.XMATCH(Table261424[[#This Row],[1]],Table261424[[#This Row],[1]:[11]],0))-1)/(COUNTA(Table261424[[#This Row],[1]:[11]])-COUNTBLANK(Table261424[[#This Row],[1]:[11]])-1)))</f>
        <v>1.366120218579235E-4</v>
      </c>
      <c r="AA52" s="183" cm="1">
        <f t="array" ref="AA52">IF(Table261424[[#This Row],[2]]="","",Table261424[[#This Row],[Weight]:[Weight]]-(Table261424[[#This Row],[Weight]:[Weight]]*((_xlfn.XMATCH(Table261424[[#This Row],[2]],Table261424[[#This Row],[1]:[11]],0))-1)/(COUNTA(Table261424[[#This Row],[1]:[11]])-COUNTBLANK(Table261424[[#This Row],[1]:[11]])-1)))</f>
        <v>1.0245901639344262E-4</v>
      </c>
      <c r="AB52" s="183" cm="1">
        <f t="array" ref="AB52">IF(Table261424[[#This Row],[3]]="","",Table261424[[#This Row],[Weight]:[Weight]]-(Table261424[[#This Row],[Weight]:[Weight]]*((_xlfn.XMATCH(Table261424[[#This Row],[3]],Table261424[[#This Row],[1]:[11]],0))-1)/(COUNTA(Table261424[[#This Row],[1]:[11]])-COUNTBLANK(Table261424[[#This Row],[1]:[11]])-1)))</f>
        <v>6.8306010928961749E-5</v>
      </c>
      <c r="AC52" s="183" cm="1">
        <f t="array" ref="AC52">IF(Table261424[[#This Row],[4]]="","",Table261424[[#This Row],[Weight]:[Weight]]-(Table261424[[#This Row],[Weight]:[Weight]]*((_xlfn.XMATCH(Table261424[[#This Row],[4]],Table261424[[#This Row],[1]:[11]],0))-1)/(COUNTA(Table261424[[#This Row],[1]:[11]])-COUNTBLANK(Table261424[[#This Row],[1]:[11]])-1)))</f>
        <v>3.4153005464480874E-5</v>
      </c>
      <c r="AD52" s="183" cm="1">
        <f t="array" ref="AD52">IF(Table261424[[#This Row],[5]]="","",Table261424[[#This Row],[Weight]:[Weight]]-(Table261424[[#This Row],[Weight]:[Weight]]*((_xlfn.XMATCH(Table261424[[#This Row],[5]],Table261424[[#This Row],[1]:[11]],0))-1)/(COUNTA(Table261424[[#This Row],[1]:[11]])-COUNTBLANK(Table261424[[#This Row],[1]:[11]])-1)))</f>
        <v>0</v>
      </c>
      <c r="AE52" s="183" t="str" cm="1">
        <f t="array" ref="AE52">IF(Table261424[[#This Row],[6]]="","",Table261424[[#This Row],[Weight]:[Weight]]-(Table261424[[#This Row],[Weight]:[Weight]]*((_xlfn.XMATCH(Table261424[[#This Row],[6]],Table261424[[#This Row],[1]:[11]],0))-1)/(COUNTA(Table261424[[#This Row],[1]:[11]])-COUNTBLANK(Table261424[[#This Row],[1]:[11]])-1)))</f>
        <v/>
      </c>
      <c r="AF52" s="183" t="str" cm="1">
        <f t="array" ref="AF52">IF(Table261424[[#This Row],[7]]="","",Table261424[[#This Row],[Weight]:[Weight]]-(Table261424[[#This Row],[Weight]:[Weight]]*((_xlfn.XMATCH(Table261424[[#This Row],[7]],Table261424[[#This Row],[1]:[11]],0))-1)/(COUNTA(Table261424[[#This Row],[1]:[11]])-COUNTBLANK(Table261424[[#This Row],[1]:[11]])-1)))</f>
        <v/>
      </c>
      <c r="AG52" s="183" t="str" cm="1">
        <f t="array" ref="AG52">IF(Table261424[[#This Row],[8]]="","",Table261424[[#This Row],[Weight]:[Weight]]-(Table261424[[#This Row],[Weight]:[Weight]]*((_xlfn.XMATCH(Table261424[[#This Row],[8]],Table261424[[#This Row],[1]:[11]],0))-1)/(COUNTA(Table261424[[#This Row],[1]:[11]])-COUNTBLANK(Table261424[[#This Row],[1]:[11]])-1)))</f>
        <v/>
      </c>
      <c r="AH52" s="29" t="str" cm="1">
        <f t="array" ref="AH52">IF(Table261424[[#This Row],[9]]="","",Table261424[[#This Row],[Weight]:[Weight]]-(Table261424[[#This Row],[Weight]:[Weight]]*((_xlfn.XMATCH(Table261424[[#This Row],[9]],Table261424[[#This Row],[1]:[11]],0))-1)/(COUNTA(Table261424[[#This Row],[1]:[11]])-COUNTBLANK(Table261424[[#This Row],[1]:[11]])-1)))</f>
        <v/>
      </c>
      <c r="AI52" s="29" t="str" cm="1">
        <f t="array" ref="AI52">IF(Table261424[[#This Row],[10]]="","",Table261424[[#This Row],[Weight]:[Weight]]-(Table261424[[#This Row],[Weight]:[Weight]]*((_xlfn.XMATCH(Table261424[[#This Row],[10]],Table261424[[#This Row],[1]:[11]],0))-1)/(COUNTA(Table261424[[#This Row],[1]:[11]])-COUNTBLANK(Table261424[[#This Row],[1]:[11]])-1)))</f>
        <v/>
      </c>
      <c r="AJ52" s="29" t="str" cm="1">
        <f t="array" ref="AJ52">IF(Table261424[[#This Row],[11]]="","",Table261424[[#This Row],[Weight]:[Weight]]-(Table261424[[#This Row],[Weight]:[Weight]]*((_xlfn.XMATCH(Table261424[[#This Row],[11]],Table261424[[#This Row],[1]:[11]],0))-1)/(COUNTA(Table261424[[#This Row],[1]:[11]])-COUNTBLANK(Table261424[[#This Row],[1]:[11]])-1)))</f>
        <v/>
      </c>
    </row>
    <row r="53" spans="1:36" s="167" customFormat="1" ht="125.45" customHeight="1" x14ac:dyDescent="0.2">
      <c r="A53" s="173">
        <v>41</v>
      </c>
      <c r="B53" s="158" t="s">
        <v>257</v>
      </c>
      <c r="C53" s="178" t="s">
        <v>215</v>
      </c>
      <c r="D53" s="179"/>
      <c r="E53" s="38"/>
      <c r="F53" s="38"/>
      <c r="G53" s="159" t="s">
        <v>256</v>
      </c>
      <c r="H53" s="160" cm="1">
        <f t="array" ref="H53">_xlfn.IFS(G53="","",G53="No interest",0,G53="Nice to have",1,G53="Useful",2,G53="Important",3,G53="Very important",4,G53="Critical",5,G53="Show stopper",6)</f>
        <v>2</v>
      </c>
      <c r="I53" s="161">
        <f t="shared" si="3"/>
        <v>1.366120218579235E-4</v>
      </c>
      <c r="J53" s="157" t="s">
        <v>216</v>
      </c>
      <c r="K53" s="158" t="str" cm="1">
        <f t="array" ref="K53">_xlfn.TEXTJOIN(","&amp;CHAR(10),,TEXT(Table261424[[#This Row],[12]:[22]],"0,00%"))</f>
        <v>0,00%,
0,00%,
0,00%,
0,00%,
0,00%</v>
      </c>
      <c r="L53" s="180"/>
      <c r="M53" s="181" t="e">
        <f>I53-(I53*((MATCH(Table261424[[#This Row],[Evaluators Response (SELECT)]],Table261424[[#This Row],[1]:[11]],0)-1)/(COUNTA(Table261424[[#This Row],[1]:[11]])-COUNTBLANK(Table261424[[#This Row],[1]:[11]])-1)))</f>
        <v>#N/A</v>
      </c>
      <c r="N53" s="38"/>
      <c r="O53" s="29" t="str" cm="1">
        <f t="array" ref="O53">IFERROR(INDEX(_xlfn.UNIQUE(TRIM(_xlfn.TEXTSPLIT(Table261424[[#This Row],[Selection Options]:[Selection Options]],","))),,O$11),"")</f>
        <v>100%: Supported as delivered out of the box</v>
      </c>
      <c r="P53" s="29" t="str" cm="1">
        <f t="array" ref="P53">IFERROR(INDEX(_xlfn.UNIQUE(TRIM(_xlfn.TEXTSPLIT(Table261424[[#This Row],[Selection Options]:[Selection Options]],","))),,P$11),"")</f>
        <v xml:space="preserve">
75%: Supported via modifications (config)</v>
      </c>
      <c r="Q53" s="29" t="str" cm="1">
        <f t="array" ref="Q53">IFERROR(INDEX(_xlfn.UNIQUE(TRIM(_xlfn.TEXTSPLIT(Table261424[[#This Row],[Selection Options]:[Selection Options]],","))),,Q$11),"")</f>
        <v xml:space="preserve">
50%: Supported via a third party solution</v>
      </c>
      <c r="R53" s="29" t="str" cm="1">
        <f t="array" ref="R53">IFERROR(INDEX(_xlfn.UNIQUE(TRIM(_xlfn.TEXTSPLIT(Table261424[[#This Row],[Selection Options]:[Selection Options]],","))),,R$11),"")</f>
        <v xml:space="preserve">
25%: Supported via customisation (source code changes)</v>
      </c>
      <c r="S53" s="182" t="str" cm="1">
        <f t="array" ref="S53">IFERROR(INDEX(_xlfn.UNIQUE(TRIM(_xlfn.TEXTSPLIT(Table261424[[#This Row],[Selection Options]:[Selection Options]],","))),,S$11),"")</f>
        <v xml:space="preserve">
 0%: Not currently supported</v>
      </c>
      <c r="T53" s="29" t="str" cm="1">
        <f t="array" ref="T53">IFERROR(INDEX(_xlfn.UNIQUE(TRIM(_xlfn.TEXTSPLIT(Table261424[[#This Row],[Selection Options]:[Selection Options]],","))),,T$11),"")</f>
        <v/>
      </c>
      <c r="U53" s="29" t="str" cm="1">
        <f t="array" ref="U53">IFERROR(INDEX(_xlfn.UNIQUE(TRIM(_xlfn.TEXTSPLIT(Table261424[[#This Row],[Selection Options]:[Selection Options]],","))),,U$11),"")</f>
        <v/>
      </c>
      <c r="V53" s="29" t="str" cm="1">
        <f t="array" ref="V53">IFERROR(INDEX(_xlfn.UNIQUE(TRIM(_xlfn.TEXTSPLIT(Table261424[[#This Row],[Selection Options]:[Selection Options]],","))),,V$11),"")</f>
        <v/>
      </c>
      <c r="W53" s="29" t="str" cm="1">
        <f t="array" ref="W53">IFERROR(INDEX(_xlfn.UNIQUE(TRIM(_xlfn.TEXTSPLIT(Table261424[[#This Row],[Selection Options]:[Selection Options]],","))),,W$11),"")</f>
        <v/>
      </c>
      <c r="X53" s="29" t="str" cm="1">
        <f t="array" ref="X53">IFERROR(INDEX(_xlfn.UNIQUE(TRIM(_xlfn.TEXTSPLIT(Table261424[[#This Row],[Selection Options]:[Selection Options]],","))),,X$11),"")</f>
        <v/>
      </c>
      <c r="Y53" s="29" t="str" cm="1">
        <f t="array" ref="Y53">IFERROR(INDEX(_xlfn.UNIQUE(TRIM(_xlfn.TEXTSPLIT(Table261424[[#This Row],[Selection Options]:[Selection Options]],","))),,Y$11),"")</f>
        <v/>
      </c>
      <c r="Z53" s="183" cm="1">
        <f t="array" ref="Z53">IF(Table261424[[#This Row],[1]]="","",Table261424[[#This Row],[Weight]:[Weight]]-(Table261424[[#This Row],[Weight]:[Weight]]*((_xlfn.XMATCH(Table261424[[#This Row],[1]],Table261424[[#This Row],[1]:[11]],0))-1)/(COUNTA(Table261424[[#This Row],[1]:[11]])-COUNTBLANK(Table261424[[#This Row],[1]:[11]])-1)))</f>
        <v>1.366120218579235E-4</v>
      </c>
      <c r="AA53" s="183" cm="1">
        <f t="array" ref="AA53">IF(Table261424[[#This Row],[2]]="","",Table261424[[#This Row],[Weight]:[Weight]]-(Table261424[[#This Row],[Weight]:[Weight]]*((_xlfn.XMATCH(Table261424[[#This Row],[2]],Table261424[[#This Row],[1]:[11]],0))-1)/(COUNTA(Table261424[[#This Row],[1]:[11]])-COUNTBLANK(Table261424[[#This Row],[1]:[11]])-1)))</f>
        <v>1.0245901639344262E-4</v>
      </c>
      <c r="AB53" s="183" cm="1">
        <f t="array" ref="AB53">IF(Table261424[[#This Row],[3]]="","",Table261424[[#This Row],[Weight]:[Weight]]-(Table261424[[#This Row],[Weight]:[Weight]]*((_xlfn.XMATCH(Table261424[[#This Row],[3]],Table261424[[#This Row],[1]:[11]],0))-1)/(COUNTA(Table261424[[#This Row],[1]:[11]])-COUNTBLANK(Table261424[[#This Row],[1]:[11]])-1)))</f>
        <v>6.8306010928961749E-5</v>
      </c>
      <c r="AC53" s="183" cm="1">
        <f t="array" ref="AC53">IF(Table261424[[#This Row],[4]]="","",Table261424[[#This Row],[Weight]:[Weight]]-(Table261424[[#This Row],[Weight]:[Weight]]*((_xlfn.XMATCH(Table261424[[#This Row],[4]],Table261424[[#This Row],[1]:[11]],0))-1)/(COUNTA(Table261424[[#This Row],[1]:[11]])-COUNTBLANK(Table261424[[#This Row],[1]:[11]])-1)))</f>
        <v>3.4153005464480874E-5</v>
      </c>
      <c r="AD53" s="183" cm="1">
        <f t="array" ref="AD53">IF(Table261424[[#This Row],[5]]="","",Table261424[[#This Row],[Weight]:[Weight]]-(Table261424[[#This Row],[Weight]:[Weight]]*((_xlfn.XMATCH(Table261424[[#This Row],[5]],Table261424[[#This Row],[1]:[11]],0))-1)/(COUNTA(Table261424[[#This Row],[1]:[11]])-COUNTBLANK(Table261424[[#This Row],[1]:[11]])-1)))</f>
        <v>0</v>
      </c>
      <c r="AE53" s="183" t="str" cm="1">
        <f t="array" ref="AE53">IF(Table261424[[#This Row],[6]]="","",Table261424[[#This Row],[Weight]:[Weight]]-(Table261424[[#This Row],[Weight]:[Weight]]*((_xlfn.XMATCH(Table261424[[#This Row],[6]],Table261424[[#This Row],[1]:[11]],0))-1)/(COUNTA(Table261424[[#This Row],[1]:[11]])-COUNTBLANK(Table261424[[#This Row],[1]:[11]])-1)))</f>
        <v/>
      </c>
      <c r="AF53" s="183" t="str" cm="1">
        <f t="array" ref="AF53">IF(Table261424[[#This Row],[7]]="","",Table261424[[#This Row],[Weight]:[Weight]]-(Table261424[[#This Row],[Weight]:[Weight]]*((_xlfn.XMATCH(Table261424[[#This Row],[7]],Table261424[[#This Row],[1]:[11]],0))-1)/(COUNTA(Table261424[[#This Row],[1]:[11]])-COUNTBLANK(Table261424[[#This Row],[1]:[11]])-1)))</f>
        <v/>
      </c>
      <c r="AG53" s="183" t="str" cm="1">
        <f t="array" ref="AG53">IF(Table261424[[#This Row],[8]]="","",Table261424[[#This Row],[Weight]:[Weight]]-(Table261424[[#This Row],[Weight]:[Weight]]*((_xlfn.XMATCH(Table261424[[#This Row],[8]],Table261424[[#This Row],[1]:[11]],0))-1)/(COUNTA(Table261424[[#This Row],[1]:[11]])-COUNTBLANK(Table261424[[#This Row],[1]:[11]])-1)))</f>
        <v/>
      </c>
      <c r="AH53" s="29" t="str" cm="1">
        <f t="array" ref="AH53">IF(Table261424[[#This Row],[9]]="","",Table261424[[#This Row],[Weight]:[Weight]]-(Table261424[[#This Row],[Weight]:[Weight]]*((_xlfn.XMATCH(Table261424[[#This Row],[9]],Table261424[[#This Row],[1]:[11]],0))-1)/(COUNTA(Table261424[[#This Row],[1]:[11]])-COUNTBLANK(Table261424[[#This Row],[1]:[11]])-1)))</f>
        <v/>
      </c>
      <c r="AI53" s="29" t="str" cm="1">
        <f t="array" ref="AI53">IF(Table261424[[#This Row],[10]]="","",Table261424[[#This Row],[Weight]:[Weight]]-(Table261424[[#This Row],[Weight]:[Weight]]*((_xlfn.XMATCH(Table261424[[#This Row],[10]],Table261424[[#This Row],[1]:[11]],0))-1)/(COUNTA(Table261424[[#This Row],[1]:[11]])-COUNTBLANK(Table261424[[#This Row],[1]:[11]])-1)))</f>
        <v/>
      </c>
      <c r="AJ53" s="29" t="str" cm="1">
        <f t="array" ref="AJ53">IF(Table261424[[#This Row],[11]]="","",Table261424[[#This Row],[Weight]:[Weight]]-(Table261424[[#This Row],[Weight]:[Weight]]*((_xlfn.XMATCH(Table261424[[#This Row],[11]],Table261424[[#This Row],[1]:[11]],0))-1)/(COUNTA(Table261424[[#This Row],[1]:[11]])-COUNTBLANK(Table261424[[#This Row],[1]:[11]])-1)))</f>
        <v/>
      </c>
    </row>
    <row r="54" spans="1:36" s="167" customFormat="1" ht="107.1" customHeight="1" x14ac:dyDescent="0.2">
      <c r="A54" s="173">
        <v>42</v>
      </c>
      <c r="B54" s="158" t="s">
        <v>258</v>
      </c>
      <c r="C54" s="178" t="s">
        <v>215</v>
      </c>
      <c r="D54" s="179"/>
      <c r="E54" s="38"/>
      <c r="F54" s="38"/>
      <c r="G54" s="159" t="s">
        <v>60</v>
      </c>
      <c r="H54" s="160" cm="1">
        <f t="array" ref="H54">_xlfn.IFS(G54="","",G54="No interest",0,G54="Nice to have",1,G54="Useful",2,G54="Important",3,G54="Very important",4,G54="Critical",5,G54="Show stopper",6)</f>
        <v>6</v>
      </c>
      <c r="I54" s="184">
        <f t="shared" si="3"/>
        <v>4.0983606557377049E-4</v>
      </c>
      <c r="J54" s="157" t="s">
        <v>216</v>
      </c>
      <c r="K54" s="158" t="str" cm="1">
        <f t="array" ref="K54">_xlfn.TEXTJOIN(","&amp;CHAR(10),,TEXT(Table261424[[#This Row],[12]:[22]],"0,00%"))</f>
        <v>0,00%,
0,00%,
0,00%,
0,00%,
0,00%</v>
      </c>
      <c r="L54" s="180"/>
      <c r="M54" s="181" t="e">
        <f>I54-(I54*((MATCH(Table261424[[#This Row],[Evaluators Response (SELECT)]],Table261424[[#This Row],[1]:[11]],0)-1)/(COUNTA(Table261424[[#This Row],[1]:[11]])-COUNTBLANK(Table261424[[#This Row],[1]:[11]])-1)))</f>
        <v>#N/A</v>
      </c>
      <c r="N54" s="38"/>
      <c r="O54" s="29" t="str" cm="1">
        <f t="array" ref="O54">IFERROR(INDEX(_xlfn.UNIQUE(TRIM(_xlfn.TEXTSPLIT(Table261424[[#This Row],[Selection Options]:[Selection Options]],","))),,O$11),"")</f>
        <v>100%: Supported as delivered out of the box</v>
      </c>
      <c r="P54" s="29" t="str" cm="1">
        <f t="array" ref="P54">IFERROR(INDEX(_xlfn.UNIQUE(TRIM(_xlfn.TEXTSPLIT(Table261424[[#This Row],[Selection Options]:[Selection Options]],","))),,P$11),"")</f>
        <v xml:space="preserve">
75%: Supported via modifications (config)</v>
      </c>
      <c r="Q54" s="29" t="str" cm="1">
        <f t="array" ref="Q54">IFERROR(INDEX(_xlfn.UNIQUE(TRIM(_xlfn.TEXTSPLIT(Table261424[[#This Row],[Selection Options]:[Selection Options]],","))),,Q$11),"")</f>
        <v xml:space="preserve">
50%: Supported via a third party solution</v>
      </c>
      <c r="R54" s="29" t="str" cm="1">
        <f t="array" ref="R54">IFERROR(INDEX(_xlfn.UNIQUE(TRIM(_xlfn.TEXTSPLIT(Table261424[[#This Row],[Selection Options]:[Selection Options]],","))),,R$11),"")</f>
        <v xml:space="preserve">
25%: Supported via customisation (source code changes)</v>
      </c>
      <c r="S54" s="182" t="str" cm="1">
        <f t="array" ref="S54">IFERROR(INDEX(_xlfn.UNIQUE(TRIM(_xlfn.TEXTSPLIT(Table261424[[#This Row],[Selection Options]:[Selection Options]],","))),,S$11),"")</f>
        <v xml:space="preserve">
 0%: Not currently supported</v>
      </c>
      <c r="T54" s="29" t="str" cm="1">
        <f t="array" ref="T54">IFERROR(INDEX(_xlfn.UNIQUE(TRIM(_xlfn.TEXTSPLIT(Table261424[[#This Row],[Selection Options]:[Selection Options]],","))),,T$11),"")</f>
        <v/>
      </c>
      <c r="U54" s="29" t="str" cm="1">
        <f t="array" ref="U54">IFERROR(INDEX(_xlfn.UNIQUE(TRIM(_xlfn.TEXTSPLIT(Table261424[[#This Row],[Selection Options]:[Selection Options]],","))),,U$11),"")</f>
        <v/>
      </c>
      <c r="V54" s="29" t="str" cm="1">
        <f t="array" ref="V54">IFERROR(INDEX(_xlfn.UNIQUE(TRIM(_xlfn.TEXTSPLIT(Table261424[[#This Row],[Selection Options]:[Selection Options]],","))),,V$11),"")</f>
        <v/>
      </c>
      <c r="W54" s="29" t="str" cm="1">
        <f t="array" ref="W54">IFERROR(INDEX(_xlfn.UNIQUE(TRIM(_xlfn.TEXTSPLIT(Table261424[[#This Row],[Selection Options]:[Selection Options]],","))),,W$11),"")</f>
        <v/>
      </c>
      <c r="X54" s="29" t="str" cm="1">
        <f t="array" ref="X54">IFERROR(INDEX(_xlfn.UNIQUE(TRIM(_xlfn.TEXTSPLIT(Table261424[[#This Row],[Selection Options]:[Selection Options]],","))),,X$11),"")</f>
        <v/>
      </c>
      <c r="Y54" s="29" t="str" cm="1">
        <f t="array" ref="Y54">IFERROR(INDEX(_xlfn.UNIQUE(TRIM(_xlfn.TEXTSPLIT(Table261424[[#This Row],[Selection Options]:[Selection Options]],","))),,Y$11),"")</f>
        <v/>
      </c>
      <c r="Z54" s="183" cm="1">
        <f t="array" ref="Z54">IF(Table261424[[#This Row],[1]]="","",Table261424[[#This Row],[Weight]:[Weight]]-(Table261424[[#This Row],[Weight]:[Weight]]*((_xlfn.XMATCH(Table261424[[#This Row],[1]],Table261424[[#This Row],[1]:[11]],0))-1)/(COUNTA(Table261424[[#This Row],[1]:[11]])-COUNTBLANK(Table261424[[#This Row],[1]:[11]])-1)))</f>
        <v>4.0983606557377049E-4</v>
      </c>
      <c r="AA54" s="183" cm="1">
        <f t="array" ref="AA54">IF(Table261424[[#This Row],[2]]="","",Table261424[[#This Row],[Weight]:[Weight]]-(Table261424[[#This Row],[Weight]:[Weight]]*((_xlfn.XMATCH(Table261424[[#This Row],[2]],Table261424[[#This Row],[1]:[11]],0))-1)/(COUNTA(Table261424[[#This Row],[1]:[11]])-COUNTBLANK(Table261424[[#This Row],[1]:[11]])-1)))</f>
        <v>3.0737704918032784E-4</v>
      </c>
      <c r="AB54" s="183" cm="1">
        <f t="array" ref="AB54">IF(Table261424[[#This Row],[3]]="","",Table261424[[#This Row],[Weight]:[Weight]]-(Table261424[[#This Row],[Weight]:[Weight]]*((_xlfn.XMATCH(Table261424[[#This Row],[3]],Table261424[[#This Row],[1]:[11]],0))-1)/(COUNTA(Table261424[[#This Row],[1]:[11]])-COUNTBLANK(Table261424[[#This Row],[1]:[11]])-1)))</f>
        <v>2.0491803278688525E-4</v>
      </c>
      <c r="AC54" s="183" cm="1">
        <f t="array" ref="AC54">IF(Table261424[[#This Row],[4]]="","",Table261424[[#This Row],[Weight]:[Weight]]-(Table261424[[#This Row],[Weight]:[Weight]]*((_xlfn.XMATCH(Table261424[[#This Row],[4]],Table261424[[#This Row],[1]:[11]],0))-1)/(COUNTA(Table261424[[#This Row],[1]:[11]])-COUNTBLANK(Table261424[[#This Row],[1]:[11]])-1)))</f>
        <v>1.0245901639344265E-4</v>
      </c>
      <c r="AD54" s="183" cm="1">
        <f t="array" ref="AD54">IF(Table261424[[#This Row],[5]]="","",Table261424[[#This Row],[Weight]:[Weight]]-(Table261424[[#This Row],[Weight]:[Weight]]*((_xlfn.XMATCH(Table261424[[#This Row],[5]],Table261424[[#This Row],[1]:[11]],0))-1)/(COUNTA(Table261424[[#This Row],[1]:[11]])-COUNTBLANK(Table261424[[#This Row],[1]:[11]])-1)))</f>
        <v>0</v>
      </c>
      <c r="AE54" s="183" t="str" cm="1">
        <f t="array" ref="AE54">IF(Table261424[[#This Row],[6]]="","",Table261424[[#This Row],[Weight]:[Weight]]-(Table261424[[#This Row],[Weight]:[Weight]]*((_xlfn.XMATCH(Table261424[[#This Row],[6]],Table261424[[#This Row],[1]:[11]],0))-1)/(COUNTA(Table261424[[#This Row],[1]:[11]])-COUNTBLANK(Table261424[[#This Row],[1]:[11]])-1)))</f>
        <v/>
      </c>
      <c r="AF54" s="183" t="str" cm="1">
        <f t="array" ref="AF54">IF(Table261424[[#This Row],[7]]="","",Table261424[[#This Row],[Weight]:[Weight]]-(Table261424[[#This Row],[Weight]:[Weight]]*((_xlfn.XMATCH(Table261424[[#This Row],[7]],Table261424[[#This Row],[1]:[11]],0))-1)/(COUNTA(Table261424[[#This Row],[1]:[11]])-COUNTBLANK(Table261424[[#This Row],[1]:[11]])-1)))</f>
        <v/>
      </c>
      <c r="AG54" s="183" t="str" cm="1">
        <f t="array" ref="AG54">IF(Table261424[[#This Row],[8]]="","",Table261424[[#This Row],[Weight]:[Weight]]-(Table261424[[#This Row],[Weight]:[Weight]]*((_xlfn.XMATCH(Table261424[[#This Row],[8]],Table261424[[#This Row],[1]:[11]],0))-1)/(COUNTA(Table261424[[#This Row],[1]:[11]])-COUNTBLANK(Table261424[[#This Row],[1]:[11]])-1)))</f>
        <v/>
      </c>
      <c r="AH54" s="29" t="str" cm="1">
        <f t="array" ref="AH54">IF(Table261424[[#This Row],[9]]="","",Table261424[[#This Row],[Weight]:[Weight]]-(Table261424[[#This Row],[Weight]:[Weight]]*((_xlfn.XMATCH(Table261424[[#This Row],[9]],Table261424[[#This Row],[1]:[11]],0))-1)/(COUNTA(Table261424[[#This Row],[1]:[11]])-COUNTBLANK(Table261424[[#This Row],[1]:[11]])-1)))</f>
        <v/>
      </c>
      <c r="AI54" s="29" t="str" cm="1">
        <f t="array" ref="AI54">IF(Table261424[[#This Row],[10]]="","",Table261424[[#This Row],[Weight]:[Weight]]-(Table261424[[#This Row],[Weight]:[Weight]]*((_xlfn.XMATCH(Table261424[[#This Row],[10]],Table261424[[#This Row],[1]:[11]],0))-1)/(COUNTA(Table261424[[#This Row],[1]:[11]])-COUNTBLANK(Table261424[[#This Row],[1]:[11]])-1)))</f>
        <v/>
      </c>
      <c r="AJ54" s="29" t="str" cm="1">
        <f t="array" ref="AJ54">IF(Table261424[[#This Row],[11]]="","",Table261424[[#This Row],[Weight]:[Weight]]-(Table261424[[#This Row],[Weight]:[Weight]]*((_xlfn.XMATCH(Table261424[[#This Row],[11]],Table261424[[#This Row],[1]:[11]],0))-1)/(COUNTA(Table261424[[#This Row],[1]:[11]])-COUNTBLANK(Table261424[[#This Row],[1]:[11]])-1)))</f>
        <v/>
      </c>
    </row>
    <row r="55" spans="1:36" s="167" customFormat="1" ht="105" customHeight="1" x14ac:dyDescent="0.2">
      <c r="A55" s="173">
        <v>43</v>
      </c>
      <c r="B55" s="158" t="s">
        <v>259</v>
      </c>
      <c r="C55" s="178" t="s">
        <v>215</v>
      </c>
      <c r="D55" s="179"/>
      <c r="E55" s="38"/>
      <c r="F55" s="38"/>
      <c r="G55" s="159" t="s">
        <v>183</v>
      </c>
      <c r="H55" s="160" cm="1">
        <f t="array" ref="H55">_xlfn.IFS(G55="","",G55="No interest",0,G55="Nice to have",1,G55="Useful",2,G55="Important",3,G55="Very important",4,G55="Critical",5,G55="Show stopper",6)</f>
        <v>4</v>
      </c>
      <c r="I55" s="184">
        <f t="shared" si="3"/>
        <v>2.7322404371584699E-4</v>
      </c>
      <c r="J55" s="157" t="s">
        <v>216</v>
      </c>
      <c r="K55" s="158" t="str" cm="1">
        <f t="array" ref="K55">_xlfn.TEXTJOIN(","&amp;CHAR(10),,TEXT(Table261424[[#This Row],[12]:[22]],"0,00%"))</f>
        <v>0,00%,
0,00%,
0,00%,
0,00%,
0,00%</v>
      </c>
      <c r="L55" s="180"/>
      <c r="M55" s="181" t="e">
        <f>I55-(I55*((MATCH(Table261424[[#This Row],[Evaluators Response (SELECT)]],Table261424[[#This Row],[1]:[11]],0)-1)/(COUNTA(Table261424[[#This Row],[1]:[11]])-COUNTBLANK(Table261424[[#This Row],[1]:[11]])-1)))</f>
        <v>#N/A</v>
      </c>
      <c r="N55" s="38"/>
      <c r="O55" s="29" t="str" cm="1">
        <f t="array" ref="O55">IFERROR(INDEX(_xlfn.UNIQUE(TRIM(_xlfn.TEXTSPLIT(Table261424[[#This Row],[Selection Options]:[Selection Options]],","))),,O$11),"")</f>
        <v>100%: Supported as delivered out of the box</v>
      </c>
      <c r="P55" s="29" t="str" cm="1">
        <f t="array" ref="P55">IFERROR(INDEX(_xlfn.UNIQUE(TRIM(_xlfn.TEXTSPLIT(Table261424[[#This Row],[Selection Options]:[Selection Options]],","))),,P$11),"")</f>
        <v xml:space="preserve">
75%: Supported via modifications (config)</v>
      </c>
      <c r="Q55" s="29" t="str" cm="1">
        <f t="array" ref="Q55">IFERROR(INDEX(_xlfn.UNIQUE(TRIM(_xlfn.TEXTSPLIT(Table261424[[#This Row],[Selection Options]:[Selection Options]],","))),,Q$11),"")</f>
        <v xml:space="preserve">
50%: Supported via a third party solution</v>
      </c>
      <c r="R55" s="29" t="str" cm="1">
        <f t="array" ref="R55">IFERROR(INDEX(_xlfn.UNIQUE(TRIM(_xlfn.TEXTSPLIT(Table261424[[#This Row],[Selection Options]:[Selection Options]],","))),,R$11),"")</f>
        <v xml:space="preserve">
25%: Supported via customisation (source code changes)</v>
      </c>
      <c r="S55" s="182" t="str" cm="1">
        <f t="array" ref="S55">IFERROR(INDEX(_xlfn.UNIQUE(TRIM(_xlfn.TEXTSPLIT(Table261424[[#This Row],[Selection Options]:[Selection Options]],","))),,S$11),"")</f>
        <v xml:space="preserve">
 0%: Not currently supported</v>
      </c>
      <c r="T55" s="29" t="str" cm="1">
        <f t="array" ref="T55">IFERROR(INDEX(_xlfn.UNIQUE(TRIM(_xlfn.TEXTSPLIT(Table261424[[#This Row],[Selection Options]:[Selection Options]],","))),,T$11),"")</f>
        <v/>
      </c>
      <c r="U55" s="29" t="str" cm="1">
        <f t="array" ref="U55">IFERROR(INDEX(_xlfn.UNIQUE(TRIM(_xlfn.TEXTSPLIT(Table261424[[#This Row],[Selection Options]:[Selection Options]],","))),,U$11),"")</f>
        <v/>
      </c>
      <c r="V55" s="29" t="str" cm="1">
        <f t="array" ref="V55">IFERROR(INDEX(_xlfn.UNIQUE(TRIM(_xlfn.TEXTSPLIT(Table261424[[#This Row],[Selection Options]:[Selection Options]],","))),,V$11),"")</f>
        <v/>
      </c>
      <c r="W55" s="29" t="str" cm="1">
        <f t="array" ref="W55">IFERROR(INDEX(_xlfn.UNIQUE(TRIM(_xlfn.TEXTSPLIT(Table261424[[#This Row],[Selection Options]:[Selection Options]],","))),,W$11),"")</f>
        <v/>
      </c>
      <c r="X55" s="29" t="str" cm="1">
        <f t="array" ref="X55">IFERROR(INDEX(_xlfn.UNIQUE(TRIM(_xlfn.TEXTSPLIT(Table261424[[#This Row],[Selection Options]:[Selection Options]],","))),,X$11),"")</f>
        <v/>
      </c>
      <c r="Y55" s="29" t="str" cm="1">
        <f t="array" ref="Y55">IFERROR(INDEX(_xlfn.UNIQUE(TRIM(_xlfn.TEXTSPLIT(Table261424[[#This Row],[Selection Options]:[Selection Options]],","))),,Y$11),"")</f>
        <v/>
      </c>
      <c r="Z55" s="183" cm="1">
        <f t="array" ref="Z55">IF(Table261424[[#This Row],[1]]="","",Table261424[[#This Row],[Weight]:[Weight]]-(Table261424[[#This Row],[Weight]:[Weight]]*((_xlfn.XMATCH(Table261424[[#This Row],[1]],Table261424[[#This Row],[1]:[11]],0))-1)/(COUNTA(Table261424[[#This Row],[1]:[11]])-COUNTBLANK(Table261424[[#This Row],[1]:[11]])-1)))</f>
        <v>2.7322404371584699E-4</v>
      </c>
      <c r="AA55" s="183" cm="1">
        <f t="array" ref="AA55">IF(Table261424[[#This Row],[2]]="","",Table261424[[#This Row],[Weight]:[Weight]]-(Table261424[[#This Row],[Weight]:[Weight]]*((_xlfn.XMATCH(Table261424[[#This Row],[2]],Table261424[[#This Row],[1]:[11]],0))-1)/(COUNTA(Table261424[[#This Row],[1]:[11]])-COUNTBLANK(Table261424[[#This Row],[1]:[11]])-1)))</f>
        <v>2.0491803278688525E-4</v>
      </c>
      <c r="AB55" s="183" cm="1">
        <f t="array" ref="AB55">IF(Table261424[[#This Row],[3]]="","",Table261424[[#This Row],[Weight]:[Weight]]-(Table261424[[#This Row],[Weight]:[Weight]]*((_xlfn.XMATCH(Table261424[[#This Row],[3]],Table261424[[#This Row],[1]:[11]],0))-1)/(COUNTA(Table261424[[#This Row],[1]:[11]])-COUNTBLANK(Table261424[[#This Row],[1]:[11]])-1)))</f>
        <v>1.366120218579235E-4</v>
      </c>
      <c r="AC55" s="183" cm="1">
        <f t="array" ref="AC55">IF(Table261424[[#This Row],[4]]="","",Table261424[[#This Row],[Weight]:[Weight]]-(Table261424[[#This Row],[Weight]:[Weight]]*((_xlfn.XMATCH(Table261424[[#This Row],[4]],Table261424[[#This Row],[1]:[11]],0))-1)/(COUNTA(Table261424[[#This Row],[1]:[11]])-COUNTBLANK(Table261424[[#This Row],[1]:[11]])-1)))</f>
        <v>6.8306010928961749E-5</v>
      </c>
      <c r="AD55" s="183" cm="1">
        <f t="array" ref="AD55">IF(Table261424[[#This Row],[5]]="","",Table261424[[#This Row],[Weight]:[Weight]]-(Table261424[[#This Row],[Weight]:[Weight]]*((_xlfn.XMATCH(Table261424[[#This Row],[5]],Table261424[[#This Row],[1]:[11]],0))-1)/(COUNTA(Table261424[[#This Row],[1]:[11]])-COUNTBLANK(Table261424[[#This Row],[1]:[11]])-1)))</f>
        <v>0</v>
      </c>
      <c r="AE55" s="183" t="str" cm="1">
        <f t="array" ref="AE55">IF(Table261424[[#This Row],[6]]="","",Table261424[[#This Row],[Weight]:[Weight]]-(Table261424[[#This Row],[Weight]:[Weight]]*((_xlfn.XMATCH(Table261424[[#This Row],[6]],Table261424[[#This Row],[1]:[11]],0))-1)/(COUNTA(Table261424[[#This Row],[1]:[11]])-COUNTBLANK(Table261424[[#This Row],[1]:[11]])-1)))</f>
        <v/>
      </c>
      <c r="AF55" s="183" t="str" cm="1">
        <f t="array" ref="AF55">IF(Table261424[[#This Row],[7]]="","",Table261424[[#This Row],[Weight]:[Weight]]-(Table261424[[#This Row],[Weight]:[Weight]]*((_xlfn.XMATCH(Table261424[[#This Row],[7]],Table261424[[#This Row],[1]:[11]],0))-1)/(COUNTA(Table261424[[#This Row],[1]:[11]])-COUNTBLANK(Table261424[[#This Row],[1]:[11]])-1)))</f>
        <v/>
      </c>
      <c r="AG55" s="183" t="str" cm="1">
        <f t="array" ref="AG55">IF(Table261424[[#This Row],[8]]="","",Table261424[[#This Row],[Weight]:[Weight]]-(Table261424[[#This Row],[Weight]:[Weight]]*((_xlfn.XMATCH(Table261424[[#This Row],[8]],Table261424[[#This Row],[1]:[11]],0))-1)/(COUNTA(Table261424[[#This Row],[1]:[11]])-COUNTBLANK(Table261424[[#This Row],[1]:[11]])-1)))</f>
        <v/>
      </c>
      <c r="AH55" s="29" t="str" cm="1">
        <f t="array" ref="AH55">IF(Table261424[[#This Row],[9]]="","",Table261424[[#This Row],[Weight]:[Weight]]-(Table261424[[#This Row],[Weight]:[Weight]]*((_xlfn.XMATCH(Table261424[[#This Row],[9]],Table261424[[#This Row],[1]:[11]],0))-1)/(COUNTA(Table261424[[#This Row],[1]:[11]])-COUNTBLANK(Table261424[[#This Row],[1]:[11]])-1)))</f>
        <v/>
      </c>
      <c r="AI55" s="29" t="str" cm="1">
        <f t="array" ref="AI55">IF(Table261424[[#This Row],[10]]="","",Table261424[[#This Row],[Weight]:[Weight]]-(Table261424[[#This Row],[Weight]:[Weight]]*((_xlfn.XMATCH(Table261424[[#This Row],[10]],Table261424[[#This Row],[1]:[11]],0))-1)/(COUNTA(Table261424[[#This Row],[1]:[11]])-COUNTBLANK(Table261424[[#This Row],[1]:[11]])-1)))</f>
        <v/>
      </c>
      <c r="AJ55" s="29" t="str" cm="1">
        <f t="array" ref="AJ55">IF(Table261424[[#This Row],[11]]="","",Table261424[[#This Row],[Weight]:[Weight]]-(Table261424[[#This Row],[Weight]:[Weight]]*((_xlfn.XMATCH(Table261424[[#This Row],[11]],Table261424[[#This Row],[1]:[11]],0))-1)/(COUNTA(Table261424[[#This Row],[1]:[11]])-COUNTBLANK(Table261424[[#This Row],[1]:[11]])-1)))</f>
        <v/>
      </c>
    </row>
    <row r="56" spans="1:36" s="167" customFormat="1" ht="98.1" customHeight="1" x14ac:dyDescent="0.2">
      <c r="A56" s="173">
        <v>44</v>
      </c>
      <c r="B56" s="158" t="s">
        <v>260</v>
      </c>
      <c r="C56" s="178" t="s">
        <v>215</v>
      </c>
      <c r="D56" s="179"/>
      <c r="E56" s="38"/>
      <c r="F56" s="38"/>
      <c r="G56" s="159" t="s">
        <v>183</v>
      </c>
      <c r="H56" s="160" cm="1">
        <f t="array" ref="H56">_xlfn.IFS(G56="","",G56="No interest",0,G56="Nice to have",1,G56="Useful",2,G56="Important",3,G56="Very important",4,G56="Critical",5,G56="Show stopper",6)</f>
        <v>4</v>
      </c>
      <c r="I56" s="161">
        <f t="shared" si="3"/>
        <v>2.7322404371584699E-4</v>
      </c>
      <c r="J56" s="157" t="s">
        <v>216</v>
      </c>
      <c r="K56" s="158" t="str" cm="1">
        <f t="array" ref="K56">_xlfn.TEXTJOIN(","&amp;CHAR(10),,TEXT(Table261424[[#This Row],[12]:[22]],"0,00%"))</f>
        <v>0,00%,
0,00%,
0,00%,
0,00%,
0,00%</v>
      </c>
      <c r="L56" s="180"/>
      <c r="M56" s="181" t="e">
        <f>I56-(I56*((MATCH(Table261424[[#This Row],[Evaluators Response (SELECT)]],Table261424[[#This Row],[1]:[11]],0)-1)/(COUNTA(Table261424[[#This Row],[1]:[11]])-COUNTBLANK(Table261424[[#This Row],[1]:[11]])-1)))</f>
        <v>#N/A</v>
      </c>
      <c r="N56" s="38"/>
      <c r="O56" s="29" t="str" cm="1">
        <f t="array" ref="O56">IFERROR(INDEX(_xlfn.UNIQUE(TRIM(_xlfn.TEXTSPLIT(Table261424[[#This Row],[Selection Options]:[Selection Options]],","))),,O$11),"")</f>
        <v>100%: Supported as delivered out of the box</v>
      </c>
      <c r="P56" s="29" t="str" cm="1">
        <f t="array" ref="P56">IFERROR(INDEX(_xlfn.UNIQUE(TRIM(_xlfn.TEXTSPLIT(Table261424[[#This Row],[Selection Options]:[Selection Options]],","))),,P$11),"")</f>
        <v xml:space="preserve">
75%: Supported via modifications (config)</v>
      </c>
      <c r="Q56" s="29" t="str" cm="1">
        <f t="array" ref="Q56">IFERROR(INDEX(_xlfn.UNIQUE(TRIM(_xlfn.TEXTSPLIT(Table261424[[#This Row],[Selection Options]:[Selection Options]],","))),,Q$11),"")</f>
        <v xml:space="preserve">
50%: Supported via a third party solution</v>
      </c>
      <c r="R56" s="29" t="str" cm="1">
        <f t="array" ref="R56">IFERROR(INDEX(_xlfn.UNIQUE(TRIM(_xlfn.TEXTSPLIT(Table261424[[#This Row],[Selection Options]:[Selection Options]],","))),,R$11),"")</f>
        <v xml:space="preserve">
25%: Supported via customisation (source code changes)</v>
      </c>
      <c r="S56" s="182" t="str" cm="1">
        <f t="array" ref="S56">IFERROR(INDEX(_xlfn.UNIQUE(TRIM(_xlfn.TEXTSPLIT(Table261424[[#This Row],[Selection Options]:[Selection Options]],","))),,S$11),"")</f>
        <v xml:space="preserve">
 0%: Not currently supported</v>
      </c>
      <c r="T56" s="29" t="str" cm="1">
        <f t="array" ref="T56">IFERROR(INDEX(_xlfn.UNIQUE(TRIM(_xlfn.TEXTSPLIT(Table261424[[#This Row],[Selection Options]:[Selection Options]],","))),,T$11),"")</f>
        <v/>
      </c>
      <c r="U56" s="29" t="str" cm="1">
        <f t="array" ref="U56">IFERROR(INDEX(_xlfn.UNIQUE(TRIM(_xlfn.TEXTSPLIT(Table261424[[#This Row],[Selection Options]:[Selection Options]],","))),,U$11),"")</f>
        <v/>
      </c>
      <c r="V56" s="29" t="str" cm="1">
        <f t="array" ref="V56">IFERROR(INDEX(_xlfn.UNIQUE(TRIM(_xlfn.TEXTSPLIT(Table261424[[#This Row],[Selection Options]:[Selection Options]],","))),,V$11),"")</f>
        <v/>
      </c>
      <c r="W56" s="29" t="str" cm="1">
        <f t="array" ref="W56">IFERROR(INDEX(_xlfn.UNIQUE(TRIM(_xlfn.TEXTSPLIT(Table261424[[#This Row],[Selection Options]:[Selection Options]],","))),,W$11),"")</f>
        <v/>
      </c>
      <c r="X56" s="29" t="str" cm="1">
        <f t="array" ref="X56">IFERROR(INDEX(_xlfn.UNIQUE(TRIM(_xlfn.TEXTSPLIT(Table261424[[#This Row],[Selection Options]:[Selection Options]],","))),,X$11),"")</f>
        <v/>
      </c>
      <c r="Y56" s="29" t="str" cm="1">
        <f t="array" ref="Y56">IFERROR(INDEX(_xlfn.UNIQUE(TRIM(_xlfn.TEXTSPLIT(Table261424[[#This Row],[Selection Options]:[Selection Options]],","))),,Y$11),"")</f>
        <v/>
      </c>
      <c r="Z56" s="183" cm="1">
        <f t="array" ref="Z56">IF(Table261424[[#This Row],[1]]="","",Table261424[[#This Row],[Weight]:[Weight]]-(Table261424[[#This Row],[Weight]:[Weight]]*((_xlfn.XMATCH(Table261424[[#This Row],[1]],Table261424[[#This Row],[1]:[11]],0))-1)/(COUNTA(Table261424[[#This Row],[1]:[11]])-COUNTBLANK(Table261424[[#This Row],[1]:[11]])-1)))</f>
        <v>2.7322404371584699E-4</v>
      </c>
      <c r="AA56" s="183" cm="1">
        <f t="array" ref="AA56">IF(Table261424[[#This Row],[2]]="","",Table261424[[#This Row],[Weight]:[Weight]]-(Table261424[[#This Row],[Weight]:[Weight]]*((_xlfn.XMATCH(Table261424[[#This Row],[2]],Table261424[[#This Row],[1]:[11]],0))-1)/(COUNTA(Table261424[[#This Row],[1]:[11]])-COUNTBLANK(Table261424[[#This Row],[1]:[11]])-1)))</f>
        <v>2.0491803278688525E-4</v>
      </c>
      <c r="AB56" s="183" cm="1">
        <f t="array" ref="AB56">IF(Table261424[[#This Row],[3]]="","",Table261424[[#This Row],[Weight]:[Weight]]-(Table261424[[#This Row],[Weight]:[Weight]]*((_xlfn.XMATCH(Table261424[[#This Row],[3]],Table261424[[#This Row],[1]:[11]],0))-1)/(COUNTA(Table261424[[#This Row],[1]:[11]])-COUNTBLANK(Table261424[[#This Row],[1]:[11]])-1)))</f>
        <v>1.366120218579235E-4</v>
      </c>
      <c r="AC56" s="183" cm="1">
        <f t="array" ref="AC56">IF(Table261424[[#This Row],[4]]="","",Table261424[[#This Row],[Weight]:[Weight]]-(Table261424[[#This Row],[Weight]:[Weight]]*((_xlfn.XMATCH(Table261424[[#This Row],[4]],Table261424[[#This Row],[1]:[11]],0))-1)/(COUNTA(Table261424[[#This Row],[1]:[11]])-COUNTBLANK(Table261424[[#This Row],[1]:[11]])-1)))</f>
        <v>6.8306010928961749E-5</v>
      </c>
      <c r="AD56" s="183" cm="1">
        <f t="array" ref="AD56">IF(Table261424[[#This Row],[5]]="","",Table261424[[#This Row],[Weight]:[Weight]]-(Table261424[[#This Row],[Weight]:[Weight]]*((_xlfn.XMATCH(Table261424[[#This Row],[5]],Table261424[[#This Row],[1]:[11]],0))-1)/(COUNTA(Table261424[[#This Row],[1]:[11]])-COUNTBLANK(Table261424[[#This Row],[1]:[11]])-1)))</f>
        <v>0</v>
      </c>
      <c r="AE56" s="183" t="str" cm="1">
        <f t="array" ref="AE56">IF(Table261424[[#This Row],[6]]="","",Table261424[[#This Row],[Weight]:[Weight]]-(Table261424[[#This Row],[Weight]:[Weight]]*((_xlfn.XMATCH(Table261424[[#This Row],[6]],Table261424[[#This Row],[1]:[11]],0))-1)/(COUNTA(Table261424[[#This Row],[1]:[11]])-COUNTBLANK(Table261424[[#This Row],[1]:[11]])-1)))</f>
        <v/>
      </c>
      <c r="AF56" s="183" t="str" cm="1">
        <f t="array" ref="AF56">IF(Table261424[[#This Row],[7]]="","",Table261424[[#This Row],[Weight]:[Weight]]-(Table261424[[#This Row],[Weight]:[Weight]]*((_xlfn.XMATCH(Table261424[[#This Row],[7]],Table261424[[#This Row],[1]:[11]],0))-1)/(COUNTA(Table261424[[#This Row],[1]:[11]])-COUNTBLANK(Table261424[[#This Row],[1]:[11]])-1)))</f>
        <v/>
      </c>
      <c r="AG56" s="183" t="str" cm="1">
        <f t="array" ref="AG56">IF(Table261424[[#This Row],[8]]="","",Table261424[[#This Row],[Weight]:[Weight]]-(Table261424[[#This Row],[Weight]:[Weight]]*((_xlfn.XMATCH(Table261424[[#This Row],[8]],Table261424[[#This Row],[1]:[11]],0))-1)/(COUNTA(Table261424[[#This Row],[1]:[11]])-COUNTBLANK(Table261424[[#This Row],[1]:[11]])-1)))</f>
        <v/>
      </c>
      <c r="AH56" s="29" t="str" cm="1">
        <f t="array" ref="AH56">IF(Table261424[[#This Row],[9]]="","",Table261424[[#This Row],[Weight]:[Weight]]-(Table261424[[#This Row],[Weight]:[Weight]]*((_xlfn.XMATCH(Table261424[[#This Row],[9]],Table261424[[#This Row],[1]:[11]],0))-1)/(COUNTA(Table261424[[#This Row],[1]:[11]])-COUNTBLANK(Table261424[[#This Row],[1]:[11]])-1)))</f>
        <v/>
      </c>
      <c r="AI56" s="29" t="str" cm="1">
        <f t="array" ref="AI56">IF(Table261424[[#This Row],[10]]="","",Table261424[[#This Row],[Weight]:[Weight]]-(Table261424[[#This Row],[Weight]:[Weight]]*((_xlfn.XMATCH(Table261424[[#This Row],[10]],Table261424[[#This Row],[1]:[11]],0))-1)/(COUNTA(Table261424[[#This Row],[1]:[11]])-COUNTBLANK(Table261424[[#This Row],[1]:[11]])-1)))</f>
        <v/>
      </c>
      <c r="AJ56" s="29" t="str" cm="1">
        <f t="array" ref="AJ56">IF(Table261424[[#This Row],[11]]="","",Table261424[[#This Row],[Weight]:[Weight]]-(Table261424[[#This Row],[Weight]:[Weight]]*((_xlfn.XMATCH(Table261424[[#This Row],[11]],Table261424[[#This Row],[1]:[11]],0))-1)/(COUNTA(Table261424[[#This Row],[1]:[11]])-COUNTBLANK(Table261424[[#This Row],[1]:[11]])-1)))</f>
        <v/>
      </c>
    </row>
    <row r="57" spans="1:36" s="167" customFormat="1" ht="93.6" customHeight="1" x14ac:dyDescent="0.2">
      <c r="A57" s="173">
        <v>45</v>
      </c>
      <c r="B57" s="158" t="s">
        <v>261</v>
      </c>
      <c r="C57" s="178" t="s">
        <v>215</v>
      </c>
      <c r="D57" s="179"/>
      <c r="E57" s="38"/>
      <c r="F57" s="38"/>
      <c r="G57" s="159" t="s">
        <v>56</v>
      </c>
      <c r="H57" s="160" cm="1">
        <f t="array" ref="H57">_xlfn.IFS(G57="","",G57="No interest",0,G57="Nice to have",1,G57="Useful",2,G57="Important",3,G57="Very important",4,G57="Critical",5,G57="Show stopper",6)</f>
        <v>3</v>
      </c>
      <c r="I57" s="161">
        <f t="shared" si="3"/>
        <v>2.0491803278688525E-4</v>
      </c>
      <c r="J57" s="157" t="s">
        <v>216</v>
      </c>
      <c r="K57" s="158" t="str" cm="1">
        <f t="array" ref="K57">_xlfn.TEXTJOIN(","&amp;CHAR(10),,TEXT(Table261424[[#This Row],[12]:[22]],"0,00%"))</f>
        <v>0,00%,
0,00%,
0,00%,
0,00%,
0,00%</v>
      </c>
      <c r="L57" s="180"/>
      <c r="M57" s="181" t="e">
        <f>I57-(I57*((MATCH(Table261424[[#This Row],[Evaluators Response (SELECT)]],Table261424[[#This Row],[1]:[11]],0)-1)/(COUNTA(Table261424[[#This Row],[1]:[11]])-COUNTBLANK(Table261424[[#This Row],[1]:[11]])-1)))</f>
        <v>#N/A</v>
      </c>
      <c r="N57" s="38"/>
      <c r="O57" s="29" t="str" cm="1">
        <f t="array" ref="O57">IFERROR(INDEX(_xlfn.UNIQUE(TRIM(_xlfn.TEXTSPLIT(Table261424[[#This Row],[Selection Options]:[Selection Options]],","))),,O$11),"")</f>
        <v>100%: Supported as delivered out of the box</v>
      </c>
      <c r="P57" s="29" t="str" cm="1">
        <f t="array" ref="P57">IFERROR(INDEX(_xlfn.UNIQUE(TRIM(_xlfn.TEXTSPLIT(Table261424[[#This Row],[Selection Options]:[Selection Options]],","))),,P$11),"")</f>
        <v xml:space="preserve">
75%: Supported via modifications (config)</v>
      </c>
      <c r="Q57" s="29" t="str" cm="1">
        <f t="array" ref="Q57">IFERROR(INDEX(_xlfn.UNIQUE(TRIM(_xlfn.TEXTSPLIT(Table261424[[#This Row],[Selection Options]:[Selection Options]],","))),,Q$11),"")</f>
        <v xml:space="preserve">
50%: Supported via a third party solution</v>
      </c>
      <c r="R57" s="29" t="str" cm="1">
        <f t="array" ref="R57">IFERROR(INDEX(_xlfn.UNIQUE(TRIM(_xlfn.TEXTSPLIT(Table261424[[#This Row],[Selection Options]:[Selection Options]],","))),,R$11),"")</f>
        <v xml:space="preserve">
25%: Supported via customisation (source code changes)</v>
      </c>
      <c r="S57" s="182" t="str" cm="1">
        <f t="array" ref="S57">IFERROR(INDEX(_xlfn.UNIQUE(TRIM(_xlfn.TEXTSPLIT(Table261424[[#This Row],[Selection Options]:[Selection Options]],","))),,S$11),"")</f>
        <v xml:space="preserve">
 0%: Not currently supported</v>
      </c>
      <c r="T57" s="29" t="str" cm="1">
        <f t="array" ref="T57">IFERROR(INDEX(_xlfn.UNIQUE(TRIM(_xlfn.TEXTSPLIT(Table261424[[#This Row],[Selection Options]:[Selection Options]],","))),,T$11),"")</f>
        <v/>
      </c>
      <c r="U57" s="29" t="str" cm="1">
        <f t="array" ref="U57">IFERROR(INDEX(_xlfn.UNIQUE(TRIM(_xlfn.TEXTSPLIT(Table261424[[#This Row],[Selection Options]:[Selection Options]],","))),,U$11),"")</f>
        <v/>
      </c>
      <c r="V57" s="29" t="str" cm="1">
        <f t="array" ref="V57">IFERROR(INDEX(_xlfn.UNIQUE(TRIM(_xlfn.TEXTSPLIT(Table261424[[#This Row],[Selection Options]:[Selection Options]],","))),,V$11),"")</f>
        <v/>
      </c>
      <c r="W57" s="29" t="str" cm="1">
        <f t="array" ref="W57">IFERROR(INDEX(_xlfn.UNIQUE(TRIM(_xlfn.TEXTSPLIT(Table261424[[#This Row],[Selection Options]:[Selection Options]],","))),,W$11),"")</f>
        <v/>
      </c>
      <c r="X57" s="29" t="str" cm="1">
        <f t="array" ref="X57">IFERROR(INDEX(_xlfn.UNIQUE(TRIM(_xlfn.TEXTSPLIT(Table261424[[#This Row],[Selection Options]:[Selection Options]],","))),,X$11),"")</f>
        <v/>
      </c>
      <c r="Y57" s="29" t="str" cm="1">
        <f t="array" ref="Y57">IFERROR(INDEX(_xlfn.UNIQUE(TRIM(_xlfn.TEXTSPLIT(Table261424[[#This Row],[Selection Options]:[Selection Options]],","))),,Y$11),"")</f>
        <v/>
      </c>
      <c r="Z57" s="183" cm="1">
        <f t="array" ref="Z57">IF(Table261424[[#This Row],[1]]="","",Table261424[[#This Row],[Weight]:[Weight]]-(Table261424[[#This Row],[Weight]:[Weight]]*((_xlfn.XMATCH(Table261424[[#This Row],[1]],Table261424[[#This Row],[1]:[11]],0))-1)/(COUNTA(Table261424[[#This Row],[1]:[11]])-COUNTBLANK(Table261424[[#This Row],[1]:[11]])-1)))</f>
        <v>2.0491803278688525E-4</v>
      </c>
      <c r="AA57" s="183" cm="1">
        <f t="array" ref="AA57">IF(Table261424[[#This Row],[2]]="","",Table261424[[#This Row],[Weight]:[Weight]]-(Table261424[[#This Row],[Weight]:[Weight]]*((_xlfn.XMATCH(Table261424[[#This Row],[2]],Table261424[[#This Row],[1]:[11]],0))-1)/(COUNTA(Table261424[[#This Row],[1]:[11]])-COUNTBLANK(Table261424[[#This Row],[1]:[11]])-1)))</f>
        <v>1.5368852459016392E-4</v>
      </c>
      <c r="AB57" s="183" cm="1">
        <f t="array" ref="AB57">IF(Table261424[[#This Row],[3]]="","",Table261424[[#This Row],[Weight]:[Weight]]-(Table261424[[#This Row],[Weight]:[Weight]]*((_xlfn.XMATCH(Table261424[[#This Row],[3]],Table261424[[#This Row],[1]:[11]],0))-1)/(COUNTA(Table261424[[#This Row],[1]:[11]])-COUNTBLANK(Table261424[[#This Row],[1]:[11]])-1)))</f>
        <v>1.0245901639344262E-4</v>
      </c>
      <c r="AC57" s="183" cm="1">
        <f t="array" ref="AC57">IF(Table261424[[#This Row],[4]]="","",Table261424[[#This Row],[Weight]:[Weight]]-(Table261424[[#This Row],[Weight]:[Weight]]*((_xlfn.XMATCH(Table261424[[#This Row],[4]],Table261424[[#This Row],[1]:[11]],0))-1)/(COUNTA(Table261424[[#This Row],[1]:[11]])-COUNTBLANK(Table261424[[#This Row],[1]:[11]])-1)))</f>
        <v>5.1229508196721325E-5</v>
      </c>
      <c r="AD57" s="183" cm="1">
        <f t="array" ref="AD57">IF(Table261424[[#This Row],[5]]="","",Table261424[[#This Row],[Weight]:[Weight]]-(Table261424[[#This Row],[Weight]:[Weight]]*((_xlfn.XMATCH(Table261424[[#This Row],[5]],Table261424[[#This Row],[1]:[11]],0))-1)/(COUNTA(Table261424[[#This Row],[1]:[11]])-COUNTBLANK(Table261424[[#This Row],[1]:[11]])-1)))</f>
        <v>0</v>
      </c>
      <c r="AE57" s="183" t="str" cm="1">
        <f t="array" ref="AE57">IF(Table261424[[#This Row],[6]]="","",Table261424[[#This Row],[Weight]:[Weight]]-(Table261424[[#This Row],[Weight]:[Weight]]*((_xlfn.XMATCH(Table261424[[#This Row],[6]],Table261424[[#This Row],[1]:[11]],0))-1)/(COUNTA(Table261424[[#This Row],[1]:[11]])-COUNTBLANK(Table261424[[#This Row],[1]:[11]])-1)))</f>
        <v/>
      </c>
      <c r="AF57" s="183" t="str" cm="1">
        <f t="array" ref="AF57">IF(Table261424[[#This Row],[7]]="","",Table261424[[#This Row],[Weight]:[Weight]]-(Table261424[[#This Row],[Weight]:[Weight]]*((_xlfn.XMATCH(Table261424[[#This Row],[7]],Table261424[[#This Row],[1]:[11]],0))-1)/(COUNTA(Table261424[[#This Row],[1]:[11]])-COUNTBLANK(Table261424[[#This Row],[1]:[11]])-1)))</f>
        <v/>
      </c>
      <c r="AG57" s="183" t="str" cm="1">
        <f t="array" ref="AG57">IF(Table261424[[#This Row],[8]]="","",Table261424[[#This Row],[Weight]:[Weight]]-(Table261424[[#This Row],[Weight]:[Weight]]*((_xlfn.XMATCH(Table261424[[#This Row],[8]],Table261424[[#This Row],[1]:[11]],0))-1)/(COUNTA(Table261424[[#This Row],[1]:[11]])-COUNTBLANK(Table261424[[#This Row],[1]:[11]])-1)))</f>
        <v/>
      </c>
      <c r="AH57" s="29" t="str" cm="1">
        <f t="array" ref="AH57">IF(Table261424[[#This Row],[9]]="","",Table261424[[#This Row],[Weight]:[Weight]]-(Table261424[[#This Row],[Weight]:[Weight]]*((_xlfn.XMATCH(Table261424[[#This Row],[9]],Table261424[[#This Row],[1]:[11]],0))-1)/(COUNTA(Table261424[[#This Row],[1]:[11]])-COUNTBLANK(Table261424[[#This Row],[1]:[11]])-1)))</f>
        <v/>
      </c>
      <c r="AI57" s="29" t="str" cm="1">
        <f t="array" ref="AI57">IF(Table261424[[#This Row],[10]]="","",Table261424[[#This Row],[Weight]:[Weight]]-(Table261424[[#This Row],[Weight]:[Weight]]*((_xlfn.XMATCH(Table261424[[#This Row],[10]],Table261424[[#This Row],[1]:[11]],0))-1)/(COUNTA(Table261424[[#This Row],[1]:[11]])-COUNTBLANK(Table261424[[#This Row],[1]:[11]])-1)))</f>
        <v/>
      </c>
      <c r="AJ57" s="29" t="str" cm="1">
        <f t="array" ref="AJ57">IF(Table261424[[#This Row],[11]]="","",Table261424[[#This Row],[Weight]:[Weight]]-(Table261424[[#This Row],[Weight]:[Weight]]*((_xlfn.XMATCH(Table261424[[#This Row],[11]],Table261424[[#This Row],[1]:[11]],0))-1)/(COUNTA(Table261424[[#This Row],[1]:[11]])-COUNTBLANK(Table261424[[#This Row],[1]:[11]])-1)))</f>
        <v/>
      </c>
    </row>
    <row r="58" spans="1:36" s="167" customFormat="1" ht="82.5" customHeight="1" x14ac:dyDescent="0.2">
      <c r="A58" s="173">
        <v>46</v>
      </c>
      <c r="B58" s="158" t="s">
        <v>262</v>
      </c>
      <c r="C58" s="178" t="s">
        <v>215</v>
      </c>
      <c r="D58" s="179"/>
      <c r="E58" s="38"/>
      <c r="F58" s="38"/>
      <c r="G58" s="159" t="s">
        <v>60</v>
      </c>
      <c r="H58" s="160" cm="1">
        <f t="array" ref="H58">_xlfn.IFS(G58="","",G58="No interest",0,G58="Nice to have",1,G58="Useful",2,G58="Important",3,G58="Very important",4,G58="Critical",5,G58="Show stopper",6)</f>
        <v>6</v>
      </c>
      <c r="I58" s="161">
        <f t="shared" si="3"/>
        <v>4.0983606557377049E-4</v>
      </c>
      <c r="J58" s="157" t="s">
        <v>216</v>
      </c>
      <c r="K58" s="158" t="str" cm="1">
        <f t="array" ref="K58">_xlfn.TEXTJOIN(","&amp;CHAR(10),,TEXT(Table261424[[#This Row],[12]:[22]],"0,00%"))</f>
        <v>0,00%,
0,00%,
0,00%,
0,00%,
0,00%</v>
      </c>
      <c r="L58" s="180"/>
      <c r="M58" s="181" t="e">
        <f>I58-(I58*((MATCH(Table261424[[#This Row],[Evaluators Response (SELECT)]],Table261424[[#This Row],[1]:[11]],0)-1)/(COUNTA(Table261424[[#This Row],[1]:[11]])-COUNTBLANK(Table261424[[#This Row],[1]:[11]])-1)))</f>
        <v>#N/A</v>
      </c>
      <c r="N58" s="38"/>
      <c r="O58" s="29" t="str" cm="1">
        <f t="array" ref="O58">IFERROR(INDEX(_xlfn.UNIQUE(TRIM(_xlfn.TEXTSPLIT(Table261424[[#This Row],[Selection Options]:[Selection Options]],","))),,O$11),"")</f>
        <v>100%: Supported as delivered out of the box</v>
      </c>
      <c r="P58" s="29" t="str" cm="1">
        <f t="array" ref="P58">IFERROR(INDEX(_xlfn.UNIQUE(TRIM(_xlfn.TEXTSPLIT(Table261424[[#This Row],[Selection Options]:[Selection Options]],","))),,P$11),"")</f>
        <v xml:space="preserve">
75%: Supported via modifications (config)</v>
      </c>
      <c r="Q58" s="29" t="str" cm="1">
        <f t="array" ref="Q58">IFERROR(INDEX(_xlfn.UNIQUE(TRIM(_xlfn.TEXTSPLIT(Table261424[[#This Row],[Selection Options]:[Selection Options]],","))),,Q$11),"")</f>
        <v xml:space="preserve">
50%: Supported via a third party solution</v>
      </c>
      <c r="R58" s="29" t="str" cm="1">
        <f t="array" ref="R58">IFERROR(INDEX(_xlfn.UNIQUE(TRIM(_xlfn.TEXTSPLIT(Table261424[[#This Row],[Selection Options]:[Selection Options]],","))),,R$11),"")</f>
        <v xml:space="preserve">
25%: Supported via customisation (source code changes)</v>
      </c>
      <c r="S58" s="182" t="str" cm="1">
        <f t="array" ref="S58">IFERROR(INDEX(_xlfn.UNIQUE(TRIM(_xlfn.TEXTSPLIT(Table261424[[#This Row],[Selection Options]:[Selection Options]],","))),,S$11),"")</f>
        <v xml:space="preserve">
 0%: Not currently supported</v>
      </c>
      <c r="T58" s="29" t="str" cm="1">
        <f t="array" ref="T58">IFERROR(INDEX(_xlfn.UNIQUE(TRIM(_xlfn.TEXTSPLIT(Table261424[[#This Row],[Selection Options]:[Selection Options]],","))),,T$11),"")</f>
        <v/>
      </c>
      <c r="U58" s="29" t="str" cm="1">
        <f t="array" ref="U58">IFERROR(INDEX(_xlfn.UNIQUE(TRIM(_xlfn.TEXTSPLIT(Table261424[[#This Row],[Selection Options]:[Selection Options]],","))),,U$11),"")</f>
        <v/>
      </c>
      <c r="V58" s="29" t="str" cm="1">
        <f t="array" ref="V58">IFERROR(INDEX(_xlfn.UNIQUE(TRIM(_xlfn.TEXTSPLIT(Table261424[[#This Row],[Selection Options]:[Selection Options]],","))),,V$11),"")</f>
        <v/>
      </c>
      <c r="W58" s="29" t="str" cm="1">
        <f t="array" ref="W58">IFERROR(INDEX(_xlfn.UNIQUE(TRIM(_xlfn.TEXTSPLIT(Table261424[[#This Row],[Selection Options]:[Selection Options]],","))),,W$11),"")</f>
        <v/>
      </c>
      <c r="X58" s="29" t="str" cm="1">
        <f t="array" ref="X58">IFERROR(INDEX(_xlfn.UNIQUE(TRIM(_xlfn.TEXTSPLIT(Table261424[[#This Row],[Selection Options]:[Selection Options]],","))),,X$11),"")</f>
        <v/>
      </c>
      <c r="Y58" s="29" t="str" cm="1">
        <f t="array" ref="Y58">IFERROR(INDEX(_xlfn.UNIQUE(TRIM(_xlfn.TEXTSPLIT(Table261424[[#This Row],[Selection Options]:[Selection Options]],","))),,Y$11),"")</f>
        <v/>
      </c>
      <c r="Z58" s="183" cm="1">
        <f t="array" ref="Z58">IF(Table261424[[#This Row],[1]]="","",Table261424[[#This Row],[Weight]:[Weight]]-(Table261424[[#This Row],[Weight]:[Weight]]*((_xlfn.XMATCH(Table261424[[#This Row],[1]],Table261424[[#This Row],[1]:[11]],0))-1)/(COUNTA(Table261424[[#This Row],[1]:[11]])-COUNTBLANK(Table261424[[#This Row],[1]:[11]])-1)))</f>
        <v>4.0983606557377049E-4</v>
      </c>
      <c r="AA58" s="183" cm="1">
        <f t="array" ref="AA58">IF(Table261424[[#This Row],[2]]="","",Table261424[[#This Row],[Weight]:[Weight]]-(Table261424[[#This Row],[Weight]:[Weight]]*((_xlfn.XMATCH(Table261424[[#This Row],[2]],Table261424[[#This Row],[1]:[11]],0))-1)/(COUNTA(Table261424[[#This Row],[1]:[11]])-COUNTBLANK(Table261424[[#This Row],[1]:[11]])-1)))</f>
        <v>3.0737704918032784E-4</v>
      </c>
      <c r="AB58" s="183" cm="1">
        <f t="array" ref="AB58">IF(Table261424[[#This Row],[3]]="","",Table261424[[#This Row],[Weight]:[Weight]]-(Table261424[[#This Row],[Weight]:[Weight]]*((_xlfn.XMATCH(Table261424[[#This Row],[3]],Table261424[[#This Row],[1]:[11]],0))-1)/(COUNTA(Table261424[[#This Row],[1]:[11]])-COUNTBLANK(Table261424[[#This Row],[1]:[11]])-1)))</f>
        <v>2.0491803278688525E-4</v>
      </c>
      <c r="AC58" s="183" cm="1">
        <f t="array" ref="AC58">IF(Table261424[[#This Row],[4]]="","",Table261424[[#This Row],[Weight]:[Weight]]-(Table261424[[#This Row],[Weight]:[Weight]]*((_xlfn.XMATCH(Table261424[[#This Row],[4]],Table261424[[#This Row],[1]:[11]],0))-1)/(COUNTA(Table261424[[#This Row],[1]:[11]])-COUNTBLANK(Table261424[[#This Row],[1]:[11]])-1)))</f>
        <v>1.0245901639344265E-4</v>
      </c>
      <c r="AD58" s="183" cm="1">
        <f t="array" ref="AD58">IF(Table261424[[#This Row],[5]]="","",Table261424[[#This Row],[Weight]:[Weight]]-(Table261424[[#This Row],[Weight]:[Weight]]*((_xlfn.XMATCH(Table261424[[#This Row],[5]],Table261424[[#This Row],[1]:[11]],0))-1)/(COUNTA(Table261424[[#This Row],[1]:[11]])-COUNTBLANK(Table261424[[#This Row],[1]:[11]])-1)))</f>
        <v>0</v>
      </c>
      <c r="AE58" s="183" t="str" cm="1">
        <f t="array" ref="AE58">IF(Table261424[[#This Row],[6]]="","",Table261424[[#This Row],[Weight]:[Weight]]-(Table261424[[#This Row],[Weight]:[Weight]]*((_xlfn.XMATCH(Table261424[[#This Row],[6]],Table261424[[#This Row],[1]:[11]],0))-1)/(COUNTA(Table261424[[#This Row],[1]:[11]])-COUNTBLANK(Table261424[[#This Row],[1]:[11]])-1)))</f>
        <v/>
      </c>
      <c r="AF58" s="183" t="str" cm="1">
        <f t="array" ref="AF58">IF(Table261424[[#This Row],[7]]="","",Table261424[[#This Row],[Weight]:[Weight]]-(Table261424[[#This Row],[Weight]:[Weight]]*((_xlfn.XMATCH(Table261424[[#This Row],[7]],Table261424[[#This Row],[1]:[11]],0))-1)/(COUNTA(Table261424[[#This Row],[1]:[11]])-COUNTBLANK(Table261424[[#This Row],[1]:[11]])-1)))</f>
        <v/>
      </c>
      <c r="AG58" s="183" t="str" cm="1">
        <f t="array" ref="AG58">IF(Table261424[[#This Row],[8]]="","",Table261424[[#This Row],[Weight]:[Weight]]-(Table261424[[#This Row],[Weight]:[Weight]]*((_xlfn.XMATCH(Table261424[[#This Row],[8]],Table261424[[#This Row],[1]:[11]],0))-1)/(COUNTA(Table261424[[#This Row],[1]:[11]])-COUNTBLANK(Table261424[[#This Row],[1]:[11]])-1)))</f>
        <v/>
      </c>
      <c r="AH58" s="29" t="str" cm="1">
        <f t="array" ref="AH58">IF(Table261424[[#This Row],[9]]="","",Table261424[[#This Row],[Weight]:[Weight]]-(Table261424[[#This Row],[Weight]:[Weight]]*((_xlfn.XMATCH(Table261424[[#This Row],[9]],Table261424[[#This Row],[1]:[11]],0))-1)/(COUNTA(Table261424[[#This Row],[1]:[11]])-COUNTBLANK(Table261424[[#This Row],[1]:[11]])-1)))</f>
        <v/>
      </c>
      <c r="AI58" s="29" t="str" cm="1">
        <f t="array" ref="AI58">IF(Table261424[[#This Row],[10]]="","",Table261424[[#This Row],[Weight]:[Weight]]-(Table261424[[#This Row],[Weight]:[Weight]]*((_xlfn.XMATCH(Table261424[[#This Row],[10]],Table261424[[#This Row],[1]:[11]],0))-1)/(COUNTA(Table261424[[#This Row],[1]:[11]])-COUNTBLANK(Table261424[[#This Row],[1]:[11]])-1)))</f>
        <v/>
      </c>
      <c r="AJ58" s="29" t="str" cm="1">
        <f t="array" ref="AJ58">IF(Table261424[[#This Row],[11]]="","",Table261424[[#This Row],[Weight]:[Weight]]-(Table261424[[#This Row],[Weight]:[Weight]]*((_xlfn.XMATCH(Table261424[[#This Row],[11]],Table261424[[#This Row],[1]:[11]],0))-1)/(COUNTA(Table261424[[#This Row],[1]:[11]])-COUNTBLANK(Table261424[[#This Row],[1]:[11]])-1)))</f>
        <v/>
      </c>
    </row>
    <row r="59" spans="1:36" s="167" customFormat="1" ht="113.45" customHeight="1" x14ac:dyDescent="0.2">
      <c r="A59" s="173">
        <v>47</v>
      </c>
      <c r="B59" s="158" t="s">
        <v>263</v>
      </c>
      <c r="C59" s="178" t="s">
        <v>215</v>
      </c>
      <c r="D59" s="179"/>
      <c r="E59" s="38"/>
      <c r="F59" s="38"/>
      <c r="G59" s="159" t="s">
        <v>60</v>
      </c>
      <c r="H59" s="160" cm="1">
        <f t="array" ref="H59">_xlfn.IFS(G59="","",G59="No interest",0,G59="Nice to have",1,G59="Useful",2,G59="Important",3,G59="Very important",4,G59="Critical",5,G59="Show stopper",6)</f>
        <v>6</v>
      </c>
      <c r="I59" s="161">
        <f t="shared" si="3"/>
        <v>4.0983606557377049E-4</v>
      </c>
      <c r="J59" s="157" t="s">
        <v>216</v>
      </c>
      <c r="K59" s="158" t="str" cm="1">
        <f t="array" ref="K59">_xlfn.TEXTJOIN(","&amp;CHAR(10),,TEXT(Table261424[[#This Row],[12]:[22]],"0,00%"))</f>
        <v>0,00%,
0,00%,
0,00%,
0,00%,
0,00%</v>
      </c>
      <c r="L59" s="180"/>
      <c r="M59" s="181" t="e">
        <f>I59-(I59*((MATCH(Table261424[[#This Row],[Evaluators Response (SELECT)]],Table261424[[#This Row],[1]:[11]],0)-1)/(COUNTA(Table261424[[#This Row],[1]:[11]])-COUNTBLANK(Table261424[[#This Row],[1]:[11]])-1)))</f>
        <v>#N/A</v>
      </c>
      <c r="N59" s="38"/>
      <c r="O59" s="29" t="str" cm="1">
        <f t="array" ref="O59">IFERROR(INDEX(_xlfn.UNIQUE(TRIM(_xlfn.TEXTSPLIT(Table261424[[#This Row],[Selection Options]:[Selection Options]],","))),,O$11),"")</f>
        <v>100%: Supported as delivered out of the box</v>
      </c>
      <c r="P59" s="29" t="str" cm="1">
        <f t="array" ref="P59">IFERROR(INDEX(_xlfn.UNIQUE(TRIM(_xlfn.TEXTSPLIT(Table261424[[#This Row],[Selection Options]:[Selection Options]],","))),,P$11),"")</f>
        <v xml:space="preserve">
75%: Supported via modifications (config)</v>
      </c>
      <c r="Q59" s="29" t="str" cm="1">
        <f t="array" ref="Q59">IFERROR(INDEX(_xlfn.UNIQUE(TRIM(_xlfn.TEXTSPLIT(Table261424[[#This Row],[Selection Options]:[Selection Options]],","))),,Q$11),"")</f>
        <v xml:space="preserve">
50%: Supported via a third party solution</v>
      </c>
      <c r="R59" s="29" t="str" cm="1">
        <f t="array" ref="R59">IFERROR(INDEX(_xlfn.UNIQUE(TRIM(_xlfn.TEXTSPLIT(Table261424[[#This Row],[Selection Options]:[Selection Options]],","))),,R$11),"")</f>
        <v xml:space="preserve">
25%: Supported via customisation (source code changes)</v>
      </c>
      <c r="S59" s="182" t="str" cm="1">
        <f t="array" ref="S59">IFERROR(INDEX(_xlfn.UNIQUE(TRIM(_xlfn.TEXTSPLIT(Table261424[[#This Row],[Selection Options]:[Selection Options]],","))),,S$11),"")</f>
        <v xml:space="preserve">
 0%: Not currently supported</v>
      </c>
      <c r="T59" s="29" t="str" cm="1">
        <f t="array" ref="T59">IFERROR(INDEX(_xlfn.UNIQUE(TRIM(_xlfn.TEXTSPLIT(Table261424[[#This Row],[Selection Options]:[Selection Options]],","))),,T$11),"")</f>
        <v/>
      </c>
      <c r="U59" s="29" t="str" cm="1">
        <f t="array" ref="U59">IFERROR(INDEX(_xlfn.UNIQUE(TRIM(_xlfn.TEXTSPLIT(Table261424[[#This Row],[Selection Options]:[Selection Options]],","))),,U$11),"")</f>
        <v/>
      </c>
      <c r="V59" s="29" t="str" cm="1">
        <f t="array" ref="V59">IFERROR(INDEX(_xlfn.UNIQUE(TRIM(_xlfn.TEXTSPLIT(Table261424[[#This Row],[Selection Options]:[Selection Options]],","))),,V$11),"")</f>
        <v/>
      </c>
      <c r="W59" s="29" t="str" cm="1">
        <f t="array" ref="W59">IFERROR(INDEX(_xlfn.UNIQUE(TRIM(_xlfn.TEXTSPLIT(Table261424[[#This Row],[Selection Options]:[Selection Options]],","))),,W$11),"")</f>
        <v/>
      </c>
      <c r="X59" s="29" t="str" cm="1">
        <f t="array" ref="X59">IFERROR(INDEX(_xlfn.UNIQUE(TRIM(_xlfn.TEXTSPLIT(Table261424[[#This Row],[Selection Options]:[Selection Options]],","))),,X$11),"")</f>
        <v/>
      </c>
      <c r="Y59" s="29" t="str" cm="1">
        <f t="array" ref="Y59">IFERROR(INDEX(_xlfn.UNIQUE(TRIM(_xlfn.TEXTSPLIT(Table261424[[#This Row],[Selection Options]:[Selection Options]],","))),,Y$11),"")</f>
        <v/>
      </c>
      <c r="Z59" s="183" cm="1">
        <f t="array" ref="Z59">IF(Table261424[[#This Row],[1]]="","",Table261424[[#This Row],[Weight]:[Weight]]-(Table261424[[#This Row],[Weight]:[Weight]]*((_xlfn.XMATCH(Table261424[[#This Row],[1]],Table261424[[#This Row],[1]:[11]],0))-1)/(COUNTA(Table261424[[#This Row],[1]:[11]])-COUNTBLANK(Table261424[[#This Row],[1]:[11]])-1)))</f>
        <v>4.0983606557377049E-4</v>
      </c>
      <c r="AA59" s="183" cm="1">
        <f t="array" ref="AA59">IF(Table261424[[#This Row],[2]]="","",Table261424[[#This Row],[Weight]:[Weight]]-(Table261424[[#This Row],[Weight]:[Weight]]*((_xlfn.XMATCH(Table261424[[#This Row],[2]],Table261424[[#This Row],[1]:[11]],0))-1)/(COUNTA(Table261424[[#This Row],[1]:[11]])-COUNTBLANK(Table261424[[#This Row],[1]:[11]])-1)))</f>
        <v>3.0737704918032784E-4</v>
      </c>
      <c r="AB59" s="183" cm="1">
        <f t="array" ref="AB59">IF(Table261424[[#This Row],[3]]="","",Table261424[[#This Row],[Weight]:[Weight]]-(Table261424[[#This Row],[Weight]:[Weight]]*((_xlfn.XMATCH(Table261424[[#This Row],[3]],Table261424[[#This Row],[1]:[11]],0))-1)/(COUNTA(Table261424[[#This Row],[1]:[11]])-COUNTBLANK(Table261424[[#This Row],[1]:[11]])-1)))</f>
        <v>2.0491803278688525E-4</v>
      </c>
      <c r="AC59" s="183" cm="1">
        <f t="array" ref="AC59">IF(Table261424[[#This Row],[4]]="","",Table261424[[#This Row],[Weight]:[Weight]]-(Table261424[[#This Row],[Weight]:[Weight]]*((_xlfn.XMATCH(Table261424[[#This Row],[4]],Table261424[[#This Row],[1]:[11]],0))-1)/(COUNTA(Table261424[[#This Row],[1]:[11]])-COUNTBLANK(Table261424[[#This Row],[1]:[11]])-1)))</f>
        <v>1.0245901639344265E-4</v>
      </c>
      <c r="AD59" s="183" cm="1">
        <f t="array" ref="AD59">IF(Table261424[[#This Row],[5]]="","",Table261424[[#This Row],[Weight]:[Weight]]-(Table261424[[#This Row],[Weight]:[Weight]]*((_xlfn.XMATCH(Table261424[[#This Row],[5]],Table261424[[#This Row],[1]:[11]],0))-1)/(COUNTA(Table261424[[#This Row],[1]:[11]])-COUNTBLANK(Table261424[[#This Row],[1]:[11]])-1)))</f>
        <v>0</v>
      </c>
      <c r="AE59" s="183" t="str" cm="1">
        <f t="array" ref="AE59">IF(Table261424[[#This Row],[6]]="","",Table261424[[#This Row],[Weight]:[Weight]]-(Table261424[[#This Row],[Weight]:[Weight]]*((_xlfn.XMATCH(Table261424[[#This Row],[6]],Table261424[[#This Row],[1]:[11]],0))-1)/(COUNTA(Table261424[[#This Row],[1]:[11]])-COUNTBLANK(Table261424[[#This Row],[1]:[11]])-1)))</f>
        <v/>
      </c>
      <c r="AF59" s="183" t="str" cm="1">
        <f t="array" ref="AF59">IF(Table261424[[#This Row],[7]]="","",Table261424[[#This Row],[Weight]:[Weight]]-(Table261424[[#This Row],[Weight]:[Weight]]*((_xlfn.XMATCH(Table261424[[#This Row],[7]],Table261424[[#This Row],[1]:[11]],0))-1)/(COUNTA(Table261424[[#This Row],[1]:[11]])-COUNTBLANK(Table261424[[#This Row],[1]:[11]])-1)))</f>
        <v/>
      </c>
      <c r="AG59" s="183" t="str" cm="1">
        <f t="array" ref="AG59">IF(Table261424[[#This Row],[8]]="","",Table261424[[#This Row],[Weight]:[Weight]]-(Table261424[[#This Row],[Weight]:[Weight]]*((_xlfn.XMATCH(Table261424[[#This Row],[8]],Table261424[[#This Row],[1]:[11]],0))-1)/(COUNTA(Table261424[[#This Row],[1]:[11]])-COUNTBLANK(Table261424[[#This Row],[1]:[11]])-1)))</f>
        <v/>
      </c>
      <c r="AH59" s="29" t="str" cm="1">
        <f t="array" ref="AH59">IF(Table261424[[#This Row],[9]]="","",Table261424[[#This Row],[Weight]:[Weight]]-(Table261424[[#This Row],[Weight]:[Weight]]*((_xlfn.XMATCH(Table261424[[#This Row],[9]],Table261424[[#This Row],[1]:[11]],0))-1)/(COUNTA(Table261424[[#This Row],[1]:[11]])-COUNTBLANK(Table261424[[#This Row],[1]:[11]])-1)))</f>
        <v/>
      </c>
      <c r="AI59" s="29" t="str" cm="1">
        <f t="array" ref="AI59">IF(Table261424[[#This Row],[10]]="","",Table261424[[#This Row],[Weight]:[Weight]]-(Table261424[[#This Row],[Weight]:[Weight]]*((_xlfn.XMATCH(Table261424[[#This Row],[10]],Table261424[[#This Row],[1]:[11]],0))-1)/(COUNTA(Table261424[[#This Row],[1]:[11]])-COUNTBLANK(Table261424[[#This Row],[1]:[11]])-1)))</f>
        <v/>
      </c>
      <c r="AJ59" s="29" t="str" cm="1">
        <f t="array" ref="AJ59">IF(Table261424[[#This Row],[11]]="","",Table261424[[#This Row],[Weight]:[Weight]]-(Table261424[[#This Row],[Weight]:[Weight]]*((_xlfn.XMATCH(Table261424[[#This Row],[11]],Table261424[[#This Row],[1]:[11]],0))-1)/(COUNTA(Table261424[[#This Row],[1]:[11]])-COUNTBLANK(Table261424[[#This Row],[1]:[11]])-1)))</f>
        <v/>
      </c>
    </row>
    <row r="60" spans="1:36" s="167" customFormat="1" ht="108" x14ac:dyDescent="0.2">
      <c r="A60" s="173">
        <v>48</v>
      </c>
      <c r="B60" s="158" t="s">
        <v>264</v>
      </c>
      <c r="C60" s="178" t="s">
        <v>215</v>
      </c>
      <c r="D60" s="179"/>
      <c r="E60" s="38"/>
      <c r="F60" s="38"/>
      <c r="G60" s="159" t="s">
        <v>188</v>
      </c>
      <c r="H60" s="160" cm="1">
        <f t="array" ref="H60">_xlfn.IFS(G60="","",G60="No interest",0,G60="Nice to have",1,G60="Useful",2,G60="Important",3,G60="Very important",4,G60="Critical",5,G60="Show stopper",6)</f>
        <v>5</v>
      </c>
      <c r="I60" s="161">
        <f t="shared" si="3"/>
        <v>3.4153005464480874E-4</v>
      </c>
      <c r="J60" s="157" t="s">
        <v>216</v>
      </c>
      <c r="K60" s="158" t="str" cm="1">
        <f t="array" ref="K60">_xlfn.TEXTJOIN(","&amp;CHAR(10),,TEXT(Table261424[[#This Row],[12]:[22]],"0,00%"))</f>
        <v>0,00%,
0,00%,
0,00%,
0,00%,
0,00%</v>
      </c>
      <c r="L60" s="180"/>
      <c r="M60" s="181" t="e">
        <f>I60-(I60*((MATCH(Table261424[[#This Row],[Evaluators Response (SELECT)]],Table261424[[#This Row],[1]:[11]],0)-1)/(COUNTA(Table261424[[#This Row],[1]:[11]])-COUNTBLANK(Table261424[[#This Row],[1]:[11]])-1)))</f>
        <v>#N/A</v>
      </c>
      <c r="N60" s="38"/>
      <c r="O60" s="29" t="str" cm="1">
        <f t="array" ref="O60">IFERROR(INDEX(_xlfn.UNIQUE(TRIM(_xlfn.TEXTSPLIT(Table261424[[#This Row],[Selection Options]:[Selection Options]],","))),,O$11),"")</f>
        <v>100%: Supported as delivered out of the box</v>
      </c>
      <c r="P60" s="29" t="str" cm="1">
        <f t="array" ref="P60">IFERROR(INDEX(_xlfn.UNIQUE(TRIM(_xlfn.TEXTSPLIT(Table261424[[#This Row],[Selection Options]:[Selection Options]],","))),,P$11),"")</f>
        <v xml:space="preserve">
75%: Supported via modifications (config)</v>
      </c>
      <c r="Q60" s="29" t="str" cm="1">
        <f t="array" ref="Q60">IFERROR(INDEX(_xlfn.UNIQUE(TRIM(_xlfn.TEXTSPLIT(Table261424[[#This Row],[Selection Options]:[Selection Options]],","))),,Q$11),"")</f>
        <v xml:space="preserve">
50%: Supported via a third party solution</v>
      </c>
      <c r="R60" s="29" t="str" cm="1">
        <f t="array" ref="R60">IFERROR(INDEX(_xlfn.UNIQUE(TRIM(_xlfn.TEXTSPLIT(Table261424[[#This Row],[Selection Options]:[Selection Options]],","))),,R$11),"")</f>
        <v xml:space="preserve">
25%: Supported via customisation (source code changes)</v>
      </c>
      <c r="S60" s="182" t="str" cm="1">
        <f t="array" ref="S60">IFERROR(INDEX(_xlfn.UNIQUE(TRIM(_xlfn.TEXTSPLIT(Table261424[[#This Row],[Selection Options]:[Selection Options]],","))),,S$11),"")</f>
        <v xml:space="preserve">
 0%: Not currently supported</v>
      </c>
      <c r="T60" s="29" t="str" cm="1">
        <f t="array" ref="T60">IFERROR(INDEX(_xlfn.UNIQUE(TRIM(_xlfn.TEXTSPLIT(Table261424[[#This Row],[Selection Options]:[Selection Options]],","))),,T$11),"")</f>
        <v/>
      </c>
      <c r="U60" s="29" t="str" cm="1">
        <f t="array" ref="U60">IFERROR(INDEX(_xlfn.UNIQUE(TRIM(_xlfn.TEXTSPLIT(Table261424[[#This Row],[Selection Options]:[Selection Options]],","))),,U$11),"")</f>
        <v/>
      </c>
      <c r="V60" s="29" t="str" cm="1">
        <f t="array" ref="V60">IFERROR(INDEX(_xlfn.UNIQUE(TRIM(_xlfn.TEXTSPLIT(Table261424[[#This Row],[Selection Options]:[Selection Options]],","))),,V$11),"")</f>
        <v/>
      </c>
      <c r="W60" s="29" t="str" cm="1">
        <f t="array" ref="W60">IFERROR(INDEX(_xlfn.UNIQUE(TRIM(_xlfn.TEXTSPLIT(Table261424[[#This Row],[Selection Options]:[Selection Options]],","))),,W$11),"")</f>
        <v/>
      </c>
      <c r="X60" s="29" t="str" cm="1">
        <f t="array" ref="X60">IFERROR(INDEX(_xlfn.UNIQUE(TRIM(_xlfn.TEXTSPLIT(Table261424[[#This Row],[Selection Options]:[Selection Options]],","))),,X$11),"")</f>
        <v/>
      </c>
      <c r="Y60" s="29" t="str" cm="1">
        <f t="array" ref="Y60">IFERROR(INDEX(_xlfn.UNIQUE(TRIM(_xlfn.TEXTSPLIT(Table261424[[#This Row],[Selection Options]:[Selection Options]],","))),,Y$11),"")</f>
        <v/>
      </c>
      <c r="Z60" s="183" cm="1">
        <f t="array" ref="Z60">IF(Table261424[[#This Row],[1]]="","",Table261424[[#This Row],[Weight]:[Weight]]-(Table261424[[#This Row],[Weight]:[Weight]]*((_xlfn.XMATCH(Table261424[[#This Row],[1]],Table261424[[#This Row],[1]:[11]],0))-1)/(COUNTA(Table261424[[#This Row],[1]:[11]])-COUNTBLANK(Table261424[[#This Row],[1]:[11]])-1)))</f>
        <v>3.4153005464480874E-4</v>
      </c>
      <c r="AA60" s="183" cm="1">
        <f t="array" ref="AA60">IF(Table261424[[#This Row],[2]]="","",Table261424[[#This Row],[Weight]:[Weight]]-(Table261424[[#This Row],[Weight]:[Weight]]*((_xlfn.XMATCH(Table261424[[#This Row],[2]],Table261424[[#This Row],[1]:[11]],0))-1)/(COUNTA(Table261424[[#This Row],[1]:[11]])-COUNTBLANK(Table261424[[#This Row],[1]:[11]])-1)))</f>
        <v>2.5614754098360657E-4</v>
      </c>
      <c r="AB60" s="183" cm="1">
        <f t="array" ref="AB60">IF(Table261424[[#This Row],[3]]="","",Table261424[[#This Row],[Weight]:[Weight]]-(Table261424[[#This Row],[Weight]:[Weight]]*((_xlfn.XMATCH(Table261424[[#This Row],[3]],Table261424[[#This Row],[1]:[11]],0))-1)/(COUNTA(Table261424[[#This Row],[1]:[11]])-COUNTBLANK(Table261424[[#This Row],[1]:[11]])-1)))</f>
        <v>1.7076502732240437E-4</v>
      </c>
      <c r="AC60" s="183" cm="1">
        <f t="array" ref="AC60">IF(Table261424[[#This Row],[4]]="","",Table261424[[#This Row],[Weight]:[Weight]]-(Table261424[[#This Row],[Weight]:[Weight]]*((_xlfn.XMATCH(Table261424[[#This Row],[4]],Table261424[[#This Row],[1]:[11]],0))-1)/(COUNTA(Table261424[[#This Row],[1]:[11]])-COUNTBLANK(Table261424[[#This Row],[1]:[11]])-1)))</f>
        <v>8.5382513661202172E-5</v>
      </c>
      <c r="AD60" s="183" cm="1">
        <f t="array" ref="AD60">IF(Table261424[[#This Row],[5]]="","",Table261424[[#This Row],[Weight]:[Weight]]-(Table261424[[#This Row],[Weight]:[Weight]]*((_xlfn.XMATCH(Table261424[[#This Row],[5]],Table261424[[#This Row],[1]:[11]],0))-1)/(COUNTA(Table261424[[#This Row],[1]:[11]])-COUNTBLANK(Table261424[[#This Row],[1]:[11]])-1)))</f>
        <v>0</v>
      </c>
      <c r="AE60" s="183" t="str" cm="1">
        <f t="array" ref="AE60">IF(Table261424[[#This Row],[6]]="","",Table261424[[#This Row],[Weight]:[Weight]]-(Table261424[[#This Row],[Weight]:[Weight]]*((_xlfn.XMATCH(Table261424[[#This Row],[6]],Table261424[[#This Row],[1]:[11]],0))-1)/(COUNTA(Table261424[[#This Row],[1]:[11]])-COUNTBLANK(Table261424[[#This Row],[1]:[11]])-1)))</f>
        <v/>
      </c>
      <c r="AF60" s="183" t="str" cm="1">
        <f t="array" ref="AF60">IF(Table261424[[#This Row],[7]]="","",Table261424[[#This Row],[Weight]:[Weight]]-(Table261424[[#This Row],[Weight]:[Weight]]*((_xlfn.XMATCH(Table261424[[#This Row],[7]],Table261424[[#This Row],[1]:[11]],0))-1)/(COUNTA(Table261424[[#This Row],[1]:[11]])-COUNTBLANK(Table261424[[#This Row],[1]:[11]])-1)))</f>
        <v/>
      </c>
      <c r="AG60" s="183" t="str" cm="1">
        <f t="array" ref="AG60">IF(Table261424[[#This Row],[8]]="","",Table261424[[#This Row],[Weight]:[Weight]]-(Table261424[[#This Row],[Weight]:[Weight]]*((_xlfn.XMATCH(Table261424[[#This Row],[8]],Table261424[[#This Row],[1]:[11]],0))-1)/(COUNTA(Table261424[[#This Row],[1]:[11]])-COUNTBLANK(Table261424[[#This Row],[1]:[11]])-1)))</f>
        <v/>
      </c>
      <c r="AH60" s="29" t="str" cm="1">
        <f t="array" ref="AH60">IF(Table261424[[#This Row],[9]]="","",Table261424[[#This Row],[Weight]:[Weight]]-(Table261424[[#This Row],[Weight]:[Weight]]*((_xlfn.XMATCH(Table261424[[#This Row],[9]],Table261424[[#This Row],[1]:[11]],0))-1)/(COUNTA(Table261424[[#This Row],[1]:[11]])-COUNTBLANK(Table261424[[#This Row],[1]:[11]])-1)))</f>
        <v/>
      </c>
      <c r="AI60" s="29" t="str" cm="1">
        <f t="array" ref="AI60">IF(Table261424[[#This Row],[10]]="","",Table261424[[#This Row],[Weight]:[Weight]]-(Table261424[[#This Row],[Weight]:[Weight]]*((_xlfn.XMATCH(Table261424[[#This Row],[10]],Table261424[[#This Row],[1]:[11]],0))-1)/(COUNTA(Table261424[[#This Row],[1]:[11]])-COUNTBLANK(Table261424[[#This Row],[1]:[11]])-1)))</f>
        <v/>
      </c>
      <c r="AJ60" s="29" t="str" cm="1">
        <f t="array" ref="AJ60">IF(Table261424[[#This Row],[11]]="","",Table261424[[#This Row],[Weight]:[Weight]]-(Table261424[[#This Row],[Weight]:[Weight]]*((_xlfn.XMATCH(Table261424[[#This Row],[11]],Table261424[[#This Row],[1]:[11]],0))-1)/(COUNTA(Table261424[[#This Row],[1]:[11]])-COUNTBLANK(Table261424[[#This Row],[1]:[11]])-1)))</f>
        <v/>
      </c>
    </row>
    <row r="61" spans="1:36" s="167" customFormat="1" ht="96" x14ac:dyDescent="0.2">
      <c r="A61" s="173">
        <v>49</v>
      </c>
      <c r="B61" s="158" t="s">
        <v>265</v>
      </c>
      <c r="C61" s="178" t="s">
        <v>215</v>
      </c>
      <c r="D61" s="179"/>
      <c r="E61" s="38"/>
      <c r="F61" s="38"/>
      <c r="G61" s="159" t="s">
        <v>188</v>
      </c>
      <c r="H61" s="160" cm="1">
        <f t="array" ref="H61">_xlfn.IFS(G61="","",G61="No interest",0,G61="Nice to have",1,G61="Useful",2,G61="Important",3,G61="Very important",4,G61="Critical",5,G61="Show stopper",6)</f>
        <v>5</v>
      </c>
      <c r="I61" s="161">
        <f t="shared" si="3"/>
        <v>3.4153005464480874E-4</v>
      </c>
      <c r="J61" s="157" t="s">
        <v>216</v>
      </c>
      <c r="K61" s="158" t="str" cm="1">
        <f t="array" ref="K61">_xlfn.TEXTJOIN(","&amp;CHAR(10),,TEXT(Table261424[[#This Row],[12]:[22]],"0,00%"))</f>
        <v>0,00%,
0,00%,
0,00%,
0,00%,
0,00%</v>
      </c>
      <c r="L61" s="180"/>
      <c r="M61" s="181" t="e">
        <f>I61-(I61*((MATCH(Table261424[[#This Row],[Evaluators Response (SELECT)]],Table261424[[#This Row],[1]:[11]],0)-1)/(COUNTA(Table261424[[#This Row],[1]:[11]])-COUNTBLANK(Table261424[[#This Row],[1]:[11]])-1)))</f>
        <v>#N/A</v>
      </c>
      <c r="N61" s="38"/>
      <c r="O61" s="29" t="str" cm="1">
        <f t="array" ref="O61">IFERROR(INDEX(_xlfn.UNIQUE(TRIM(_xlfn.TEXTSPLIT(Table261424[[#This Row],[Selection Options]:[Selection Options]],","))),,O$11),"")</f>
        <v>100%: Supported as delivered out of the box</v>
      </c>
      <c r="P61" s="29" t="str" cm="1">
        <f t="array" ref="P61">IFERROR(INDEX(_xlfn.UNIQUE(TRIM(_xlfn.TEXTSPLIT(Table261424[[#This Row],[Selection Options]:[Selection Options]],","))),,P$11),"")</f>
        <v xml:space="preserve">
75%: Supported via modifications (config)</v>
      </c>
      <c r="Q61" s="29" t="str" cm="1">
        <f t="array" ref="Q61">IFERROR(INDEX(_xlfn.UNIQUE(TRIM(_xlfn.TEXTSPLIT(Table261424[[#This Row],[Selection Options]:[Selection Options]],","))),,Q$11),"")</f>
        <v xml:space="preserve">
50%: Supported via a third party solution</v>
      </c>
      <c r="R61" s="29" t="str" cm="1">
        <f t="array" ref="R61">IFERROR(INDEX(_xlfn.UNIQUE(TRIM(_xlfn.TEXTSPLIT(Table261424[[#This Row],[Selection Options]:[Selection Options]],","))),,R$11),"")</f>
        <v xml:space="preserve">
25%: Supported via customisation (source code changes)</v>
      </c>
      <c r="S61" s="182" t="str" cm="1">
        <f t="array" ref="S61">IFERROR(INDEX(_xlfn.UNIQUE(TRIM(_xlfn.TEXTSPLIT(Table261424[[#This Row],[Selection Options]:[Selection Options]],","))),,S$11),"")</f>
        <v xml:space="preserve">
 0%: Not currently supported</v>
      </c>
      <c r="T61" s="29" t="str" cm="1">
        <f t="array" ref="T61">IFERROR(INDEX(_xlfn.UNIQUE(TRIM(_xlfn.TEXTSPLIT(Table261424[[#This Row],[Selection Options]:[Selection Options]],","))),,T$11),"")</f>
        <v/>
      </c>
      <c r="U61" s="29" t="str" cm="1">
        <f t="array" ref="U61">IFERROR(INDEX(_xlfn.UNIQUE(TRIM(_xlfn.TEXTSPLIT(Table261424[[#This Row],[Selection Options]:[Selection Options]],","))),,U$11),"")</f>
        <v/>
      </c>
      <c r="V61" s="29" t="str" cm="1">
        <f t="array" ref="V61">IFERROR(INDEX(_xlfn.UNIQUE(TRIM(_xlfn.TEXTSPLIT(Table261424[[#This Row],[Selection Options]:[Selection Options]],","))),,V$11),"")</f>
        <v/>
      </c>
      <c r="W61" s="29" t="str" cm="1">
        <f t="array" ref="W61">IFERROR(INDEX(_xlfn.UNIQUE(TRIM(_xlfn.TEXTSPLIT(Table261424[[#This Row],[Selection Options]:[Selection Options]],","))),,W$11),"")</f>
        <v/>
      </c>
      <c r="X61" s="29" t="str" cm="1">
        <f t="array" ref="X61">IFERROR(INDEX(_xlfn.UNIQUE(TRIM(_xlfn.TEXTSPLIT(Table261424[[#This Row],[Selection Options]:[Selection Options]],","))),,X$11),"")</f>
        <v/>
      </c>
      <c r="Y61" s="29" t="str" cm="1">
        <f t="array" ref="Y61">IFERROR(INDEX(_xlfn.UNIQUE(TRIM(_xlfn.TEXTSPLIT(Table261424[[#This Row],[Selection Options]:[Selection Options]],","))),,Y$11),"")</f>
        <v/>
      </c>
      <c r="Z61" s="183" cm="1">
        <f t="array" ref="Z61">IF(Table261424[[#This Row],[1]]="","",Table261424[[#This Row],[Weight]:[Weight]]-(Table261424[[#This Row],[Weight]:[Weight]]*((_xlfn.XMATCH(Table261424[[#This Row],[1]],Table261424[[#This Row],[1]:[11]],0))-1)/(COUNTA(Table261424[[#This Row],[1]:[11]])-COUNTBLANK(Table261424[[#This Row],[1]:[11]])-1)))</f>
        <v>3.4153005464480874E-4</v>
      </c>
      <c r="AA61" s="183" cm="1">
        <f t="array" ref="AA61">IF(Table261424[[#This Row],[2]]="","",Table261424[[#This Row],[Weight]:[Weight]]-(Table261424[[#This Row],[Weight]:[Weight]]*((_xlfn.XMATCH(Table261424[[#This Row],[2]],Table261424[[#This Row],[1]:[11]],0))-1)/(COUNTA(Table261424[[#This Row],[1]:[11]])-COUNTBLANK(Table261424[[#This Row],[1]:[11]])-1)))</f>
        <v>2.5614754098360657E-4</v>
      </c>
      <c r="AB61" s="183" cm="1">
        <f t="array" ref="AB61">IF(Table261424[[#This Row],[3]]="","",Table261424[[#This Row],[Weight]:[Weight]]-(Table261424[[#This Row],[Weight]:[Weight]]*((_xlfn.XMATCH(Table261424[[#This Row],[3]],Table261424[[#This Row],[1]:[11]],0))-1)/(COUNTA(Table261424[[#This Row],[1]:[11]])-COUNTBLANK(Table261424[[#This Row],[1]:[11]])-1)))</f>
        <v>1.7076502732240437E-4</v>
      </c>
      <c r="AC61" s="183" cm="1">
        <f t="array" ref="AC61">IF(Table261424[[#This Row],[4]]="","",Table261424[[#This Row],[Weight]:[Weight]]-(Table261424[[#This Row],[Weight]:[Weight]]*((_xlfn.XMATCH(Table261424[[#This Row],[4]],Table261424[[#This Row],[1]:[11]],0))-1)/(COUNTA(Table261424[[#This Row],[1]:[11]])-COUNTBLANK(Table261424[[#This Row],[1]:[11]])-1)))</f>
        <v>8.5382513661202172E-5</v>
      </c>
      <c r="AD61" s="183" cm="1">
        <f t="array" ref="AD61">IF(Table261424[[#This Row],[5]]="","",Table261424[[#This Row],[Weight]:[Weight]]-(Table261424[[#This Row],[Weight]:[Weight]]*((_xlfn.XMATCH(Table261424[[#This Row],[5]],Table261424[[#This Row],[1]:[11]],0))-1)/(COUNTA(Table261424[[#This Row],[1]:[11]])-COUNTBLANK(Table261424[[#This Row],[1]:[11]])-1)))</f>
        <v>0</v>
      </c>
      <c r="AE61" s="183" t="str" cm="1">
        <f t="array" ref="AE61">IF(Table261424[[#This Row],[6]]="","",Table261424[[#This Row],[Weight]:[Weight]]-(Table261424[[#This Row],[Weight]:[Weight]]*((_xlfn.XMATCH(Table261424[[#This Row],[6]],Table261424[[#This Row],[1]:[11]],0))-1)/(COUNTA(Table261424[[#This Row],[1]:[11]])-COUNTBLANK(Table261424[[#This Row],[1]:[11]])-1)))</f>
        <v/>
      </c>
      <c r="AF61" s="183" t="str" cm="1">
        <f t="array" ref="AF61">IF(Table261424[[#This Row],[7]]="","",Table261424[[#This Row],[Weight]:[Weight]]-(Table261424[[#This Row],[Weight]:[Weight]]*((_xlfn.XMATCH(Table261424[[#This Row],[7]],Table261424[[#This Row],[1]:[11]],0))-1)/(COUNTA(Table261424[[#This Row],[1]:[11]])-COUNTBLANK(Table261424[[#This Row],[1]:[11]])-1)))</f>
        <v/>
      </c>
      <c r="AG61" s="183" t="str" cm="1">
        <f t="array" ref="AG61">IF(Table261424[[#This Row],[8]]="","",Table261424[[#This Row],[Weight]:[Weight]]-(Table261424[[#This Row],[Weight]:[Weight]]*((_xlfn.XMATCH(Table261424[[#This Row],[8]],Table261424[[#This Row],[1]:[11]],0))-1)/(COUNTA(Table261424[[#This Row],[1]:[11]])-COUNTBLANK(Table261424[[#This Row],[1]:[11]])-1)))</f>
        <v/>
      </c>
      <c r="AH61" s="29" t="str" cm="1">
        <f t="array" ref="AH61">IF(Table261424[[#This Row],[9]]="","",Table261424[[#This Row],[Weight]:[Weight]]-(Table261424[[#This Row],[Weight]:[Weight]]*((_xlfn.XMATCH(Table261424[[#This Row],[9]],Table261424[[#This Row],[1]:[11]],0))-1)/(COUNTA(Table261424[[#This Row],[1]:[11]])-COUNTBLANK(Table261424[[#This Row],[1]:[11]])-1)))</f>
        <v/>
      </c>
      <c r="AI61" s="29" t="str" cm="1">
        <f t="array" ref="AI61">IF(Table261424[[#This Row],[10]]="","",Table261424[[#This Row],[Weight]:[Weight]]-(Table261424[[#This Row],[Weight]:[Weight]]*((_xlfn.XMATCH(Table261424[[#This Row],[10]],Table261424[[#This Row],[1]:[11]],0))-1)/(COUNTA(Table261424[[#This Row],[1]:[11]])-COUNTBLANK(Table261424[[#This Row],[1]:[11]])-1)))</f>
        <v/>
      </c>
      <c r="AJ61" s="29" t="str" cm="1">
        <f t="array" ref="AJ61">IF(Table261424[[#This Row],[11]]="","",Table261424[[#This Row],[Weight]:[Weight]]-(Table261424[[#This Row],[Weight]:[Weight]]*((_xlfn.XMATCH(Table261424[[#This Row],[11]],Table261424[[#This Row],[1]:[11]],0))-1)/(COUNTA(Table261424[[#This Row],[1]:[11]])-COUNTBLANK(Table261424[[#This Row],[1]:[11]])-1)))</f>
        <v/>
      </c>
    </row>
    <row r="62" spans="1:36" s="167" customFormat="1" ht="81" customHeight="1" x14ac:dyDescent="0.2">
      <c r="A62" s="173">
        <v>50</v>
      </c>
      <c r="B62" s="158" t="s">
        <v>266</v>
      </c>
      <c r="C62" s="178" t="s">
        <v>215</v>
      </c>
      <c r="D62" s="179"/>
      <c r="E62" s="38"/>
      <c r="F62" s="38"/>
      <c r="G62" s="159" t="s">
        <v>188</v>
      </c>
      <c r="H62" s="160" cm="1">
        <f t="array" ref="H62">_xlfn.IFS(G62="","",G62="No interest",0,G62="Nice to have",1,G62="Useful",2,G62="Important",3,G62="Very important",4,G62="Critical",5,G62="Show stopper",6)</f>
        <v>5</v>
      </c>
      <c r="I62" s="161">
        <f t="shared" si="3"/>
        <v>3.4153005464480874E-4</v>
      </c>
      <c r="J62" s="157" t="s">
        <v>216</v>
      </c>
      <c r="K62" s="158" t="str" cm="1">
        <f t="array" ref="K62">_xlfn.TEXTJOIN(","&amp;CHAR(10),,TEXT(Table261424[[#This Row],[12]:[22]],"0,00%"))</f>
        <v>0,00%,
0,00%,
0,00%,
0,00%,
0,00%</v>
      </c>
      <c r="L62" s="180"/>
      <c r="M62" s="181" t="e">
        <f>I62-(I62*((MATCH(Table261424[[#This Row],[Evaluators Response (SELECT)]],Table261424[[#This Row],[1]:[11]],0)-1)/(COUNTA(Table261424[[#This Row],[1]:[11]])-COUNTBLANK(Table261424[[#This Row],[1]:[11]])-1)))</f>
        <v>#N/A</v>
      </c>
      <c r="N62" s="38"/>
      <c r="O62" s="29" t="str" cm="1">
        <f t="array" ref="O62">IFERROR(INDEX(_xlfn.UNIQUE(TRIM(_xlfn.TEXTSPLIT(Table261424[[#This Row],[Selection Options]:[Selection Options]],","))),,O$11),"")</f>
        <v>100%: Supported as delivered out of the box</v>
      </c>
      <c r="P62" s="29" t="str" cm="1">
        <f t="array" ref="P62">IFERROR(INDEX(_xlfn.UNIQUE(TRIM(_xlfn.TEXTSPLIT(Table261424[[#This Row],[Selection Options]:[Selection Options]],","))),,P$11),"")</f>
        <v xml:space="preserve">
75%: Supported via modifications (config)</v>
      </c>
      <c r="Q62" s="29" t="str" cm="1">
        <f t="array" ref="Q62">IFERROR(INDEX(_xlfn.UNIQUE(TRIM(_xlfn.TEXTSPLIT(Table261424[[#This Row],[Selection Options]:[Selection Options]],","))),,Q$11),"")</f>
        <v xml:space="preserve">
50%: Supported via a third party solution</v>
      </c>
      <c r="R62" s="29" t="str" cm="1">
        <f t="array" ref="R62">IFERROR(INDEX(_xlfn.UNIQUE(TRIM(_xlfn.TEXTSPLIT(Table261424[[#This Row],[Selection Options]:[Selection Options]],","))),,R$11),"")</f>
        <v xml:space="preserve">
25%: Supported via customisation (source code changes)</v>
      </c>
      <c r="S62" s="182" t="str" cm="1">
        <f t="array" ref="S62">IFERROR(INDEX(_xlfn.UNIQUE(TRIM(_xlfn.TEXTSPLIT(Table261424[[#This Row],[Selection Options]:[Selection Options]],","))),,S$11),"")</f>
        <v xml:space="preserve">
 0%: Not currently supported</v>
      </c>
      <c r="T62" s="29" t="str" cm="1">
        <f t="array" ref="T62">IFERROR(INDEX(_xlfn.UNIQUE(TRIM(_xlfn.TEXTSPLIT(Table261424[[#This Row],[Selection Options]:[Selection Options]],","))),,T$11),"")</f>
        <v/>
      </c>
      <c r="U62" s="29" t="str" cm="1">
        <f t="array" ref="U62">IFERROR(INDEX(_xlfn.UNIQUE(TRIM(_xlfn.TEXTSPLIT(Table261424[[#This Row],[Selection Options]:[Selection Options]],","))),,U$11),"")</f>
        <v/>
      </c>
      <c r="V62" s="29" t="str" cm="1">
        <f t="array" ref="V62">IFERROR(INDEX(_xlfn.UNIQUE(TRIM(_xlfn.TEXTSPLIT(Table261424[[#This Row],[Selection Options]:[Selection Options]],","))),,V$11),"")</f>
        <v/>
      </c>
      <c r="W62" s="29" t="str" cm="1">
        <f t="array" ref="W62">IFERROR(INDEX(_xlfn.UNIQUE(TRIM(_xlfn.TEXTSPLIT(Table261424[[#This Row],[Selection Options]:[Selection Options]],","))),,W$11),"")</f>
        <v/>
      </c>
      <c r="X62" s="29" t="str" cm="1">
        <f t="array" ref="X62">IFERROR(INDEX(_xlfn.UNIQUE(TRIM(_xlfn.TEXTSPLIT(Table261424[[#This Row],[Selection Options]:[Selection Options]],","))),,X$11),"")</f>
        <v/>
      </c>
      <c r="Y62" s="29" t="str" cm="1">
        <f t="array" ref="Y62">IFERROR(INDEX(_xlfn.UNIQUE(TRIM(_xlfn.TEXTSPLIT(Table261424[[#This Row],[Selection Options]:[Selection Options]],","))),,Y$11),"")</f>
        <v/>
      </c>
      <c r="Z62" s="183" cm="1">
        <f t="array" ref="Z62">IF(Table261424[[#This Row],[1]]="","",Table261424[[#This Row],[Weight]:[Weight]]-(Table261424[[#This Row],[Weight]:[Weight]]*((_xlfn.XMATCH(Table261424[[#This Row],[1]],Table261424[[#This Row],[1]:[11]],0))-1)/(COUNTA(Table261424[[#This Row],[1]:[11]])-COUNTBLANK(Table261424[[#This Row],[1]:[11]])-1)))</f>
        <v>3.4153005464480874E-4</v>
      </c>
      <c r="AA62" s="183" cm="1">
        <f t="array" ref="AA62">IF(Table261424[[#This Row],[2]]="","",Table261424[[#This Row],[Weight]:[Weight]]-(Table261424[[#This Row],[Weight]:[Weight]]*((_xlfn.XMATCH(Table261424[[#This Row],[2]],Table261424[[#This Row],[1]:[11]],0))-1)/(COUNTA(Table261424[[#This Row],[1]:[11]])-COUNTBLANK(Table261424[[#This Row],[1]:[11]])-1)))</f>
        <v>2.5614754098360657E-4</v>
      </c>
      <c r="AB62" s="183" cm="1">
        <f t="array" ref="AB62">IF(Table261424[[#This Row],[3]]="","",Table261424[[#This Row],[Weight]:[Weight]]-(Table261424[[#This Row],[Weight]:[Weight]]*((_xlfn.XMATCH(Table261424[[#This Row],[3]],Table261424[[#This Row],[1]:[11]],0))-1)/(COUNTA(Table261424[[#This Row],[1]:[11]])-COUNTBLANK(Table261424[[#This Row],[1]:[11]])-1)))</f>
        <v>1.7076502732240437E-4</v>
      </c>
      <c r="AC62" s="183" cm="1">
        <f t="array" ref="AC62">IF(Table261424[[#This Row],[4]]="","",Table261424[[#This Row],[Weight]:[Weight]]-(Table261424[[#This Row],[Weight]:[Weight]]*((_xlfn.XMATCH(Table261424[[#This Row],[4]],Table261424[[#This Row],[1]:[11]],0))-1)/(COUNTA(Table261424[[#This Row],[1]:[11]])-COUNTBLANK(Table261424[[#This Row],[1]:[11]])-1)))</f>
        <v>8.5382513661202172E-5</v>
      </c>
      <c r="AD62" s="183" cm="1">
        <f t="array" ref="AD62">IF(Table261424[[#This Row],[5]]="","",Table261424[[#This Row],[Weight]:[Weight]]-(Table261424[[#This Row],[Weight]:[Weight]]*((_xlfn.XMATCH(Table261424[[#This Row],[5]],Table261424[[#This Row],[1]:[11]],0))-1)/(COUNTA(Table261424[[#This Row],[1]:[11]])-COUNTBLANK(Table261424[[#This Row],[1]:[11]])-1)))</f>
        <v>0</v>
      </c>
      <c r="AE62" s="183" t="str" cm="1">
        <f t="array" ref="AE62">IF(Table261424[[#This Row],[6]]="","",Table261424[[#This Row],[Weight]:[Weight]]-(Table261424[[#This Row],[Weight]:[Weight]]*((_xlfn.XMATCH(Table261424[[#This Row],[6]],Table261424[[#This Row],[1]:[11]],0))-1)/(COUNTA(Table261424[[#This Row],[1]:[11]])-COUNTBLANK(Table261424[[#This Row],[1]:[11]])-1)))</f>
        <v/>
      </c>
      <c r="AF62" s="183" t="str" cm="1">
        <f t="array" ref="AF62">IF(Table261424[[#This Row],[7]]="","",Table261424[[#This Row],[Weight]:[Weight]]-(Table261424[[#This Row],[Weight]:[Weight]]*((_xlfn.XMATCH(Table261424[[#This Row],[7]],Table261424[[#This Row],[1]:[11]],0))-1)/(COUNTA(Table261424[[#This Row],[1]:[11]])-COUNTBLANK(Table261424[[#This Row],[1]:[11]])-1)))</f>
        <v/>
      </c>
      <c r="AG62" s="183" t="str" cm="1">
        <f t="array" ref="AG62">IF(Table261424[[#This Row],[8]]="","",Table261424[[#This Row],[Weight]:[Weight]]-(Table261424[[#This Row],[Weight]:[Weight]]*((_xlfn.XMATCH(Table261424[[#This Row],[8]],Table261424[[#This Row],[1]:[11]],0))-1)/(COUNTA(Table261424[[#This Row],[1]:[11]])-COUNTBLANK(Table261424[[#This Row],[1]:[11]])-1)))</f>
        <v/>
      </c>
      <c r="AH62" s="29" t="str" cm="1">
        <f t="array" ref="AH62">IF(Table261424[[#This Row],[9]]="","",Table261424[[#This Row],[Weight]:[Weight]]-(Table261424[[#This Row],[Weight]:[Weight]]*((_xlfn.XMATCH(Table261424[[#This Row],[9]],Table261424[[#This Row],[1]:[11]],0))-1)/(COUNTA(Table261424[[#This Row],[1]:[11]])-COUNTBLANK(Table261424[[#This Row],[1]:[11]])-1)))</f>
        <v/>
      </c>
      <c r="AI62" s="29" t="str" cm="1">
        <f t="array" ref="AI62">IF(Table261424[[#This Row],[10]]="","",Table261424[[#This Row],[Weight]:[Weight]]-(Table261424[[#This Row],[Weight]:[Weight]]*((_xlfn.XMATCH(Table261424[[#This Row],[10]],Table261424[[#This Row],[1]:[11]],0))-1)/(COUNTA(Table261424[[#This Row],[1]:[11]])-COUNTBLANK(Table261424[[#This Row],[1]:[11]])-1)))</f>
        <v/>
      </c>
      <c r="AJ62" s="29" t="str" cm="1">
        <f t="array" ref="AJ62">IF(Table261424[[#This Row],[11]]="","",Table261424[[#This Row],[Weight]:[Weight]]-(Table261424[[#This Row],[Weight]:[Weight]]*((_xlfn.XMATCH(Table261424[[#This Row],[11]],Table261424[[#This Row],[1]:[11]],0))-1)/(COUNTA(Table261424[[#This Row],[1]:[11]])-COUNTBLANK(Table261424[[#This Row],[1]:[11]])-1)))</f>
        <v/>
      </c>
    </row>
    <row r="63" spans="1:36" s="167" customFormat="1" ht="72" customHeight="1" x14ac:dyDescent="0.2">
      <c r="A63" s="173">
        <v>51</v>
      </c>
      <c r="B63" s="158" t="s">
        <v>267</v>
      </c>
      <c r="C63" s="178" t="s">
        <v>215</v>
      </c>
      <c r="D63" s="179"/>
      <c r="E63" s="38"/>
      <c r="F63" s="38"/>
      <c r="G63" s="159" t="s">
        <v>60</v>
      </c>
      <c r="H63" s="160" cm="1">
        <f t="array" ref="H63">_xlfn.IFS(G63="","",G63="No interest",0,G63="Nice to have",1,G63="Useful",2,G63="Important",3,G63="Very important",4,G63="Critical",5,G63="Show stopper",6)</f>
        <v>6</v>
      </c>
      <c r="I63" s="161">
        <f t="shared" si="3"/>
        <v>4.0983606557377049E-4</v>
      </c>
      <c r="J63" s="157" t="s">
        <v>216</v>
      </c>
      <c r="K63" s="158" t="str" cm="1">
        <f t="array" ref="K63">_xlfn.TEXTJOIN(","&amp;CHAR(10),,TEXT(Table261424[[#This Row],[12]:[22]],"0,00%"))</f>
        <v>0,00%,
0,00%,
0,00%,
0,00%,
0,00%</v>
      </c>
      <c r="L63" s="180"/>
      <c r="M63" s="181" t="e">
        <f>I63-(I63*((MATCH(Table261424[[#This Row],[Evaluators Response (SELECT)]],Table261424[[#This Row],[1]:[11]],0)-1)/(COUNTA(Table261424[[#This Row],[1]:[11]])-COUNTBLANK(Table261424[[#This Row],[1]:[11]])-1)))</f>
        <v>#N/A</v>
      </c>
      <c r="N63" s="38"/>
      <c r="O63" s="29" t="str" cm="1">
        <f t="array" ref="O63">IFERROR(INDEX(_xlfn.UNIQUE(TRIM(_xlfn.TEXTSPLIT(Table261424[[#This Row],[Selection Options]:[Selection Options]],","))),,O$11),"")</f>
        <v>100%: Supported as delivered out of the box</v>
      </c>
      <c r="P63" s="29" t="str" cm="1">
        <f t="array" ref="P63">IFERROR(INDEX(_xlfn.UNIQUE(TRIM(_xlfn.TEXTSPLIT(Table261424[[#This Row],[Selection Options]:[Selection Options]],","))),,P$11),"")</f>
        <v xml:space="preserve">
75%: Supported via modifications (config)</v>
      </c>
      <c r="Q63" s="29" t="str" cm="1">
        <f t="array" ref="Q63">IFERROR(INDEX(_xlfn.UNIQUE(TRIM(_xlfn.TEXTSPLIT(Table261424[[#This Row],[Selection Options]:[Selection Options]],","))),,Q$11),"")</f>
        <v xml:space="preserve">
50%: Supported via a third party solution</v>
      </c>
      <c r="R63" s="29" t="str" cm="1">
        <f t="array" ref="R63">IFERROR(INDEX(_xlfn.UNIQUE(TRIM(_xlfn.TEXTSPLIT(Table261424[[#This Row],[Selection Options]:[Selection Options]],","))),,R$11),"")</f>
        <v xml:space="preserve">
25%: Supported via customisation (source code changes)</v>
      </c>
      <c r="S63" s="182" t="str" cm="1">
        <f t="array" ref="S63">IFERROR(INDEX(_xlfn.UNIQUE(TRIM(_xlfn.TEXTSPLIT(Table261424[[#This Row],[Selection Options]:[Selection Options]],","))),,S$11),"")</f>
        <v xml:space="preserve">
 0%: Not currently supported</v>
      </c>
      <c r="T63" s="29" t="str" cm="1">
        <f t="array" ref="T63">IFERROR(INDEX(_xlfn.UNIQUE(TRIM(_xlfn.TEXTSPLIT(Table261424[[#This Row],[Selection Options]:[Selection Options]],","))),,T$11),"")</f>
        <v/>
      </c>
      <c r="U63" s="29" t="str" cm="1">
        <f t="array" ref="U63">IFERROR(INDEX(_xlfn.UNIQUE(TRIM(_xlfn.TEXTSPLIT(Table261424[[#This Row],[Selection Options]:[Selection Options]],","))),,U$11),"")</f>
        <v/>
      </c>
      <c r="V63" s="29" t="str" cm="1">
        <f t="array" ref="V63">IFERROR(INDEX(_xlfn.UNIQUE(TRIM(_xlfn.TEXTSPLIT(Table261424[[#This Row],[Selection Options]:[Selection Options]],","))),,V$11),"")</f>
        <v/>
      </c>
      <c r="W63" s="29" t="str" cm="1">
        <f t="array" ref="W63">IFERROR(INDEX(_xlfn.UNIQUE(TRIM(_xlfn.TEXTSPLIT(Table261424[[#This Row],[Selection Options]:[Selection Options]],","))),,W$11),"")</f>
        <v/>
      </c>
      <c r="X63" s="29" t="str" cm="1">
        <f t="array" ref="X63">IFERROR(INDEX(_xlfn.UNIQUE(TRIM(_xlfn.TEXTSPLIT(Table261424[[#This Row],[Selection Options]:[Selection Options]],","))),,X$11),"")</f>
        <v/>
      </c>
      <c r="Y63" s="29" t="str" cm="1">
        <f t="array" ref="Y63">IFERROR(INDEX(_xlfn.UNIQUE(TRIM(_xlfn.TEXTSPLIT(Table261424[[#This Row],[Selection Options]:[Selection Options]],","))),,Y$11),"")</f>
        <v/>
      </c>
      <c r="Z63" s="183" cm="1">
        <f t="array" ref="Z63">IF(Table261424[[#This Row],[1]]="","",Table261424[[#This Row],[Weight]:[Weight]]-(Table261424[[#This Row],[Weight]:[Weight]]*((_xlfn.XMATCH(Table261424[[#This Row],[1]],Table261424[[#This Row],[1]:[11]],0))-1)/(COUNTA(Table261424[[#This Row],[1]:[11]])-COUNTBLANK(Table261424[[#This Row],[1]:[11]])-1)))</f>
        <v>4.0983606557377049E-4</v>
      </c>
      <c r="AA63" s="183" cm="1">
        <f t="array" ref="AA63">IF(Table261424[[#This Row],[2]]="","",Table261424[[#This Row],[Weight]:[Weight]]-(Table261424[[#This Row],[Weight]:[Weight]]*((_xlfn.XMATCH(Table261424[[#This Row],[2]],Table261424[[#This Row],[1]:[11]],0))-1)/(COUNTA(Table261424[[#This Row],[1]:[11]])-COUNTBLANK(Table261424[[#This Row],[1]:[11]])-1)))</f>
        <v>3.0737704918032784E-4</v>
      </c>
      <c r="AB63" s="183" cm="1">
        <f t="array" ref="AB63">IF(Table261424[[#This Row],[3]]="","",Table261424[[#This Row],[Weight]:[Weight]]-(Table261424[[#This Row],[Weight]:[Weight]]*((_xlfn.XMATCH(Table261424[[#This Row],[3]],Table261424[[#This Row],[1]:[11]],0))-1)/(COUNTA(Table261424[[#This Row],[1]:[11]])-COUNTBLANK(Table261424[[#This Row],[1]:[11]])-1)))</f>
        <v>2.0491803278688525E-4</v>
      </c>
      <c r="AC63" s="183" cm="1">
        <f t="array" ref="AC63">IF(Table261424[[#This Row],[4]]="","",Table261424[[#This Row],[Weight]:[Weight]]-(Table261424[[#This Row],[Weight]:[Weight]]*((_xlfn.XMATCH(Table261424[[#This Row],[4]],Table261424[[#This Row],[1]:[11]],0))-1)/(COUNTA(Table261424[[#This Row],[1]:[11]])-COUNTBLANK(Table261424[[#This Row],[1]:[11]])-1)))</f>
        <v>1.0245901639344265E-4</v>
      </c>
      <c r="AD63" s="183" cm="1">
        <f t="array" ref="AD63">IF(Table261424[[#This Row],[5]]="","",Table261424[[#This Row],[Weight]:[Weight]]-(Table261424[[#This Row],[Weight]:[Weight]]*((_xlfn.XMATCH(Table261424[[#This Row],[5]],Table261424[[#This Row],[1]:[11]],0))-1)/(COUNTA(Table261424[[#This Row],[1]:[11]])-COUNTBLANK(Table261424[[#This Row],[1]:[11]])-1)))</f>
        <v>0</v>
      </c>
      <c r="AE63" s="183" t="str" cm="1">
        <f t="array" ref="AE63">IF(Table261424[[#This Row],[6]]="","",Table261424[[#This Row],[Weight]:[Weight]]-(Table261424[[#This Row],[Weight]:[Weight]]*((_xlfn.XMATCH(Table261424[[#This Row],[6]],Table261424[[#This Row],[1]:[11]],0))-1)/(COUNTA(Table261424[[#This Row],[1]:[11]])-COUNTBLANK(Table261424[[#This Row],[1]:[11]])-1)))</f>
        <v/>
      </c>
      <c r="AF63" s="183" t="str" cm="1">
        <f t="array" ref="AF63">IF(Table261424[[#This Row],[7]]="","",Table261424[[#This Row],[Weight]:[Weight]]-(Table261424[[#This Row],[Weight]:[Weight]]*((_xlfn.XMATCH(Table261424[[#This Row],[7]],Table261424[[#This Row],[1]:[11]],0))-1)/(COUNTA(Table261424[[#This Row],[1]:[11]])-COUNTBLANK(Table261424[[#This Row],[1]:[11]])-1)))</f>
        <v/>
      </c>
      <c r="AG63" s="183" t="str" cm="1">
        <f t="array" ref="AG63">IF(Table261424[[#This Row],[8]]="","",Table261424[[#This Row],[Weight]:[Weight]]-(Table261424[[#This Row],[Weight]:[Weight]]*((_xlfn.XMATCH(Table261424[[#This Row],[8]],Table261424[[#This Row],[1]:[11]],0))-1)/(COUNTA(Table261424[[#This Row],[1]:[11]])-COUNTBLANK(Table261424[[#This Row],[1]:[11]])-1)))</f>
        <v/>
      </c>
      <c r="AH63" s="29" t="str" cm="1">
        <f t="array" ref="AH63">IF(Table261424[[#This Row],[9]]="","",Table261424[[#This Row],[Weight]:[Weight]]-(Table261424[[#This Row],[Weight]:[Weight]]*((_xlfn.XMATCH(Table261424[[#This Row],[9]],Table261424[[#This Row],[1]:[11]],0))-1)/(COUNTA(Table261424[[#This Row],[1]:[11]])-COUNTBLANK(Table261424[[#This Row],[1]:[11]])-1)))</f>
        <v/>
      </c>
      <c r="AI63" s="29" t="str" cm="1">
        <f t="array" ref="AI63">IF(Table261424[[#This Row],[10]]="","",Table261424[[#This Row],[Weight]:[Weight]]-(Table261424[[#This Row],[Weight]:[Weight]]*((_xlfn.XMATCH(Table261424[[#This Row],[10]],Table261424[[#This Row],[1]:[11]],0))-1)/(COUNTA(Table261424[[#This Row],[1]:[11]])-COUNTBLANK(Table261424[[#This Row],[1]:[11]])-1)))</f>
        <v/>
      </c>
      <c r="AJ63" s="29" t="str" cm="1">
        <f t="array" ref="AJ63">IF(Table261424[[#This Row],[11]]="","",Table261424[[#This Row],[Weight]:[Weight]]-(Table261424[[#This Row],[Weight]:[Weight]]*((_xlfn.XMATCH(Table261424[[#This Row],[11]],Table261424[[#This Row],[1]:[11]],0))-1)/(COUNTA(Table261424[[#This Row],[1]:[11]])-COUNTBLANK(Table261424[[#This Row],[1]:[11]])-1)))</f>
        <v/>
      </c>
    </row>
    <row r="64" spans="1:36" s="167" customFormat="1" ht="74.099999999999994" customHeight="1" x14ac:dyDescent="0.2">
      <c r="A64" s="173">
        <v>52</v>
      </c>
      <c r="B64" s="158" t="s">
        <v>268</v>
      </c>
      <c r="C64" s="178" t="s">
        <v>215</v>
      </c>
      <c r="D64" s="179"/>
      <c r="E64" s="38"/>
      <c r="F64" s="38"/>
      <c r="G64" s="159" t="s">
        <v>60</v>
      </c>
      <c r="H64" s="160" cm="1">
        <f t="array" ref="H64">_xlfn.IFS(G64="","",G64="No interest",0,G64="Nice to have",1,G64="Useful",2,G64="Important",3,G64="Very important",4,G64="Critical",5,G64="Show stopper",6)</f>
        <v>6</v>
      </c>
      <c r="I64" s="161">
        <f t="shared" si="3"/>
        <v>4.0983606557377049E-4</v>
      </c>
      <c r="J64" s="157" t="s">
        <v>216</v>
      </c>
      <c r="K64" s="158" t="str" cm="1">
        <f t="array" ref="K64">_xlfn.TEXTJOIN(","&amp;CHAR(10),,TEXT(Table261424[[#This Row],[12]:[22]],"0,00%"))</f>
        <v>0,00%,
0,00%,
0,00%,
0,00%,
0,00%</v>
      </c>
      <c r="L64" s="180"/>
      <c r="M64" s="181" t="e">
        <f>I64-(I64*((MATCH(Table261424[[#This Row],[Evaluators Response (SELECT)]],Table261424[[#This Row],[1]:[11]],0)-1)/(COUNTA(Table261424[[#This Row],[1]:[11]])-COUNTBLANK(Table261424[[#This Row],[1]:[11]])-1)))</f>
        <v>#N/A</v>
      </c>
      <c r="N64" s="38"/>
      <c r="O64" s="29" t="str" cm="1">
        <f t="array" ref="O64">IFERROR(INDEX(_xlfn.UNIQUE(TRIM(_xlfn.TEXTSPLIT(Table261424[[#This Row],[Selection Options]:[Selection Options]],","))),,O$11),"")</f>
        <v>100%: Supported as delivered out of the box</v>
      </c>
      <c r="P64" s="29" t="str" cm="1">
        <f t="array" ref="P64">IFERROR(INDEX(_xlfn.UNIQUE(TRIM(_xlfn.TEXTSPLIT(Table261424[[#This Row],[Selection Options]:[Selection Options]],","))),,P$11),"")</f>
        <v xml:space="preserve">
75%: Supported via modifications (config)</v>
      </c>
      <c r="Q64" s="29" t="str" cm="1">
        <f t="array" ref="Q64">IFERROR(INDEX(_xlfn.UNIQUE(TRIM(_xlfn.TEXTSPLIT(Table261424[[#This Row],[Selection Options]:[Selection Options]],","))),,Q$11),"")</f>
        <v xml:space="preserve">
50%: Supported via a third party solution</v>
      </c>
      <c r="R64" s="29" t="str" cm="1">
        <f t="array" ref="R64">IFERROR(INDEX(_xlfn.UNIQUE(TRIM(_xlfn.TEXTSPLIT(Table261424[[#This Row],[Selection Options]:[Selection Options]],","))),,R$11),"")</f>
        <v xml:space="preserve">
25%: Supported via customisation (source code changes)</v>
      </c>
      <c r="S64" s="182" t="str" cm="1">
        <f t="array" ref="S64">IFERROR(INDEX(_xlfn.UNIQUE(TRIM(_xlfn.TEXTSPLIT(Table261424[[#This Row],[Selection Options]:[Selection Options]],","))),,S$11),"")</f>
        <v xml:space="preserve">
 0%: Not currently supported</v>
      </c>
      <c r="T64" s="29" t="str" cm="1">
        <f t="array" ref="T64">IFERROR(INDEX(_xlfn.UNIQUE(TRIM(_xlfn.TEXTSPLIT(Table261424[[#This Row],[Selection Options]:[Selection Options]],","))),,T$11),"")</f>
        <v/>
      </c>
      <c r="U64" s="29" t="str" cm="1">
        <f t="array" ref="U64">IFERROR(INDEX(_xlfn.UNIQUE(TRIM(_xlfn.TEXTSPLIT(Table261424[[#This Row],[Selection Options]:[Selection Options]],","))),,U$11),"")</f>
        <v/>
      </c>
      <c r="V64" s="29" t="str" cm="1">
        <f t="array" ref="V64">IFERROR(INDEX(_xlfn.UNIQUE(TRIM(_xlfn.TEXTSPLIT(Table261424[[#This Row],[Selection Options]:[Selection Options]],","))),,V$11),"")</f>
        <v/>
      </c>
      <c r="W64" s="29" t="str" cm="1">
        <f t="array" ref="W64">IFERROR(INDEX(_xlfn.UNIQUE(TRIM(_xlfn.TEXTSPLIT(Table261424[[#This Row],[Selection Options]:[Selection Options]],","))),,W$11),"")</f>
        <v/>
      </c>
      <c r="X64" s="29" t="str" cm="1">
        <f t="array" ref="X64">IFERROR(INDEX(_xlfn.UNIQUE(TRIM(_xlfn.TEXTSPLIT(Table261424[[#This Row],[Selection Options]:[Selection Options]],","))),,X$11),"")</f>
        <v/>
      </c>
      <c r="Y64" s="29" t="str" cm="1">
        <f t="array" ref="Y64">IFERROR(INDEX(_xlfn.UNIQUE(TRIM(_xlfn.TEXTSPLIT(Table261424[[#This Row],[Selection Options]:[Selection Options]],","))),,Y$11),"")</f>
        <v/>
      </c>
      <c r="Z64" s="183" cm="1">
        <f t="array" ref="Z64">IF(Table261424[[#This Row],[1]]="","",Table261424[[#This Row],[Weight]:[Weight]]-(Table261424[[#This Row],[Weight]:[Weight]]*((_xlfn.XMATCH(Table261424[[#This Row],[1]],Table261424[[#This Row],[1]:[11]],0))-1)/(COUNTA(Table261424[[#This Row],[1]:[11]])-COUNTBLANK(Table261424[[#This Row],[1]:[11]])-1)))</f>
        <v>4.0983606557377049E-4</v>
      </c>
      <c r="AA64" s="183" cm="1">
        <f t="array" ref="AA64">IF(Table261424[[#This Row],[2]]="","",Table261424[[#This Row],[Weight]:[Weight]]-(Table261424[[#This Row],[Weight]:[Weight]]*((_xlfn.XMATCH(Table261424[[#This Row],[2]],Table261424[[#This Row],[1]:[11]],0))-1)/(COUNTA(Table261424[[#This Row],[1]:[11]])-COUNTBLANK(Table261424[[#This Row],[1]:[11]])-1)))</f>
        <v>3.0737704918032784E-4</v>
      </c>
      <c r="AB64" s="183" cm="1">
        <f t="array" ref="AB64">IF(Table261424[[#This Row],[3]]="","",Table261424[[#This Row],[Weight]:[Weight]]-(Table261424[[#This Row],[Weight]:[Weight]]*((_xlfn.XMATCH(Table261424[[#This Row],[3]],Table261424[[#This Row],[1]:[11]],0))-1)/(COUNTA(Table261424[[#This Row],[1]:[11]])-COUNTBLANK(Table261424[[#This Row],[1]:[11]])-1)))</f>
        <v>2.0491803278688525E-4</v>
      </c>
      <c r="AC64" s="183" cm="1">
        <f t="array" ref="AC64">IF(Table261424[[#This Row],[4]]="","",Table261424[[#This Row],[Weight]:[Weight]]-(Table261424[[#This Row],[Weight]:[Weight]]*((_xlfn.XMATCH(Table261424[[#This Row],[4]],Table261424[[#This Row],[1]:[11]],0))-1)/(COUNTA(Table261424[[#This Row],[1]:[11]])-COUNTBLANK(Table261424[[#This Row],[1]:[11]])-1)))</f>
        <v>1.0245901639344265E-4</v>
      </c>
      <c r="AD64" s="183" cm="1">
        <f t="array" ref="AD64">IF(Table261424[[#This Row],[5]]="","",Table261424[[#This Row],[Weight]:[Weight]]-(Table261424[[#This Row],[Weight]:[Weight]]*((_xlfn.XMATCH(Table261424[[#This Row],[5]],Table261424[[#This Row],[1]:[11]],0))-1)/(COUNTA(Table261424[[#This Row],[1]:[11]])-COUNTBLANK(Table261424[[#This Row],[1]:[11]])-1)))</f>
        <v>0</v>
      </c>
      <c r="AE64" s="183" t="str" cm="1">
        <f t="array" ref="AE64">IF(Table261424[[#This Row],[6]]="","",Table261424[[#This Row],[Weight]:[Weight]]-(Table261424[[#This Row],[Weight]:[Weight]]*((_xlfn.XMATCH(Table261424[[#This Row],[6]],Table261424[[#This Row],[1]:[11]],0))-1)/(COUNTA(Table261424[[#This Row],[1]:[11]])-COUNTBLANK(Table261424[[#This Row],[1]:[11]])-1)))</f>
        <v/>
      </c>
      <c r="AF64" s="183" t="str" cm="1">
        <f t="array" ref="AF64">IF(Table261424[[#This Row],[7]]="","",Table261424[[#This Row],[Weight]:[Weight]]-(Table261424[[#This Row],[Weight]:[Weight]]*((_xlfn.XMATCH(Table261424[[#This Row],[7]],Table261424[[#This Row],[1]:[11]],0))-1)/(COUNTA(Table261424[[#This Row],[1]:[11]])-COUNTBLANK(Table261424[[#This Row],[1]:[11]])-1)))</f>
        <v/>
      </c>
      <c r="AG64" s="183" t="str" cm="1">
        <f t="array" ref="AG64">IF(Table261424[[#This Row],[8]]="","",Table261424[[#This Row],[Weight]:[Weight]]-(Table261424[[#This Row],[Weight]:[Weight]]*((_xlfn.XMATCH(Table261424[[#This Row],[8]],Table261424[[#This Row],[1]:[11]],0))-1)/(COUNTA(Table261424[[#This Row],[1]:[11]])-COUNTBLANK(Table261424[[#This Row],[1]:[11]])-1)))</f>
        <v/>
      </c>
      <c r="AH64" s="29" t="str" cm="1">
        <f t="array" ref="AH64">IF(Table261424[[#This Row],[9]]="","",Table261424[[#This Row],[Weight]:[Weight]]-(Table261424[[#This Row],[Weight]:[Weight]]*((_xlfn.XMATCH(Table261424[[#This Row],[9]],Table261424[[#This Row],[1]:[11]],0))-1)/(COUNTA(Table261424[[#This Row],[1]:[11]])-COUNTBLANK(Table261424[[#This Row],[1]:[11]])-1)))</f>
        <v/>
      </c>
      <c r="AI64" s="29" t="str" cm="1">
        <f t="array" ref="AI64">IF(Table261424[[#This Row],[10]]="","",Table261424[[#This Row],[Weight]:[Weight]]-(Table261424[[#This Row],[Weight]:[Weight]]*((_xlfn.XMATCH(Table261424[[#This Row],[10]],Table261424[[#This Row],[1]:[11]],0))-1)/(COUNTA(Table261424[[#This Row],[1]:[11]])-COUNTBLANK(Table261424[[#This Row],[1]:[11]])-1)))</f>
        <v/>
      </c>
      <c r="AJ64" s="29" t="str" cm="1">
        <f t="array" ref="AJ64">IF(Table261424[[#This Row],[11]]="","",Table261424[[#This Row],[Weight]:[Weight]]-(Table261424[[#This Row],[Weight]:[Weight]]*((_xlfn.XMATCH(Table261424[[#This Row],[11]],Table261424[[#This Row],[1]:[11]],0))-1)/(COUNTA(Table261424[[#This Row],[1]:[11]])-COUNTBLANK(Table261424[[#This Row],[1]:[11]])-1)))</f>
        <v/>
      </c>
    </row>
    <row r="65" spans="1:36" s="167" customFormat="1" ht="101.45" customHeight="1" x14ac:dyDescent="0.2">
      <c r="A65" s="173">
        <v>53</v>
      </c>
      <c r="B65" s="158" t="s">
        <v>269</v>
      </c>
      <c r="C65" s="178" t="s">
        <v>215</v>
      </c>
      <c r="D65" s="179"/>
      <c r="E65" s="38"/>
      <c r="F65" s="38"/>
      <c r="G65" s="159" t="s">
        <v>188</v>
      </c>
      <c r="H65" s="160" cm="1">
        <f t="array" ref="H65">_xlfn.IFS(G65="","",G65="No interest",0,G65="Nice to have",1,G65="Useful",2,G65="Important",3,G65="Very important",4,G65="Critical",5,G65="Show stopper",6)</f>
        <v>5</v>
      </c>
      <c r="I65" s="161">
        <f t="shared" si="3"/>
        <v>3.4153005464480874E-4</v>
      </c>
      <c r="J65" s="157" t="s">
        <v>216</v>
      </c>
      <c r="K65" s="158" t="str" cm="1">
        <f t="array" ref="K65">_xlfn.TEXTJOIN(","&amp;CHAR(10),,TEXT(Table261424[[#This Row],[12]:[22]],"0,00%"))</f>
        <v>0,00%,
0,00%,
0,00%,
0,00%,
0,00%</v>
      </c>
      <c r="L65" s="180"/>
      <c r="M65" s="181" t="e">
        <f>I65-(I65*((MATCH(Table261424[[#This Row],[Evaluators Response (SELECT)]],Table261424[[#This Row],[1]:[11]],0)-1)/(COUNTA(Table261424[[#This Row],[1]:[11]])-COUNTBLANK(Table261424[[#This Row],[1]:[11]])-1)))</f>
        <v>#N/A</v>
      </c>
      <c r="N65" s="38"/>
      <c r="O65" s="29" t="str" cm="1">
        <f t="array" ref="O65">IFERROR(INDEX(_xlfn.UNIQUE(TRIM(_xlfn.TEXTSPLIT(Table261424[[#This Row],[Selection Options]:[Selection Options]],","))),,O$11),"")</f>
        <v>100%: Supported as delivered out of the box</v>
      </c>
      <c r="P65" s="29" t="str" cm="1">
        <f t="array" ref="P65">IFERROR(INDEX(_xlfn.UNIQUE(TRIM(_xlfn.TEXTSPLIT(Table261424[[#This Row],[Selection Options]:[Selection Options]],","))),,P$11),"")</f>
        <v xml:space="preserve">
75%: Supported via modifications (config)</v>
      </c>
      <c r="Q65" s="29" t="str" cm="1">
        <f t="array" ref="Q65">IFERROR(INDEX(_xlfn.UNIQUE(TRIM(_xlfn.TEXTSPLIT(Table261424[[#This Row],[Selection Options]:[Selection Options]],","))),,Q$11),"")</f>
        <v xml:space="preserve">
50%: Supported via a third party solution</v>
      </c>
      <c r="R65" s="29" t="str" cm="1">
        <f t="array" ref="R65">IFERROR(INDEX(_xlfn.UNIQUE(TRIM(_xlfn.TEXTSPLIT(Table261424[[#This Row],[Selection Options]:[Selection Options]],","))),,R$11),"")</f>
        <v xml:space="preserve">
25%: Supported via customisation (source code changes)</v>
      </c>
      <c r="S65" s="182" t="str" cm="1">
        <f t="array" ref="S65">IFERROR(INDEX(_xlfn.UNIQUE(TRIM(_xlfn.TEXTSPLIT(Table261424[[#This Row],[Selection Options]:[Selection Options]],","))),,S$11),"")</f>
        <v xml:space="preserve">
 0%: Not currently supported</v>
      </c>
      <c r="T65" s="29" t="str" cm="1">
        <f t="array" ref="T65">IFERROR(INDEX(_xlfn.UNIQUE(TRIM(_xlfn.TEXTSPLIT(Table261424[[#This Row],[Selection Options]:[Selection Options]],","))),,T$11),"")</f>
        <v/>
      </c>
      <c r="U65" s="29" t="str" cm="1">
        <f t="array" ref="U65">IFERROR(INDEX(_xlfn.UNIQUE(TRIM(_xlfn.TEXTSPLIT(Table261424[[#This Row],[Selection Options]:[Selection Options]],","))),,U$11),"")</f>
        <v/>
      </c>
      <c r="V65" s="29" t="str" cm="1">
        <f t="array" ref="V65">IFERROR(INDEX(_xlfn.UNIQUE(TRIM(_xlfn.TEXTSPLIT(Table261424[[#This Row],[Selection Options]:[Selection Options]],","))),,V$11),"")</f>
        <v/>
      </c>
      <c r="W65" s="29" t="str" cm="1">
        <f t="array" ref="W65">IFERROR(INDEX(_xlfn.UNIQUE(TRIM(_xlfn.TEXTSPLIT(Table261424[[#This Row],[Selection Options]:[Selection Options]],","))),,W$11),"")</f>
        <v/>
      </c>
      <c r="X65" s="29" t="str" cm="1">
        <f t="array" ref="X65">IFERROR(INDEX(_xlfn.UNIQUE(TRIM(_xlfn.TEXTSPLIT(Table261424[[#This Row],[Selection Options]:[Selection Options]],","))),,X$11),"")</f>
        <v/>
      </c>
      <c r="Y65" s="29" t="str" cm="1">
        <f t="array" ref="Y65">IFERROR(INDEX(_xlfn.UNIQUE(TRIM(_xlfn.TEXTSPLIT(Table261424[[#This Row],[Selection Options]:[Selection Options]],","))),,Y$11),"")</f>
        <v/>
      </c>
      <c r="Z65" s="183" cm="1">
        <f t="array" ref="Z65">IF(Table261424[[#This Row],[1]]="","",Table261424[[#This Row],[Weight]:[Weight]]-(Table261424[[#This Row],[Weight]:[Weight]]*((_xlfn.XMATCH(Table261424[[#This Row],[1]],Table261424[[#This Row],[1]:[11]],0))-1)/(COUNTA(Table261424[[#This Row],[1]:[11]])-COUNTBLANK(Table261424[[#This Row],[1]:[11]])-1)))</f>
        <v>3.4153005464480874E-4</v>
      </c>
      <c r="AA65" s="183" cm="1">
        <f t="array" ref="AA65">IF(Table261424[[#This Row],[2]]="","",Table261424[[#This Row],[Weight]:[Weight]]-(Table261424[[#This Row],[Weight]:[Weight]]*((_xlfn.XMATCH(Table261424[[#This Row],[2]],Table261424[[#This Row],[1]:[11]],0))-1)/(COUNTA(Table261424[[#This Row],[1]:[11]])-COUNTBLANK(Table261424[[#This Row],[1]:[11]])-1)))</f>
        <v>2.5614754098360657E-4</v>
      </c>
      <c r="AB65" s="183" cm="1">
        <f t="array" ref="AB65">IF(Table261424[[#This Row],[3]]="","",Table261424[[#This Row],[Weight]:[Weight]]-(Table261424[[#This Row],[Weight]:[Weight]]*((_xlfn.XMATCH(Table261424[[#This Row],[3]],Table261424[[#This Row],[1]:[11]],0))-1)/(COUNTA(Table261424[[#This Row],[1]:[11]])-COUNTBLANK(Table261424[[#This Row],[1]:[11]])-1)))</f>
        <v>1.7076502732240437E-4</v>
      </c>
      <c r="AC65" s="183" cm="1">
        <f t="array" ref="AC65">IF(Table261424[[#This Row],[4]]="","",Table261424[[#This Row],[Weight]:[Weight]]-(Table261424[[#This Row],[Weight]:[Weight]]*((_xlfn.XMATCH(Table261424[[#This Row],[4]],Table261424[[#This Row],[1]:[11]],0))-1)/(COUNTA(Table261424[[#This Row],[1]:[11]])-COUNTBLANK(Table261424[[#This Row],[1]:[11]])-1)))</f>
        <v>8.5382513661202172E-5</v>
      </c>
      <c r="AD65" s="183" cm="1">
        <f t="array" ref="AD65">IF(Table261424[[#This Row],[5]]="","",Table261424[[#This Row],[Weight]:[Weight]]-(Table261424[[#This Row],[Weight]:[Weight]]*((_xlfn.XMATCH(Table261424[[#This Row],[5]],Table261424[[#This Row],[1]:[11]],0))-1)/(COUNTA(Table261424[[#This Row],[1]:[11]])-COUNTBLANK(Table261424[[#This Row],[1]:[11]])-1)))</f>
        <v>0</v>
      </c>
      <c r="AE65" s="183" t="str" cm="1">
        <f t="array" ref="AE65">IF(Table261424[[#This Row],[6]]="","",Table261424[[#This Row],[Weight]:[Weight]]-(Table261424[[#This Row],[Weight]:[Weight]]*((_xlfn.XMATCH(Table261424[[#This Row],[6]],Table261424[[#This Row],[1]:[11]],0))-1)/(COUNTA(Table261424[[#This Row],[1]:[11]])-COUNTBLANK(Table261424[[#This Row],[1]:[11]])-1)))</f>
        <v/>
      </c>
      <c r="AF65" s="183" t="str" cm="1">
        <f t="array" ref="AF65">IF(Table261424[[#This Row],[7]]="","",Table261424[[#This Row],[Weight]:[Weight]]-(Table261424[[#This Row],[Weight]:[Weight]]*((_xlfn.XMATCH(Table261424[[#This Row],[7]],Table261424[[#This Row],[1]:[11]],0))-1)/(COUNTA(Table261424[[#This Row],[1]:[11]])-COUNTBLANK(Table261424[[#This Row],[1]:[11]])-1)))</f>
        <v/>
      </c>
      <c r="AG65" s="183" t="str" cm="1">
        <f t="array" ref="AG65">IF(Table261424[[#This Row],[8]]="","",Table261424[[#This Row],[Weight]:[Weight]]-(Table261424[[#This Row],[Weight]:[Weight]]*((_xlfn.XMATCH(Table261424[[#This Row],[8]],Table261424[[#This Row],[1]:[11]],0))-1)/(COUNTA(Table261424[[#This Row],[1]:[11]])-COUNTBLANK(Table261424[[#This Row],[1]:[11]])-1)))</f>
        <v/>
      </c>
      <c r="AH65" s="29" t="str" cm="1">
        <f t="array" ref="AH65">IF(Table261424[[#This Row],[9]]="","",Table261424[[#This Row],[Weight]:[Weight]]-(Table261424[[#This Row],[Weight]:[Weight]]*((_xlfn.XMATCH(Table261424[[#This Row],[9]],Table261424[[#This Row],[1]:[11]],0))-1)/(COUNTA(Table261424[[#This Row],[1]:[11]])-COUNTBLANK(Table261424[[#This Row],[1]:[11]])-1)))</f>
        <v/>
      </c>
      <c r="AI65" s="29" t="str" cm="1">
        <f t="array" ref="AI65">IF(Table261424[[#This Row],[10]]="","",Table261424[[#This Row],[Weight]:[Weight]]-(Table261424[[#This Row],[Weight]:[Weight]]*((_xlfn.XMATCH(Table261424[[#This Row],[10]],Table261424[[#This Row],[1]:[11]],0))-1)/(COUNTA(Table261424[[#This Row],[1]:[11]])-COUNTBLANK(Table261424[[#This Row],[1]:[11]])-1)))</f>
        <v/>
      </c>
      <c r="AJ65" s="29" t="str" cm="1">
        <f t="array" ref="AJ65">IF(Table261424[[#This Row],[11]]="","",Table261424[[#This Row],[Weight]:[Weight]]-(Table261424[[#This Row],[Weight]:[Weight]]*((_xlfn.XMATCH(Table261424[[#This Row],[11]],Table261424[[#This Row],[1]:[11]],0))-1)/(COUNTA(Table261424[[#This Row],[1]:[11]])-COUNTBLANK(Table261424[[#This Row],[1]:[11]])-1)))</f>
        <v/>
      </c>
    </row>
    <row r="66" spans="1:36" s="167" customFormat="1" ht="113.45" customHeight="1" x14ac:dyDescent="0.2">
      <c r="A66" s="173">
        <v>54</v>
      </c>
      <c r="B66" s="158" t="s">
        <v>270</v>
      </c>
      <c r="C66" s="178" t="s">
        <v>215</v>
      </c>
      <c r="D66" s="179"/>
      <c r="E66" s="38"/>
      <c r="F66" s="38"/>
      <c r="G66" s="159" t="s">
        <v>188</v>
      </c>
      <c r="H66" s="160" cm="1">
        <f t="array" ref="H66">_xlfn.IFS(G66="","",G66="No interest",0,G66="Nice to have",1,G66="Useful",2,G66="Important",3,G66="Very important",4,G66="Critical",5,G66="Show stopper",6)</f>
        <v>5</v>
      </c>
      <c r="I66" s="161">
        <f t="shared" si="3"/>
        <v>3.4153005464480874E-4</v>
      </c>
      <c r="J66" s="157" t="s">
        <v>216</v>
      </c>
      <c r="K66" s="158" t="str" cm="1">
        <f t="array" ref="K66">_xlfn.TEXTJOIN(","&amp;CHAR(10),,TEXT(Table261424[[#This Row],[12]:[22]],"0,00%"))</f>
        <v>0,00%,
0,00%,
0,00%,
0,00%,
0,00%</v>
      </c>
      <c r="L66" s="180"/>
      <c r="M66" s="181" t="e">
        <f>I66-(I66*((MATCH(Table261424[[#This Row],[Evaluators Response (SELECT)]],Table261424[[#This Row],[1]:[11]],0)-1)/(COUNTA(Table261424[[#This Row],[1]:[11]])-COUNTBLANK(Table261424[[#This Row],[1]:[11]])-1)))</f>
        <v>#N/A</v>
      </c>
      <c r="N66" s="38"/>
      <c r="O66" s="29" t="str" cm="1">
        <f t="array" ref="O66">IFERROR(INDEX(_xlfn.UNIQUE(TRIM(_xlfn.TEXTSPLIT(Table261424[[#This Row],[Selection Options]:[Selection Options]],","))),,O$11),"")</f>
        <v>100%: Supported as delivered out of the box</v>
      </c>
      <c r="P66" s="29" t="str" cm="1">
        <f t="array" ref="P66">IFERROR(INDEX(_xlfn.UNIQUE(TRIM(_xlfn.TEXTSPLIT(Table261424[[#This Row],[Selection Options]:[Selection Options]],","))),,P$11),"")</f>
        <v xml:space="preserve">
75%: Supported via modifications (config)</v>
      </c>
      <c r="Q66" s="29" t="str" cm="1">
        <f t="array" ref="Q66">IFERROR(INDEX(_xlfn.UNIQUE(TRIM(_xlfn.TEXTSPLIT(Table261424[[#This Row],[Selection Options]:[Selection Options]],","))),,Q$11),"")</f>
        <v xml:space="preserve">
50%: Supported via a third party solution</v>
      </c>
      <c r="R66" s="29" t="str" cm="1">
        <f t="array" ref="R66">IFERROR(INDEX(_xlfn.UNIQUE(TRIM(_xlfn.TEXTSPLIT(Table261424[[#This Row],[Selection Options]:[Selection Options]],","))),,R$11),"")</f>
        <v xml:space="preserve">
25%: Supported via customisation (source code changes)</v>
      </c>
      <c r="S66" s="182" t="str" cm="1">
        <f t="array" ref="S66">IFERROR(INDEX(_xlfn.UNIQUE(TRIM(_xlfn.TEXTSPLIT(Table261424[[#This Row],[Selection Options]:[Selection Options]],","))),,S$11),"")</f>
        <v xml:space="preserve">
 0%: Not currently supported</v>
      </c>
      <c r="T66" s="29" t="str" cm="1">
        <f t="array" ref="T66">IFERROR(INDEX(_xlfn.UNIQUE(TRIM(_xlfn.TEXTSPLIT(Table261424[[#This Row],[Selection Options]:[Selection Options]],","))),,T$11),"")</f>
        <v/>
      </c>
      <c r="U66" s="29" t="str" cm="1">
        <f t="array" ref="U66">IFERROR(INDEX(_xlfn.UNIQUE(TRIM(_xlfn.TEXTSPLIT(Table261424[[#This Row],[Selection Options]:[Selection Options]],","))),,U$11),"")</f>
        <v/>
      </c>
      <c r="V66" s="29" t="str" cm="1">
        <f t="array" ref="V66">IFERROR(INDEX(_xlfn.UNIQUE(TRIM(_xlfn.TEXTSPLIT(Table261424[[#This Row],[Selection Options]:[Selection Options]],","))),,V$11),"")</f>
        <v/>
      </c>
      <c r="W66" s="29" t="str" cm="1">
        <f t="array" ref="W66">IFERROR(INDEX(_xlfn.UNIQUE(TRIM(_xlfn.TEXTSPLIT(Table261424[[#This Row],[Selection Options]:[Selection Options]],","))),,W$11),"")</f>
        <v/>
      </c>
      <c r="X66" s="29" t="str" cm="1">
        <f t="array" ref="X66">IFERROR(INDEX(_xlfn.UNIQUE(TRIM(_xlfn.TEXTSPLIT(Table261424[[#This Row],[Selection Options]:[Selection Options]],","))),,X$11),"")</f>
        <v/>
      </c>
      <c r="Y66" s="29" t="str" cm="1">
        <f t="array" ref="Y66">IFERROR(INDEX(_xlfn.UNIQUE(TRIM(_xlfn.TEXTSPLIT(Table261424[[#This Row],[Selection Options]:[Selection Options]],","))),,Y$11),"")</f>
        <v/>
      </c>
      <c r="Z66" s="183" cm="1">
        <f t="array" ref="Z66">IF(Table261424[[#This Row],[1]]="","",Table261424[[#This Row],[Weight]:[Weight]]-(Table261424[[#This Row],[Weight]:[Weight]]*((_xlfn.XMATCH(Table261424[[#This Row],[1]],Table261424[[#This Row],[1]:[11]],0))-1)/(COUNTA(Table261424[[#This Row],[1]:[11]])-COUNTBLANK(Table261424[[#This Row],[1]:[11]])-1)))</f>
        <v>3.4153005464480874E-4</v>
      </c>
      <c r="AA66" s="183" cm="1">
        <f t="array" ref="AA66">IF(Table261424[[#This Row],[2]]="","",Table261424[[#This Row],[Weight]:[Weight]]-(Table261424[[#This Row],[Weight]:[Weight]]*((_xlfn.XMATCH(Table261424[[#This Row],[2]],Table261424[[#This Row],[1]:[11]],0))-1)/(COUNTA(Table261424[[#This Row],[1]:[11]])-COUNTBLANK(Table261424[[#This Row],[1]:[11]])-1)))</f>
        <v>2.5614754098360657E-4</v>
      </c>
      <c r="AB66" s="183" cm="1">
        <f t="array" ref="AB66">IF(Table261424[[#This Row],[3]]="","",Table261424[[#This Row],[Weight]:[Weight]]-(Table261424[[#This Row],[Weight]:[Weight]]*((_xlfn.XMATCH(Table261424[[#This Row],[3]],Table261424[[#This Row],[1]:[11]],0))-1)/(COUNTA(Table261424[[#This Row],[1]:[11]])-COUNTBLANK(Table261424[[#This Row],[1]:[11]])-1)))</f>
        <v>1.7076502732240437E-4</v>
      </c>
      <c r="AC66" s="183" cm="1">
        <f t="array" ref="AC66">IF(Table261424[[#This Row],[4]]="","",Table261424[[#This Row],[Weight]:[Weight]]-(Table261424[[#This Row],[Weight]:[Weight]]*((_xlfn.XMATCH(Table261424[[#This Row],[4]],Table261424[[#This Row],[1]:[11]],0))-1)/(COUNTA(Table261424[[#This Row],[1]:[11]])-COUNTBLANK(Table261424[[#This Row],[1]:[11]])-1)))</f>
        <v>8.5382513661202172E-5</v>
      </c>
      <c r="AD66" s="183" cm="1">
        <f t="array" ref="AD66">IF(Table261424[[#This Row],[5]]="","",Table261424[[#This Row],[Weight]:[Weight]]-(Table261424[[#This Row],[Weight]:[Weight]]*((_xlfn.XMATCH(Table261424[[#This Row],[5]],Table261424[[#This Row],[1]:[11]],0))-1)/(COUNTA(Table261424[[#This Row],[1]:[11]])-COUNTBLANK(Table261424[[#This Row],[1]:[11]])-1)))</f>
        <v>0</v>
      </c>
      <c r="AE66" s="183" t="str" cm="1">
        <f t="array" ref="AE66">IF(Table261424[[#This Row],[6]]="","",Table261424[[#This Row],[Weight]:[Weight]]-(Table261424[[#This Row],[Weight]:[Weight]]*((_xlfn.XMATCH(Table261424[[#This Row],[6]],Table261424[[#This Row],[1]:[11]],0))-1)/(COUNTA(Table261424[[#This Row],[1]:[11]])-COUNTBLANK(Table261424[[#This Row],[1]:[11]])-1)))</f>
        <v/>
      </c>
      <c r="AF66" s="183" t="str" cm="1">
        <f t="array" ref="AF66">IF(Table261424[[#This Row],[7]]="","",Table261424[[#This Row],[Weight]:[Weight]]-(Table261424[[#This Row],[Weight]:[Weight]]*((_xlfn.XMATCH(Table261424[[#This Row],[7]],Table261424[[#This Row],[1]:[11]],0))-1)/(COUNTA(Table261424[[#This Row],[1]:[11]])-COUNTBLANK(Table261424[[#This Row],[1]:[11]])-1)))</f>
        <v/>
      </c>
      <c r="AG66" s="183" t="str" cm="1">
        <f t="array" ref="AG66">IF(Table261424[[#This Row],[8]]="","",Table261424[[#This Row],[Weight]:[Weight]]-(Table261424[[#This Row],[Weight]:[Weight]]*((_xlfn.XMATCH(Table261424[[#This Row],[8]],Table261424[[#This Row],[1]:[11]],0))-1)/(COUNTA(Table261424[[#This Row],[1]:[11]])-COUNTBLANK(Table261424[[#This Row],[1]:[11]])-1)))</f>
        <v/>
      </c>
      <c r="AH66" s="29" t="str" cm="1">
        <f t="array" ref="AH66">IF(Table261424[[#This Row],[9]]="","",Table261424[[#This Row],[Weight]:[Weight]]-(Table261424[[#This Row],[Weight]:[Weight]]*((_xlfn.XMATCH(Table261424[[#This Row],[9]],Table261424[[#This Row],[1]:[11]],0))-1)/(COUNTA(Table261424[[#This Row],[1]:[11]])-COUNTBLANK(Table261424[[#This Row],[1]:[11]])-1)))</f>
        <v/>
      </c>
      <c r="AI66" s="29" t="str" cm="1">
        <f t="array" ref="AI66">IF(Table261424[[#This Row],[10]]="","",Table261424[[#This Row],[Weight]:[Weight]]-(Table261424[[#This Row],[Weight]:[Weight]]*((_xlfn.XMATCH(Table261424[[#This Row],[10]],Table261424[[#This Row],[1]:[11]],0))-1)/(COUNTA(Table261424[[#This Row],[1]:[11]])-COUNTBLANK(Table261424[[#This Row],[1]:[11]])-1)))</f>
        <v/>
      </c>
      <c r="AJ66" s="29" t="str" cm="1">
        <f t="array" ref="AJ66">IF(Table261424[[#This Row],[11]]="","",Table261424[[#This Row],[Weight]:[Weight]]-(Table261424[[#This Row],[Weight]:[Weight]]*((_xlfn.XMATCH(Table261424[[#This Row],[11]],Table261424[[#This Row],[1]:[11]],0))-1)/(COUNTA(Table261424[[#This Row],[1]:[11]])-COUNTBLANK(Table261424[[#This Row],[1]:[11]])-1)))</f>
        <v/>
      </c>
    </row>
    <row r="67" spans="1:36" s="167" customFormat="1" ht="84" x14ac:dyDescent="0.2">
      <c r="A67" s="173">
        <v>55</v>
      </c>
      <c r="B67" s="158" t="s">
        <v>271</v>
      </c>
      <c r="C67" s="178" t="s">
        <v>215</v>
      </c>
      <c r="D67" s="179"/>
      <c r="E67" s="38"/>
      <c r="F67" s="38"/>
      <c r="G67" s="159" t="s">
        <v>188</v>
      </c>
      <c r="H67" s="160" cm="1">
        <f t="array" ref="H67">_xlfn.IFS(G67="","",G67="No interest",0,G67="Nice to have",1,G67="Useful",2,G67="Important",3,G67="Very important",4,G67="Critical",5,G67="Show stopper",6)</f>
        <v>5</v>
      </c>
      <c r="I67" s="161">
        <f t="shared" si="3"/>
        <v>3.4153005464480874E-4</v>
      </c>
      <c r="J67" s="157" t="s">
        <v>216</v>
      </c>
      <c r="K67" s="158" t="str" cm="1">
        <f t="array" ref="K67">_xlfn.TEXTJOIN(","&amp;CHAR(10),,TEXT(Table261424[[#This Row],[12]:[22]],"0,00%"))</f>
        <v>0,00%,
0,00%,
0,00%,
0,00%,
0,00%</v>
      </c>
      <c r="L67" s="180"/>
      <c r="M67" s="181" t="e">
        <f>I67-(I67*((MATCH(Table261424[[#This Row],[Evaluators Response (SELECT)]],Table261424[[#This Row],[1]:[11]],0)-1)/(COUNTA(Table261424[[#This Row],[1]:[11]])-COUNTBLANK(Table261424[[#This Row],[1]:[11]])-1)))</f>
        <v>#N/A</v>
      </c>
      <c r="N67" s="38"/>
      <c r="O67" s="29" t="str" cm="1">
        <f t="array" ref="O67">IFERROR(INDEX(_xlfn.UNIQUE(TRIM(_xlfn.TEXTSPLIT(Table261424[[#This Row],[Selection Options]:[Selection Options]],","))),,O$11),"")</f>
        <v>100%: Supported as delivered out of the box</v>
      </c>
      <c r="P67" s="29" t="str" cm="1">
        <f t="array" ref="P67">IFERROR(INDEX(_xlfn.UNIQUE(TRIM(_xlfn.TEXTSPLIT(Table261424[[#This Row],[Selection Options]:[Selection Options]],","))),,P$11),"")</f>
        <v xml:space="preserve">
75%: Supported via modifications (config)</v>
      </c>
      <c r="Q67" s="29" t="str" cm="1">
        <f t="array" ref="Q67">IFERROR(INDEX(_xlfn.UNIQUE(TRIM(_xlfn.TEXTSPLIT(Table261424[[#This Row],[Selection Options]:[Selection Options]],","))),,Q$11),"")</f>
        <v xml:space="preserve">
50%: Supported via a third party solution</v>
      </c>
      <c r="R67" s="29" t="str" cm="1">
        <f t="array" ref="R67">IFERROR(INDEX(_xlfn.UNIQUE(TRIM(_xlfn.TEXTSPLIT(Table261424[[#This Row],[Selection Options]:[Selection Options]],","))),,R$11),"")</f>
        <v xml:space="preserve">
25%: Supported via customisation (source code changes)</v>
      </c>
      <c r="S67" s="182" t="str" cm="1">
        <f t="array" ref="S67">IFERROR(INDEX(_xlfn.UNIQUE(TRIM(_xlfn.TEXTSPLIT(Table261424[[#This Row],[Selection Options]:[Selection Options]],","))),,S$11),"")</f>
        <v xml:space="preserve">
 0%: Not currently supported</v>
      </c>
      <c r="T67" s="29" t="str" cm="1">
        <f t="array" ref="T67">IFERROR(INDEX(_xlfn.UNIQUE(TRIM(_xlfn.TEXTSPLIT(Table261424[[#This Row],[Selection Options]:[Selection Options]],","))),,T$11),"")</f>
        <v/>
      </c>
      <c r="U67" s="29" t="str" cm="1">
        <f t="array" ref="U67">IFERROR(INDEX(_xlfn.UNIQUE(TRIM(_xlfn.TEXTSPLIT(Table261424[[#This Row],[Selection Options]:[Selection Options]],","))),,U$11),"")</f>
        <v/>
      </c>
      <c r="V67" s="29" t="str" cm="1">
        <f t="array" ref="V67">IFERROR(INDEX(_xlfn.UNIQUE(TRIM(_xlfn.TEXTSPLIT(Table261424[[#This Row],[Selection Options]:[Selection Options]],","))),,V$11),"")</f>
        <v/>
      </c>
      <c r="W67" s="29" t="str" cm="1">
        <f t="array" ref="W67">IFERROR(INDEX(_xlfn.UNIQUE(TRIM(_xlfn.TEXTSPLIT(Table261424[[#This Row],[Selection Options]:[Selection Options]],","))),,W$11),"")</f>
        <v/>
      </c>
      <c r="X67" s="29" t="str" cm="1">
        <f t="array" ref="X67">IFERROR(INDEX(_xlfn.UNIQUE(TRIM(_xlfn.TEXTSPLIT(Table261424[[#This Row],[Selection Options]:[Selection Options]],","))),,X$11),"")</f>
        <v/>
      </c>
      <c r="Y67" s="29" t="str" cm="1">
        <f t="array" ref="Y67">IFERROR(INDEX(_xlfn.UNIQUE(TRIM(_xlfn.TEXTSPLIT(Table261424[[#This Row],[Selection Options]:[Selection Options]],","))),,Y$11),"")</f>
        <v/>
      </c>
      <c r="Z67" s="183" cm="1">
        <f t="array" ref="Z67">IF(Table261424[[#This Row],[1]]="","",Table261424[[#This Row],[Weight]:[Weight]]-(Table261424[[#This Row],[Weight]:[Weight]]*((_xlfn.XMATCH(Table261424[[#This Row],[1]],Table261424[[#This Row],[1]:[11]],0))-1)/(COUNTA(Table261424[[#This Row],[1]:[11]])-COUNTBLANK(Table261424[[#This Row],[1]:[11]])-1)))</f>
        <v>3.4153005464480874E-4</v>
      </c>
      <c r="AA67" s="183" cm="1">
        <f t="array" ref="AA67">IF(Table261424[[#This Row],[2]]="","",Table261424[[#This Row],[Weight]:[Weight]]-(Table261424[[#This Row],[Weight]:[Weight]]*((_xlfn.XMATCH(Table261424[[#This Row],[2]],Table261424[[#This Row],[1]:[11]],0))-1)/(COUNTA(Table261424[[#This Row],[1]:[11]])-COUNTBLANK(Table261424[[#This Row],[1]:[11]])-1)))</f>
        <v>2.5614754098360657E-4</v>
      </c>
      <c r="AB67" s="183" cm="1">
        <f t="array" ref="AB67">IF(Table261424[[#This Row],[3]]="","",Table261424[[#This Row],[Weight]:[Weight]]-(Table261424[[#This Row],[Weight]:[Weight]]*((_xlfn.XMATCH(Table261424[[#This Row],[3]],Table261424[[#This Row],[1]:[11]],0))-1)/(COUNTA(Table261424[[#This Row],[1]:[11]])-COUNTBLANK(Table261424[[#This Row],[1]:[11]])-1)))</f>
        <v>1.7076502732240437E-4</v>
      </c>
      <c r="AC67" s="183" cm="1">
        <f t="array" ref="AC67">IF(Table261424[[#This Row],[4]]="","",Table261424[[#This Row],[Weight]:[Weight]]-(Table261424[[#This Row],[Weight]:[Weight]]*((_xlfn.XMATCH(Table261424[[#This Row],[4]],Table261424[[#This Row],[1]:[11]],0))-1)/(COUNTA(Table261424[[#This Row],[1]:[11]])-COUNTBLANK(Table261424[[#This Row],[1]:[11]])-1)))</f>
        <v>8.5382513661202172E-5</v>
      </c>
      <c r="AD67" s="183" cm="1">
        <f t="array" ref="AD67">IF(Table261424[[#This Row],[5]]="","",Table261424[[#This Row],[Weight]:[Weight]]-(Table261424[[#This Row],[Weight]:[Weight]]*((_xlfn.XMATCH(Table261424[[#This Row],[5]],Table261424[[#This Row],[1]:[11]],0))-1)/(COUNTA(Table261424[[#This Row],[1]:[11]])-COUNTBLANK(Table261424[[#This Row],[1]:[11]])-1)))</f>
        <v>0</v>
      </c>
      <c r="AE67" s="183" t="str" cm="1">
        <f t="array" ref="AE67">IF(Table261424[[#This Row],[6]]="","",Table261424[[#This Row],[Weight]:[Weight]]-(Table261424[[#This Row],[Weight]:[Weight]]*((_xlfn.XMATCH(Table261424[[#This Row],[6]],Table261424[[#This Row],[1]:[11]],0))-1)/(COUNTA(Table261424[[#This Row],[1]:[11]])-COUNTBLANK(Table261424[[#This Row],[1]:[11]])-1)))</f>
        <v/>
      </c>
      <c r="AF67" s="183" t="str" cm="1">
        <f t="array" ref="AF67">IF(Table261424[[#This Row],[7]]="","",Table261424[[#This Row],[Weight]:[Weight]]-(Table261424[[#This Row],[Weight]:[Weight]]*((_xlfn.XMATCH(Table261424[[#This Row],[7]],Table261424[[#This Row],[1]:[11]],0))-1)/(COUNTA(Table261424[[#This Row],[1]:[11]])-COUNTBLANK(Table261424[[#This Row],[1]:[11]])-1)))</f>
        <v/>
      </c>
      <c r="AG67" s="183" t="str" cm="1">
        <f t="array" ref="AG67">IF(Table261424[[#This Row],[8]]="","",Table261424[[#This Row],[Weight]:[Weight]]-(Table261424[[#This Row],[Weight]:[Weight]]*((_xlfn.XMATCH(Table261424[[#This Row],[8]],Table261424[[#This Row],[1]:[11]],0))-1)/(COUNTA(Table261424[[#This Row],[1]:[11]])-COUNTBLANK(Table261424[[#This Row],[1]:[11]])-1)))</f>
        <v/>
      </c>
      <c r="AH67" s="29" t="str" cm="1">
        <f t="array" ref="AH67">IF(Table261424[[#This Row],[9]]="","",Table261424[[#This Row],[Weight]:[Weight]]-(Table261424[[#This Row],[Weight]:[Weight]]*((_xlfn.XMATCH(Table261424[[#This Row],[9]],Table261424[[#This Row],[1]:[11]],0))-1)/(COUNTA(Table261424[[#This Row],[1]:[11]])-COUNTBLANK(Table261424[[#This Row],[1]:[11]])-1)))</f>
        <v/>
      </c>
      <c r="AI67" s="29" t="str" cm="1">
        <f t="array" ref="AI67">IF(Table261424[[#This Row],[10]]="","",Table261424[[#This Row],[Weight]:[Weight]]-(Table261424[[#This Row],[Weight]:[Weight]]*((_xlfn.XMATCH(Table261424[[#This Row],[10]],Table261424[[#This Row],[1]:[11]],0))-1)/(COUNTA(Table261424[[#This Row],[1]:[11]])-COUNTBLANK(Table261424[[#This Row],[1]:[11]])-1)))</f>
        <v/>
      </c>
      <c r="AJ67" s="29" t="str" cm="1">
        <f t="array" ref="AJ67">IF(Table261424[[#This Row],[11]]="","",Table261424[[#This Row],[Weight]:[Weight]]-(Table261424[[#This Row],[Weight]:[Weight]]*((_xlfn.XMATCH(Table261424[[#This Row],[11]],Table261424[[#This Row],[1]:[11]],0))-1)/(COUNTA(Table261424[[#This Row],[1]:[11]])-COUNTBLANK(Table261424[[#This Row],[1]:[11]])-1)))</f>
        <v/>
      </c>
    </row>
    <row r="68" spans="1:36" s="167" customFormat="1" ht="90.95" customHeight="1" x14ac:dyDescent="0.2">
      <c r="A68" s="173">
        <v>56</v>
      </c>
      <c r="B68" s="158" t="s">
        <v>272</v>
      </c>
      <c r="C68" s="178" t="s">
        <v>215</v>
      </c>
      <c r="D68" s="179"/>
      <c r="E68" s="38"/>
      <c r="F68" s="38"/>
      <c r="G68" s="159" t="s">
        <v>188</v>
      </c>
      <c r="H68" s="160" cm="1">
        <f t="array" ref="H68">_xlfn.IFS(G68="","",G68="No interest",0,G68="Nice to have",1,G68="Useful",2,G68="Important",3,G68="Very important",4,G68="Critical",5,G68="Show stopper",6)</f>
        <v>5</v>
      </c>
      <c r="I68" s="161">
        <f t="shared" si="3"/>
        <v>3.4153005464480874E-4</v>
      </c>
      <c r="J68" s="157" t="s">
        <v>216</v>
      </c>
      <c r="K68" s="158" t="str" cm="1">
        <f t="array" ref="K68">_xlfn.TEXTJOIN(","&amp;CHAR(10),,TEXT(Table261424[[#This Row],[12]:[22]],"0,00%"))</f>
        <v>0,00%,
0,00%,
0,00%,
0,00%,
0,00%</v>
      </c>
      <c r="L68" s="180"/>
      <c r="M68" s="181" t="e">
        <f>I68-(I68*((MATCH(Table261424[[#This Row],[Evaluators Response (SELECT)]],Table261424[[#This Row],[1]:[11]],0)-1)/(COUNTA(Table261424[[#This Row],[1]:[11]])-COUNTBLANK(Table261424[[#This Row],[1]:[11]])-1)))</f>
        <v>#N/A</v>
      </c>
      <c r="N68" s="38"/>
      <c r="O68" s="29" t="str" cm="1">
        <f t="array" ref="O68">IFERROR(INDEX(_xlfn.UNIQUE(TRIM(_xlfn.TEXTSPLIT(Table261424[[#This Row],[Selection Options]:[Selection Options]],","))),,O$11),"")</f>
        <v>100%: Supported as delivered out of the box</v>
      </c>
      <c r="P68" s="29" t="str" cm="1">
        <f t="array" ref="P68">IFERROR(INDEX(_xlfn.UNIQUE(TRIM(_xlfn.TEXTSPLIT(Table261424[[#This Row],[Selection Options]:[Selection Options]],","))),,P$11),"")</f>
        <v xml:space="preserve">
75%: Supported via modifications (config)</v>
      </c>
      <c r="Q68" s="29" t="str" cm="1">
        <f t="array" ref="Q68">IFERROR(INDEX(_xlfn.UNIQUE(TRIM(_xlfn.TEXTSPLIT(Table261424[[#This Row],[Selection Options]:[Selection Options]],","))),,Q$11),"")</f>
        <v xml:space="preserve">
50%: Supported via a third party solution</v>
      </c>
      <c r="R68" s="29" t="str" cm="1">
        <f t="array" ref="R68">IFERROR(INDEX(_xlfn.UNIQUE(TRIM(_xlfn.TEXTSPLIT(Table261424[[#This Row],[Selection Options]:[Selection Options]],","))),,R$11),"")</f>
        <v xml:space="preserve">
25%: Supported via customisation (source code changes)</v>
      </c>
      <c r="S68" s="182" t="str" cm="1">
        <f t="array" ref="S68">IFERROR(INDEX(_xlfn.UNIQUE(TRIM(_xlfn.TEXTSPLIT(Table261424[[#This Row],[Selection Options]:[Selection Options]],","))),,S$11),"")</f>
        <v xml:space="preserve">
 0%: Not currently supported</v>
      </c>
      <c r="T68" s="29" t="str" cm="1">
        <f t="array" ref="T68">IFERROR(INDEX(_xlfn.UNIQUE(TRIM(_xlfn.TEXTSPLIT(Table261424[[#This Row],[Selection Options]:[Selection Options]],","))),,T$11),"")</f>
        <v/>
      </c>
      <c r="U68" s="29" t="str" cm="1">
        <f t="array" ref="U68">IFERROR(INDEX(_xlfn.UNIQUE(TRIM(_xlfn.TEXTSPLIT(Table261424[[#This Row],[Selection Options]:[Selection Options]],","))),,U$11),"")</f>
        <v/>
      </c>
      <c r="V68" s="29" t="str" cm="1">
        <f t="array" ref="V68">IFERROR(INDEX(_xlfn.UNIQUE(TRIM(_xlfn.TEXTSPLIT(Table261424[[#This Row],[Selection Options]:[Selection Options]],","))),,V$11),"")</f>
        <v/>
      </c>
      <c r="W68" s="29" t="str" cm="1">
        <f t="array" ref="W68">IFERROR(INDEX(_xlfn.UNIQUE(TRIM(_xlfn.TEXTSPLIT(Table261424[[#This Row],[Selection Options]:[Selection Options]],","))),,W$11),"")</f>
        <v/>
      </c>
      <c r="X68" s="29" t="str" cm="1">
        <f t="array" ref="X68">IFERROR(INDEX(_xlfn.UNIQUE(TRIM(_xlfn.TEXTSPLIT(Table261424[[#This Row],[Selection Options]:[Selection Options]],","))),,X$11),"")</f>
        <v/>
      </c>
      <c r="Y68" s="29" t="str" cm="1">
        <f t="array" ref="Y68">IFERROR(INDEX(_xlfn.UNIQUE(TRIM(_xlfn.TEXTSPLIT(Table261424[[#This Row],[Selection Options]:[Selection Options]],","))),,Y$11),"")</f>
        <v/>
      </c>
      <c r="Z68" s="183" cm="1">
        <f t="array" ref="Z68">IF(Table261424[[#This Row],[1]]="","",Table261424[[#This Row],[Weight]:[Weight]]-(Table261424[[#This Row],[Weight]:[Weight]]*((_xlfn.XMATCH(Table261424[[#This Row],[1]],Table261424[[#This Row],[1]:[11]],0))-1)/(COUNTA(Table261424[[#This Row],[1]:[11]])-COUNTBLANK(Table261424[[#This Row],[1]:[11]])-1)))</f>
        <v>3.4153005464480874E-4</v>
      </c>
      <c r="AA68" s="183" cm="1">
        <f t="array" ref="AA68">IF(Table261424[[#This Row],[2]]="","",Table261424[[#This Row],[Weight]:[Weight]]-(Table261424[[#This Row],[Weight]:[Weight]]*((_xlfn.XMATCH(Table261424[[#This Row],[2]],Table261424[[#This Row],[1]:[11]],0))-1)/(COUNTA(Table261424[[#This Row],[1]:[11]])-COUNTBLANK(Table261424[[#This Row],[1]:[11]])-1)))</f>
        <v>2.5614754098360657E-4</v>
      </c>
      <c r="AB68" s="183" cm="1">
        <f t="array" ref="AB68">IF(Table261424[[#This Row],[3]]="","",Table261424[[#This Row],[Weight]:[Weight]]-(Table261424[[#This Row],[Weight]:[Weight]]*((_xlfn.XMATCH(Table261424[[#This Row],[3]],Table261424[[#This Row],[1]:[11]],0))-1)/(COUNTA(Table261424[[#This Row],[1]:[11]])-COUNTBLANK(Table261424[[#This Row],[1]:[11]])-1)))</f>
        <v>1.7076502732240437E-4</v>
      </c>
      <c r="AC68" s="183" cm="1">
        <f t="array" ref="AC68">IF(Table261424[[#This Row],[4]]="","",Table261424[[#This Row],[Weight]:[Weight]]-(Table261424[[#This Row],[Weight]:[Weight]]*((_xlfn.XMATCH(Table261424[[#This Row],[4]],Table261424[[#This Row],[1]:[11]],0))-1)/(COUNTA(Table261424[[#This Row],[1]:[11]])-COUNTBLANK(Table261424[[#This Row],[1]:[11]])-1)))</f>
        <v>8.5382513661202172E-5</v>
      </c>
      <c r="AD68" s="183" cm="1">
        <f t="array" ref="AD68">IF(Table261424[[#This Row],[5]]="","",Table261424[[#This Row],[Weight]:[Weight]]-(Table261424[[#This Row],[Weight]:[Weight]]*((_xlfn.XMATCH(Table261424[[#This Row],[5]],Table261424[[#This Row],[1]:[11]],0))-1)/(COUNTA(Table261424[[#This Row],[1]:[11]])-COUNTBLANK(Table261424[[#This Row],[1]:[11]])-1)))</f>
        <v>0</v>
      </c>
      <c r="AE68" s="183" t="str" cm="1">
        <f t="array" ref="AE68">IF(Table261424[[#This Row],[6]]="","",Table261424[[#This Row],[Weight]:[Weight]]-(Table261424[[#This Row],[Weight]:[Weight]]*((_xlfn.XMATCH(Table261424[[#This Row],[6]],Table261424[[#This Row],[1]:[11]],0))-1)/(COUNTA(Table261424[[#This Row],[1]:[11]])-COUNTBLANK(Table261424[[#This Row],[1]:[11]])-1)))</f>
        <v/>
      </c>
      <c r="AF68" s="183" t="str" cm="1">
        <f t="array" ref="AF68">IF(Table261424[[#This Row],[7]]="","",Table261424[[#This Row],[Weight]:[Weight]]-(Table261424[[#This Row],[Weight]:[Weight]]*((_xlfn.XMATCH(Table261424[[#This Row],[7]],Table261424[[#This Row],[1]:[11]],0))-1)/(COUNTA(Table261424[[#This Row],[1]:[11]])-COUNTBLANK(Table261424[[#This Row],[1]:[11]])-1)))</f>
        <v/>
      </c>
      <c r="AG68" s="183" t="str" cm="1">
        <f t="array" ref="AG68">IF(Table261424[[#This Row],[8]]="","",Table261424[[#This Row],[Weight]:[Weight]]-(Table261424[[#This Row],[Weight]:[Weight]]*((_xlfn.XMATCH(Table261424[[#This Row],[8]],Table261424[[#This Row],[1]:[11]],0))-1)/(COUNTA(Table261424[[#This Row],[1]:[11]])-COUNTBLANK(Table261424[[#This Row],[1]:[11]])-1)))</f>
        <v/>
      </c>
      <c r="AH68" s="29" t="str" cm="1">
        <f t="array" ref="AH68">IF(Table261424[[#This Row],[9]]="","",Table261424[[#This Row],[Weight]:[Weight]]-(Table261424[[#This Row],[Weight]:[Weight]]*((_xlfn.XMATCH(Table261424[[#This Row],[9]],Table261424[[#This Row],[1]:[11]],0))-1)/(COUNTA(Table261424[[#This Row],[1]:[11]])-COUNTBLANK(Table261424[[#This Row],[1]:[11]])-1)))</f>
        <v/>
      </c>
      <c r="AI68" s="29" t="str" cm="1">
        <f t="array" ref="AI68">IF(Table261424[[#This Row],[10]]="","",Table261424[[#This Row],[Weight]:[Weight]]-(Table261424[[#This Row],[Weight]:[Weight]]*((_xlfn.XMATCH(Table261424[[#This Row],[10]],Table261424[[#This Row],[1]:[11]],0))-1)/(COUNTA(Table261424[[#This Row],[1]:[11]])-COUNTBLANK(Table261424[[#This Row],[1]:[11]])-1)))</f>
        <v/>
      </c>
      <c r="AJ68" s="29" t="str" cm="1">
        <f t="array" ref="AJ68">IF(Table261424[[#This Row],[11]]="","",Table261424[[#This Row],[Weight]:[Weight]]-(Table261424[[#This Row],[Weight]:[Weight]]*((_xlfn.XMATCH(Table261424[[#This Row],[11]],Table261424[[#This Row],[1]:[11]],0))-1)/(COUNTA(Table261424[[#This Row],[1]:[11]])-COUNTBLANK(Table261424[[#This Row],[1]:[11]])-1)))</f>
        <v/>
      </c>
    </row>
    <row r="69" spans="1:36" s="167" customFormat="1" ht="72" x14ac:dyDescent="0.2">
      <c r="A69" s="173">
        <v>57</v>
      </c>
      <c r="B69" s="21" t="s">
        <v>273</v>
      </c>
      <c r="C69" s="178" t="s">
        <v>215</v>
      </c>
      <c r="D69" s="179"/>
      <c r="E69" s="28"/>
      <c r="F69" s="28"/>
      <c r="G69" s="159" t="s">
        <v>188</v>
      </c>
      <c r="H69" s="155" cm="1">
        <f t="array" ref="H69">_xlfn.IFS(G69="","",G69="No interest",0,G69="Nice to have",1,G69="Useful",2,G69="Important",3,G69="Very important",4,G69="Critical",5,G69="Show stopper",6)</f>
        <v>5</v>
      </c>
      <c r="I69" s="156">
        <f t="shared" ref="I69:I70" si="4">(H69/$H$11)*$G$11</f>
        <v>3.4153005464480874E-4</v>
      </c>
      <c r="J69" s="157" t="s">
        <v>216</v>
      </c>
      <c r="K69" s="158" t="str" cm="1">
        <f t="array" ref="K69">_xlfn.TEXTJOIN(","&amp;CHAR(10),,TEXT(Table261424[[#This Row],[12]:[22]],"0,00%"))</f>
        <v>0,00%,
0,00%,
0,00%,
0,00%,
0,00%</v>
      </c>
      <c r="L69" s="175"/>
      <c r="M69" s="176" t="e">
        <f>I69-(I69*((MATCH(Table261424[[#This Row],[Evaluators Response (SELECT)]],Table261424[[#This Row],[1]:[11]],0)-1)/(COUNTA(Table261424[[#This Row],[1]:[11]])-COUNTBLANK(Table261424[[#This Row],[1]:[11]])-1)))</f>
        <v>#N/A</v>
      </c>
      <c r="N69" s="28"/>
      <c r="O69" s="39" t="str" cm="1">
        <f t="array" ref="O69">IFERROR(INDEX(_xlfn.UNIQUE(TRIM(_xlfn.TEXTSPLIT(Table261424[[#This Row],[Selection Options]:[Selection Options]],","))),,O$11),"")</f>
        <v>100%: Supported as delivered out of the box</v>
      </c>
      <c r="P69" s="39" t="str" cm="1">
        <f t="array" ref="P69">IFERROR(INDEX(_xlfn.UNIQUE(TRIM(_xlfn.TEXTSPLIT(Table261424[[#This Row],[Selection Options]:[Selection Options]],","))),,P$11),"")</f>
        <v xml:space="preserve">
75%: Supported via modifications (config)</v>
      </c>
      <c r="Q69" s="39" t="str" cm="1">
        <f t="array" ref="Q69">IFERROR(INDEX(_xlfn.UNIQUE(TRIM(_xlfn.TEXTSPLIT(Table261424[[#This Row],[Selection Options]:[Selection Options]],","))),,Q$11),"")</f>
        <v xml:space="preserve">
50%: Supported via a third party solution</v>
      </c>
      <c r="R69" s="39" t="str" cm="1">
        <f t="array" ref="R69">IFERROR(INDEX(_xlfn.UNIQUE(TRIM(_xlfn.TEXTSPLIT(Table261424[[#This Row],[Selection Options]:[Selection Options]],","))),,R$11),"")</f>
        <v xml:space="preserve">
25%: Supported via customisation (source code changes)</v>
      </c>
      <c r="S69" s="177" t="str" cm="1">
        <f t="array" ref="S69">IFERROR(INDEX(_xlfn.UNIQUE(TRIM(_xlfn.TEXTSPLIT(Table261424[[#This Row],[Selection Options]:[Selection Options]],","))),,S$11),"")</f>
        <v xml:space="preserve">
 0%: Not currently supported</v>
      </c>
      <c r="T69" s="39" t="str" cm="1">
        <f t="array" ref="T69">IFERROR(INDEX(_xlfn.UNIQUE(TRIM(_xlfn.TEXTSPLIT(Table261424[[#This Row],[Selection Options]:[Selection Options]],","))),,T$11),"")</f>
        <v/>
      </c>
      <c r="U69" s="39" t="str" cm="1">
        <f t="array" ref="U69">IFERROR(INDEX(_xlfn.UNIQUE(TRIM(_xlfn.TEXTSPLIT(Table261424[[#This Row],[Selection Options]:[Selection Options]],","))),,U$11),"")</f>
        <v/>
      </c>
      <c r="V69" s="39" t="str" cm="1">
        <f t="array" ref="V69">IFERROR(INDEX(_xlfn.UNIQUE(TRIM(_xlfn.TEXTSPLIT(Table261424[[#This Row],[Selection Options]:[Selection Options]],","))),,V$11),"")</f>
        <v/>
      </c>
      <c r="W69" s="39" t="str" cm="1">
        <f t="array" ref="W69">IFERROR(INDEX(_xlfn.UNIQUE(TRIM(_xlfn.TEXTSPLIT(Table261424[[#This Row],[Selection Options]:[Selection Options]],","))),,W$11),"")</f>
        <v/>
      </c>
      <c r="X69" s="39" t="str" cm="1">
        <f t="array" ref="X69">IFERROR(INDEX(_xlfn.UNIQUE(TRIM(_xlfn.TEXTSPLIT(Table261424[[#This Row],[Selection Options]:[Selection Options]],","))),,X$11),"")</f>
        <v/>
      </c>
      <c r="Y69" s="39" t="str" cm="1">
        <f t="array" ref="Y69">IFERROR(INDEX(_xlfn.UNIQUE(TRIM(_xlfn.TEXTSPLIT(Table261424[[#This Row],[Selection Options]:[Selection Options]],","))),,Y$11),"")</f>
        <v/>
      </c>
      <c r="Z69" s="30" cm="1">
        <f t="array" ref="Z69">IF(Table261424[[#This Row],[1]]="","",Table261424[[#This Row],[Weight]:[Weight]]-(Table261424[[#This Row],[Weight]:[Weight]]*((_xlfn.XMATCH(Table261424[[#This Row],[1]],Table261424[[#This Row],[1]:[11]],0))-1)/(COUNTA(Table261424[[#This Row],[1]:[11]])-COUNTBLANK(Table261424[[#This Row],[1]:[11]])-1)))</f>
        <v>3.4153005464480874E-4</v>
      </c>
      <c r="AA69" s="30" cm="1">
        <f t="array" ref="AA69">IF(Table261424[[#This Row],[2]]="","",Table261424[[#This Row],[Weight]:[Weight]]-(Table261424[[#This Row],[Weight]:[Weight]]*((_xlfn.XMATCH(Table261424[[#This Row],[2]],Table261424[[#This Row],[1]:[11]],0))-1)/(COUNTA(Table261424[[#This Row],[1]:[11]])-COUNTBLANK(Table261424[[#This Row],[1]:[11]])-1)))</f>
        <v>2.5614754098360657E-4</v>
      </c>
      <c r="AB69" s="30" cm="1">
        <f t="array" ref="AB69">IF(Table261424[[#This Row],[3]]="","",Table261424[[#This Row],[Weight]:[Weight]]-(Table261424[[#This Row],[Weight]:[Weight]]*((_xlfn.XMATCH(Table261424[[#This Row],[3]],Table261424[[#This Row],[1]:[11]],0))-1)/(COUNTA(Table261424[[#This Row],[1]:[11]])-COUNTBLANK(Table261424[[#This Row],[1]:[11]])-1)))</f>
        <v>1.7076502732240437E-4</v>
      </c>
      <c r="AC69" s="30" cm="1">
        <f t="array" ref="AC69">IF(Table261424[[#This Row],[4]]="","",Table261424[[#This Row],[Weight]:[Weight]]-(Table261424[[#This Row],[Weight]:[Weight]]*((_xlfn.XMATCH(Table261424[[#This Row],[4]],Table261424[[#This Row],[1]:[11]],0))-1)/(COUNTA(Table261424[[#This Row],[1]:[11]])-COUNTBLANK(Table261424[[#This Row],[1]:[11]])-1)))</f>
        <v>8.5382513661202172E-5</v>
      </c>
      <c r="AD69" s="30" cm="1">
        <f t="array" ref="AD69">IF(Table261424[[#This Row],[5]]="","",Table261424[[#This Row],[Weight]:[Weight]]-(Table261424[[#This Row],[Weight]:[Weight]]*((_xlfn.XMATCH(Table261424[[#This Row],[5]],Table261424[[#This Row],[1]:[11]],0))-1)/(COUNTA(Table261424[[#This Row],[1]:[11]])-COUNTBLANK(Table261424[[#This Row],[1]:[11]])-1)))</f>
        <v>0</v>
      </c>
      <c r="AE69" s="30" t="str" cm="1">
        <f t="array" ref="AE69">IF(Table261424[[#This Row],[6]]="","",Table261424[[#This Row],[Weight]:[Weight]]-(Table261424[[#This Row],[Weight]:[Weight]]*((_xlfn.XMATCH(Table261424[[#This Row],[6]],Table261424[[#This Row],[1]:[11]],0))-1)/(COUNTA(Table261424[[#This Row],[1]:[11]])-COUNTBLANK(Table261424[[#This Row],[1]:[11]])-1)))</f>
        <v/>
      </c>
      <c r="AF69" s="30" t="str" cm="1">
        <f t="array" ref="AF69">IF(Table261424[[#This Row],[7]]="","",Table261424[[#This Row],[Weight]:[Weight]]-(Table261424[[#This Row],[Weight]:[Weight]]*((_xlfn.XMATCH(Table261424[[#This Row],[7]],Table261424[[#This Row],[1]:[11]],0))-1)/(COUNTA(Table261424[[#This Row],[1]:[11]])-COUNTBLANK(Table261424[[#This Row],[1]:[11]])-1)))</f>
        <v/>
      </c>
      <c r="AG69" s="30" t="str" cm="1">
        <f t="array" ref="AG69">IF(Table261424[[#This Row],[8]]="","",Table261424[[#This Row],[Weight]:[Weight]]-(Table261424[[#This Row],[Weight]:[Weight]]*((_xlfn.XMATCH(Table261424[[#This Row],[8]],Table261424[[#This Row],[1]:[11]],0))-1)/(COUNTA(Table261424[[#This Row],[1]:[11]])-COUNTBLANK(Table261424[[#This Row],[1]:[11]])-1)))</f>
        <v/>
      </c>
      <c r="AH69" s="39" t="str" cm="1">
        <f t="array" ref="AH69">IF(Table261424[[#This Row],[9]]="","",Table261424[[#This Row],[Weight]:[Weight]]-(Table261424[[#This Row],[Weight]:[Weight]]*((_xlfn.XMATCH(Table261424[[#This Row],[9]],Table261424[[#This Row],[1]:[11]],0))-1)/(COUNTA(Table261424[[#This Row],[1]:[11]])-COUNTBLANK(Table261424[[#This Row],[1]:[11]])-1)))</f>
        <v/>
      </c>
      <c r="AI69" s="39" t="str" cm="1">
        <f t="array" ref="AI69">IF(Table261424[[#This Row],[10]]="","",Table261424[[#This Row],[Weight]:[Weight]]-(Table261424[[#This Row],[Weight]:[Weight]]*((_xlfn.XMATCH(Table261424[[#This Row],[10]],Table261424[[#This Row],[1]:[11]],0))-1)/(COUNTA(Table261424[[#This Row],[1]:[11]])-COUNTBLANK(Table261424[[#This Row],[1]:[11]])-1)))</f>
        <v/>
      </c>
      <c r="AJ69" s="39" t="str" cm="1">
        <f t="array" ref="AJ69">IF(Table261424[[#This Row],[11]]="","",Table261424[[#This Row],[Weight]:[Weight]]-(Table261424[[#This Row],[Weight]:[Weight]]*((_xlfn.XMATCH(Table261424[[#This Row],[11]],Table261424[[#This Row],[1]:[11]],0))-1)/(COUNTA(Table261424[[#This Row],[1]:[11]])-COUNTBLANK(Table261424[[#This Row],[1]:[11]])-1)))</f>
        <v/>
      </c>
    </row>
    <row r="70" spans="1:36" s="167" customFormat="1" ht="72" x14ac:dyDescent="0.2">
      <c r="A70" s="173">
        <v>58</v>
      </c>
      <c r="B70" s="158" t="s">
        <v>274</v>
      </c>
      <c r="C70" s="178" t="s">
        <v>215</v>
      </c>
      <c r="D70" s="179"/>
      <c r="E70" s="38"/>
      <c r="F70" s="38"/>
      <c r="G70" s="159" t="s">
        <v>183</v>
      </c>
      <c r="H70" s="160" cm="1">
        <f t="array" ref="H70">_xlfn.IFS(G70="","",G70="No interest",0,G70="Nice to have",1,G70="Useful",2,G70="Important",3,G70="Very important",4,G70="Critical",5,G70="Show stopper",6)</f>
        <v>4</v>
      </c>
      <c r="I70" s="161">
        <f t="shared" si="4"/>
        <v>2.7322404371584699E-4</v>
      </c>
      <c r="J70" s="157" t="s">
        <v>216</v>
      </c>
      <c r="K70" s="158" t="str" cm="1">
        <f t="array" ref="K70">_xlfn.TEXTJOIN(","&amp;CHAR(10),,TEXT(Table261424[[#This Row],[12]:[22]],"0,00%"))</f>
        <v>0,00%,
0,00%,
0,00%,
0,00%,
0,00%</v>
      </c>
      <c r="L70" s="180"/>
      <c r="M70" s="181" t="e">
        <f>I70-(I70*((MATCH(Table261424[[#This Row],[Evaluators Response (SELECT)]],Table261424[[#This Row],[1]:[11]],0)-1)/(COUNTA(Table261424[[#This Row],[1]:[11]])-COUNTBLANK(Table261424[[#This Row],[1]:[11]])-1)))</f>
        <v>#N/A</v>
      </c>
      <c r="N70" s="38"/>
      <c r="O70" s="29" t="str" cm="1">
        <f t="array" ref="O70">IFERROR(INDEX(_xlfn.UNIQUE(TRIM(_xlfn.TEXTSPLIT(Table261424[[#This Row],[Selection Options]:[Selection Options]],","))),,O$11),"")</f>
        <v>100%: Supported as delivered out of the box</v>
      </c>
      <c r="P70" s="29" t="str" cm="1">
        <f t="array" ref="P70">IFERROR(INDEX(_xlfn.UNIQUE(TRIM(_xlfn.TEXTSPLIT(Table261424[[#This Row],[Selection Options]:[Selection Options]],","))),,P$11),"")</f>
        <v xml:space="preserve">
75%: Supported via modifications (config)</v>
      </c>
      <c r="Q70" s="29" t="str" cm="1">
        <f t="array" ref="Q70">IFERROR(INDEX(_xlfn.UNIQUE(TRIM(_xlfn.TEXTSPLIT(Table261424[[#This Row],[Selection Options]:[Selection Options]],","))),,Q$11),"")</f>
        <v xml:space="preserve">
50%: Supported via a third party solution</v>
      </c>
      <c r="R70" s="29" t="str" cm="1">
        <f t="array" ref="R70">IFERROR(INDEX(_xlfn.UNIQUE(TRIM(_xlfn.TEXTSPLIT(Table261424[[#This Row],[Selection Options]:[Selection Options]],","))),,R$11),"")</f>
        <v xml:space="preserve">
25%: Supported via customisation (source code changes)</v>
      </c>
      <c r="S70" s="182" t="str" cm="1">
        <f t="array" ref="S70">IFERROR(INDEX(_xlfn.UNIQUE(TRIM(_xlfn.TEXTSPLIT(Table261424[[#This Row],[Selection Options]:[Selection Options]],","))),,S$11),"")</f>
        <v xml:space="preserve">
 0%: Not currently supported</v>
      </c>
      <c r="T70" s="29" t="str" cm="1">
        <f t="array" ref="T70">IFERROR(INDEX(_xlfn.UNIQUE(TRIM(_xlfn.TEXTSPLIT(Table261424[[#This Row],[Selection Options]:[Selection Options]],","))),,T$11),"")</f>
        <v/>
      </c>
      <c r="U70" s="29" t="str" cm="1">
        <f t="array" ref="U70">IFERROR(INDEX(_xlfn.UNIQUE(TRIM(_xlfn.TEXTSPLIT(Table261424[[#This Row],[Selection Options]:[Selection Options]],","))),,U$11),"")</f>
        <v/>
      </c>
      <c r="V70" s="29" t="str" cm="1">
        <f t="array" ref="V70">IFERROR(INDEX(_xlfn.UNIQUE(TRIM(_xlfn.TEXTSPLIT(Table261424[[#This Row],[Selection Options]:[Selection Options]],","))),,V$11),"")</f>
        <v/>
      </c>
      <c r="W70" s="29" t="str" cm="1">
        <f t="array" ref="W70">IFERROR(INDEX(_xlfn.UNIQUE(TRIM(_xlfn.TEXTSPLIT(Table261424[[#This Row],[Selection Options]:[Selection Options]],","))),,W$11),"")</f>
        <v/>
      </c>
      <c r="X70" s="29" t="str" cm="1">
        <f t="array" ref="X70">IFERROR(INDEX(_xlfn.UNIQUE(TRIM(_xlfn.TEXTSPLIT(Table261424[[#This Row],[Selection Options]:[Selection Options]],","))),,X$11),"")</f>
        <v/>
      </c>
      <c r="Y70" s="29" t="str" cm="1">
        <f t="array" ref="Y70">IFERROR(INDEX(_xlfn.UNIQUE(TRIM(_xlfn.TEXTSPLIT(Table261424[[#This Row],[Selection Options]:[Selection Options]],","))),,Y$11),"")</f>
        <v/>
      </c>
      <c r="Z70" s="183" cm="1">
        <f t="array" ref="Z70">IF(Table261424[[#This Row],[1]]="","",Table261424[[#This Row],[Weight]:[Weight]]-(Table261424[[#This Row],[Weight]:[Weight]]*((_xlfn.XMATCH(Table261424[[#This Row],[1]],Table261424[[#This Row],[1]:[11]],0))-1)/(COUNTA(Table261424[[#This Row],[1]:[11]])-COUNTBLANK(Table261424[[#This Row],[1]:[11]])-1)))</f>
        <v>2.7322404371584699E-4</v>
      </c>
      <c r="AA70" s="183" cm="1">
        <f t="array" ref="AA70">IF(Table261424[[#This Row],[2]]="","",Table261424[[#This Row],[Weight]:[Weight]]-(Table261424[[#This Row],[Weight]:[Weight]]*((_xlfn.XMATCH(Table261424[[#This Row],[2]],Table261424[[#This Row],[1]:[11]],0))-1)/(COUNTA(Table261424[[#This Row],[1]:[11]])-COUNTBLANK(Table261424[[#This Row],[1]:[11]])-1)))</f>
        <v>2.0491803278688525E-4</v>
      </c>
      <c r="AB70" s="183" cm="1">
        <f t="array" ref="AB70">IF(Table261424[[#This Row],[3]]="","",Table261424[[#This Row],[Weight]:[Weight]]-(Table261424[[#This Row],[Weight]:[Weight]]*((_xlfn.XMATCH(Table261424[[#This Row],[3]],Table261424[[#This Row],[1]:[11]],0))-1)/(COUNTA(Table261424[[#This Row],[1]:[11]])-COUNTBLANK(Table261424[[#This Row],[1]:[11]])-1)))</f>
        <v>1.366120218579235E-4</v>
      </c>
      <c r="AC70" s="183" cm="1">
        <f t="array" ref="AC70">IF(Table261424[[#This Row],[4]]="","",Table261424[[#This Row],[Weight]:[Weight]]-(Table261424[[#This Row],[Weight]:[Weight]]*((_xlfn.XMATCH(Table261424[[#This Row],[4]],Table261424[[#This Row],[1]:[11]],0))-1)/(COUNTA(Table261424[[#This Row],[1]:[11]])-COUNTBLANK(Table261424[[#This Row],[1]:[11]])-1)))</f>
        <v>6.8306010928961749E-5</v>
      </c>
      <c r="AD70" s="183" cm="1">
        <f t="array" ref="AD70">IF(Table261424[[#This Row],[5]]="","",Table261424[[#This Row],[Weight]:[Weight]]-(Table261424[[#This Row],[Weight]:[Weight]]*((_xlfn.XMATCH(Table261424[[#This Row],[5]],Table261424[[#This Row],[1]:[11]],0))-1)/(COUNTA(Table261424[[#This Row],[1]:[11]])-COUNTBLANK(Table261424[[#This Row],[1]:[11]])-1)))</f>
        <v>0</v>
      </c>
      <c r="AE70" s="183" t="str" cm="1">
        <f t="array" ref="AE70">IF(Table261424[[#This Row],[6]]="","",Table261424[[#This Row],[Weight]:[Weight]]-(Table261424[[#This Row],[Weight]:[Weight]]*((_xlfn.XMATCH(Table261424[[#This Row],[6]],Table261424[[#This Row],[1]:[11]],0))-1)/(COUNTA(Table261424[[#This Row],[1]:[11]])-COUNTBLANK(Table261424[[#This Row],[1]:[11]])-1)))</f>
        <v/>
      </c>
      <c r="AF70" s="183" t="str" cm="1">
        <f t="array" ref="AF70">IF(Table261424[[#This Row],[7]]="","",Table261424[[#This Row],[Weight]:[Weight]]-(Table261424[[#This Row],[Weight]:[Weight]]*((_xlfn.XMATCH(Table261424[[#This Row],[7]],Table261424[[#This Row],[1]:[11]],0))-1)/(COUNTA(Table261424[[#This Row],[1]:[11]])-COUNTBLANK(Table261424[[#This Row],[1]:[11]])-1)))</f>
        <v/>
      </c>
      <c r="AG70" s="183" t="str" cm="1">
        <f t="array" ref="AG70">IF(Table261424[[#This Row],[8]]="","",Table261424[[#This Row],[Weight]:[Weight]]-(Table261424[[#This Row],[Weight]:[Weight]]*((_xlfn.XMATCH(Table261424[[#This Row],[8]],Table261424[[#This Row],[1]:[11]],0))-1)/(COUNTA(Table261424[[#This Row],[1]:[11]])-COUNTBLANK(Table261424[[#This Row],[1]:[11]])-1)))</f>
        <v/>
      </c>
      <c r="AH70" s="29" t="str" cm="1">
        <f t="array" ref="AH70">IF(Table261424[[#This Row],[9]]="","",Table261424[[#This Row],[Weight]:[Weight]]-(Table261424[[#This Row],[Weight]:[Weight]]*((_xlfn.XMATCH(Table261424[[#This Row],[9]],Table261424[[#This Row],[1]:[11]],0))-1)/(COUNTA(Table261424[[#This Row],[1]:[11]])-COUNTBLANK(Table261424[[#This Row],[1]:[11]])-1)))</f>
        <v/>
      </c>
      <c r="AI70" s="29" t="str" cm="1">
        <f t="array" ref="AI70">IF(Table261424[[#This Row],[10]]="","",Table261424[[#This Row],[Weight]:[Weight]]-(Table261424[[#This Row],[Weight]:[Weight]]*((_xlfn.XMATCH(Table261424[[#This Row],[10]],Table261424[[#This Row],[1]:[11]],0))-1)/(COUNTA(Table261424[[#This Row],[1]:[11]])-COUNTBLANK(Table261424[[#This Row],[1]:[11]])-1)))</f>
        <v/>
      </c>
      <c r="AJ70" s="29" t="str" cm="1">
        <f t="array" ref="AJ70">IF(Table261424[[#This Row],[11]]="","",Table261424[[#This Row],[Weight]:[Weight]]-(Table261424[[#This Row],[Weight]:[Weight]]*((_xlfn.XMATCH(Table261424[[#This Row],[11]],Table261424[[#This Row],[1]:[11]],0))-1)/(COUNTA(Table261424[[#This Row],[1]:[11]])-COUNTBLANK(Table261424[[#This Row],[1]:[11]])-1)))</f>
        <v/>
      </c>
    </row>
    <row r="71" spans="1:36" s="167" customFormat="1" ht="72" x14ac:dyDescent="0.2">
      <c r="A71" s="173">
        <v>59</v>
      </c>
      <c r="B71" s="21" t="s">
        <v>275</v>
      </c>
      <c r="C71" s="178" t="s">
        <v>215</v>
      </c>
      <c r="D71" s="179"/>
      <c r="E71" s="28"/>
      <c r="F71" s="28"/>
      <c r="G71" s="159" t="s">
        <v>188</v>
      </c>
      <c r="H71" s="155" cm="1">
        <f t="array" ref="H71">_xlfn.IFS(G71="","",G71="No interest",0,G71="Nice to have",1,G71="Useful",2,G71="Important",3,G71="Very important",4,G71="Critical",5,G71="Show stopper",6)</f>
        <v>5</v>
      </c>
      <c r="I71" s="156">
        <f t="shared" ref="I71:I73" si="5">(H71/$H$11)*$G$11</f>
        <v>3.4153005464480874E-4</v>
      </c>
      <c r="J71" s="157" t="s">
        <v>216</v>
      </c>
      <c r="K71" s="158" t="str" cm="1">
        <f t="array" ref="K71">_xlfn.TEXTJOIN(","&amp;CHAR(10),,TEXT(Table261424[[#This Row],[12]:[22]],"0,00%"))</f>
        <v>0,00%,
0,00%,
0,00%,
0,00%,
0,00%</v>
      </c>
      <c r="L71" s="175"/>
      <c r="M71" s="176" t="e">
        <f>I71-(I71*((MATCH(Table261424[[#This Row],[Evaluators Response (SELECT)]],Table261424[[#This Row],[1]:[11]],0)-1)/(COUNTA(Table261424[[#This Row],[1]:[11]])-COUNTBLANK(Table261424[[#This Row],[1]:[11]])-1)))</f>
        <v>#N/A</v>
      </c>
      <c r="N71" s="28"/>
      <c r="O71" s="39" t="str" cm="1">
        <f t="array" ref="O71">IFERROR(INDEX(_xlfn.UNIQUE(TRIM(_xlfn.TEXTSPLIT(Table261424[[#This Row],[Selection Options]:[Selection Options]],","))),,O$11),"")</f>
        <v>100%: Supported as delivered out of the box</v>
      </c>
      <c r="P71" s="39" t="str" cm="1">
        <f t="array" ref="P71">IFERROR(INDEX(_xlfn.UNIQUE(TRIM(_xlfn.TEXTSPLIT(Table261424[[#This Row],[Selection Options]:[Selection Options]],","))),,P$11),"")</f>
        <v xml:space="preserve">
75%: Supported via modifications (config)</v>
      </c>
      <c r="Q71" s="39" t="str" cm="1">
        <f t="array" ref="Q71">IFERROR(INDEX(_xlfn.UNIQUE(TRIM(_xlfn.TEXTSPLIT(Table261424[[#This Row],[Selection Options]:[Selection Options]],","))),,Q$11),"")</f>
        <v xml:space="preserve">
50%: Supported via a third party solution</v>
      </c>
      <c r="R71" s="39" t="str" cm="1">
        <f t="array" ref="R71">IFERROR(INDEX(_xlfn.UNIQUE(TRIM(_xlfn.TEXTSPLIT(Table261424[[#This Row],[Selection Options]:[Selection Options]],","))),,R$11),"")</f>
        <v xml:space="preserve">
25%: Supported via customisation (source code changes)</v>
      </c>
      <c r="S71" s="177" t="str" cm="1">
        <f t="array" ref="S71">IFERROR(INDEX(_xlfn.UNIQUE(TRIM(_xlfn.TEXTSPLIT(Table261424[[#This Row],[Selection Options]:[Selection Options]],","))),,S$11),"")</f>
        <v xml:space="preserve">
 0%: Not currently supported</v>
      </c>
      <c r="T71" s="39" t="str" cm="1">
        <f t="array" ref="T71">IFERROR(INDEX(_xlfn.UNIQUE(TRIM(_xlfn.TEXTSPLIT(Table261424[[#This Row],[Selection Options]:[Selection Options]],","))),,T$11),"")</f>
        <v/>
      </c>
      <c r="U71" s="39" t="str" cm="1">
        <f t="array" ref="U71">IFERROR(INDEX(_xlfn.UNIQUE(TRIM(_xlfn.TEXTSPLIT(Table261424[[#This Row],[Selection Options]:[Selection Options]],","))),,U$11),"")</f>
        <v/>
      </c>
      <c r="V71" s="39" t="str" cm="1">
        <f t="array" ref="V71">IFERROR(INDEX(_xlfn.UNIQUE(TRIM(_xlfn.TEXTSPLIT(Table261424[[#This Row],[Selection Options]:[Selection Options]],","))),,V$11),"")</f>
        <v/>
      </c>
      <c r="W71" s="39" t="str" cm="1">
        <f t="array" ref="W71">IFERROR(INDEX(_xlfn.UNIQUE(TRIM(_xlfn.TEXTSPLIT(Table261424[[#This Row],[Selection Options]:[Selection Options]],","))),,W$11),"")</f>
        <v/>
      </c>
      <c r="X71" s="39" t="str" cm="1">
        <f t="array" ref="X71">IFERROR(INDEX(_xlfn.UNIQUE(TRIM(_xlfn.TEXTSPLIT(Table261424[[#This Row],[Selection Options]:[Selection Options]],","))),,X$11),"")</f>
        <v/>
      </c>
      <c r="Y71" s="39" t="str" cm="1">
        <f t="array" ref="Y71">IFERROR(INDEX(_xlfn.UNIQUE(TRIM(_xlfn.TEXTSPLIT(Table261424[[#This Row],[Selection Options]:[Selection Options]],","))),,Y$11),"")</f>
        <v/>
      </c>
      <c r="Z71" s="30" cm="1">
        <f t="array" ref="Z71">IF(Table261424[[#This Row],[1]]="","",Table261424[[#This Row],[Weight]:[Weight]]-(Table261424[[#This Row],[Weight]:[Weight]]*((_xlfn.XMATCH(Table261424[[#This Row],[1]],Table261424[[#This Row],[1]:[11]],0))-1)/(COUNTA(Table261424[[#This Row],[1]:[11]])-COUNTBLANK(Table261424[[#This Row],[1]:[11]])-1)))</f>
        <v>3.4153005464480874E-4</v>
      </c>
      <c r="AA71" s="30" cm="1">
        <f t="array" ref="AA71">IF(Table261424[[#This Row],[2]]="","",Table261424[[#This Row],[Weight]:[Weight]]-(Table261424[[#This Row],[Weight]:[Weight]]*((_xlfn.XMATCH(Table261424[[#This Row],[2]],Table261424[[#This Row],[1]:[11]],0))-1)/(COUNTA(Table261424[[#This Row],[1]:[11]])-COUNTBLANK(Table261424[[#This Row],[1]:[11]])-1)))</f>
        <v>2.5614754098360657E-4</v>
      </c>
      <c r="AB71" s="30" cm="1">
        <f t="array" ref="AB71">IF(Table261424[[#This Row],[3]]="","",Table261424[[#This Row],[Weight]:[Weight]]-(Table261424[[#This Row],[Weight]:[Weight]]*((_xlfn.XMATCH(Table261424[[#This Row],[3]],Table261424[[#This Row],[1]:[11]],0))-1)/(COUNTA(Table261424[[#This Row],[1]:[11]])-COUNTBLANK(Table261424[[#This Row],[1]:[11]])-1)))</f>
        <v>1.7076502732240437E-4</v>
      </c>
      <c r="AC71" s="30" cm="1">
        <f t="array" ref="AC71">IF(Table261424[[#This Row],[4]]="","",Table261424[[#This Row],[Weight]:[Weight]]-(Table261424[[#This Row],[Weight]:[Weight]]*((_xlfn.XMATCH(Table261424[[#This Row],[4]],Table261424[[#This Row],[1]:[11]],0))-1)/(COUNTA(Table261424[[#This Row],[1]:[11]])-COUNTBLANK(Table261424[[#This Row],[1]:[11]])-1)))</f>
        <v>8.5382513661202172E-5</v>
      </c>
      <c r="AD71" s="30" cm="1">
        <f t="array" ref="AD71">IF(Table261424[[#This Row],[5]]="","",Table261424[[#This Row],[Weight]:[Weight]]-(Table261424[[#This Row],[Weight]:[Weight]]*((_xlfn.XMATCH(Table261424[[#This Row],[5]],Table261424[[#This Row],[1]:[11]],0))-1)/(COUNTA(Table261424[[#This Row],[1]:[11]])-COUNTBLANK(Table261424[[#This Row],[1]:[11]])-1)))</f>
        <v>0</v>
      </c>
      <c r="AE71" s="30" t="str" cm="1">
        <f t="array" ref="AE71">IF(Table261424[[#This Row],[6]]="","",Table261424[[#This Row],[Weight]:[Weight]]-(Table261424[[#This Row],[Weight]:[Weight]]*((_xlfn.XMATCH(Table261424[[#This Row],[6]],Table261424[[#This Row],[1]:[11]],0))-1)/(COUNTA(Table261424[[#This Row],[1]:[11]])-COUNTBLANK(Table261424[[#This Row],[1]:[11]])-1)))</f>
        <v/>
      </c>
      <c r="AF71" s="30" t="str" cm="1">
        <f t="array" ref="AF71">IF(Table261424[[#This Row],[7]]="","",Table261424[[#This Row],[Weight]:[Weight]]-(Table261424[[#This Row],[Weight]:[Weight]]*((_xlfn.XMATCH(Table261424[[#This Row],[7]],Table261424[[#This Row],[1]:[11]],0))-1)/(COUNTA(Table261424[[#This Row],[1]:[11]])-COUNTBLANK(Table261424[[#This Row],[1]:[11]])-1)))</f>
        <v/>
      </c>
      <c r="AG71" s="30" t="str" cm="1">
        <f t="array" ref="AG71">IF(Table261424[[#This Row],[8]]="","",Table261424[[#This Row],[Weight]:[Weight]]-(Table261424[[#This Row],[Weight]:[Weight]]*((_xlfn.XMATCH(Table261424[[#This Row],[8]],Table261424[[#This Row],[1]:[11]],0))-1)/(COUNTA(Table261424[[#This Row],[1]:[11]])-COUNTBLANK(Table261424[[#This Row],[1]:[11]])-1)))</f>
        <v/>
      </c>
      <c r="AH71" s="39" t="str" cm="1">
        <f t="array" ref="AH71">IF(Table261424[[#This Row],[9]]="","",Table261424[[#This Row],[Weight]:[Weight]]-(Table261424[[#This Row],[Weight]:[Weight]]*((_xlfn.XMATCH(Table261424[[#This Row],[9]],Table261424[[#This Row],[1]:[11]],0))-1)/(COUNTA(Table261424[[#This Row],[1]:[11]])-COUNTBLANK(Table261424[[#This Row],[1]:[11]])-1)))</f>
        <v/>
      </c>
      <c r="AI71" s="39" t="str" cm="1">
        <f t="array" ref="AI71">IF(Table261424[[#This Row],[10]]="","",Table261424[[#This Row],[Weight]:[Weight]]-(Table261424[[#This Row],[Weight]:[Weight]]*((_xlfn.XMATCH(Table261424[[#This Row],[10]],Table261424[[#This Row],[1]:[11]],0))-1)/(COUNTA(Table261424[[#This Row],[1]:[11]])-COUNTBLANK(Table261424[[#This Row],[1]:[11]])-1)))</f>
        <v/>
      </c>
      <c r="AJ71" s="39" t="str" cm="1">
        <f t="array" ref="AJ71">IF(Table261424[[#This Row],[11]]="","",Table261424[[#This Row],[Weight]:[Weight]]-(Table261424[[#This Row],[Weight]:[Weight]]*((_xlfn.XMATCH(Table261424[[#This Row],[11]],Table261424[[#This Row],[1]:[11]],0))-1)/(COUNTA(Table261424[[#This Row],[1]:[11]])-COUNTBLANK(Table261424[[#This Row],[1]:[11]])-1)))</f>
        <v/>
      </c>
    </row>
    <row r="72" spans="1:36" s="167" customFormat="1" ht="53.45" customHeight="1" x14ac:dyDescent="0.2">
      <c r="A72" s="173">
        <v>60</v>
      </c>
      <c r="B72" s="21" t="s">
        <v>276</v>
      </c>
      <c r="C72" s="178" t="s">
        <v>215</v>
      </c>
      <c r="D72" s="179"/>
      <c r="E72" s="28"/>
      <c r="F72" s="28"/>
      <c r="G72" s="159" t="s">
        <v>188</v>
      </c>
      <c r="H72" s="155" cm="1">
        <f t="array" ref="H72">_xlfn.IFS(G72="","",G72="No interest",0,G72="Nice to have",1,G72="Useful",2,G72="Important",3,G72="Very important",4,G72="Critical",5,G72="Show stopper",6)</f>
        <v>5</v>
      </c>
      <c r="I72" s="156">
        <f t="shared" si="5"/>
        <v>3.4153005464480874E-4</v>
      </c>
      <c r="J72" s="157" t="s">
        <v>216</v>
      </c>
      <c r="K72" s="158" t="str" cm="1">
        <f t="array" ref="K72">_xlfn.TEXTJOIN(","&amp;CHAR(10),,TEXT(Table261424[[#This Row],[12]:[22]],"0,00%"))</f>
        <v>0,00%,
0,00%,
0,00%,
0,00%,
0,00%</v>
      </c>
      <c r="L72" s="175"/>
      <c r="M72" s="176" t="e">
        <f>I72-(I72*((MATCH(Table261424[[#This Row],[Evaluators Response (SELECT)]],Table261424[[#This Row],[1]:[11]],0)-1)/(COUNTA(Table261424[[#This Row],[1]:[11]])-COUNTBLANK(Table261424[[#This Row],[1]:[11]])-1)))</f>
        <v>#N/A</v>
      </c>
      <c r="N72" s="28"/>
      <c r="O72" s="39" t="str" cm="1">
        <f t="array" ref="O72">IFERROR(INDEX(_xlfn.UNIQUE(TRIM(_xlfn.TEXTSPLIT(Table261424[[#This Row],[Selection Options]:[Selection Options]],","))),,O$11),"")</f>
        <v>100%: Supported as delivered out of the box</v>
      </c>
      <c r="P72" s="39" t="str" cm="1">
        <f t="array" ref="P72">IFERROR(INDEX(_xlfn.UNIQUE(TRIM(_xlfn.TEXTSPLIT(Table261424[[#This Row],[Selection Options]:[Selection Options]],","))),,P$11),"")</f>
        <v xml:space="preserve">
75%: Supported via modifications (config)</v>
      </c>
      <c r="Q72" s="39" t="str" cm="1">
        <f t="array" ref="Q72">IFERROR(INDEX(_xlfn.UNIQUE(TRIM(_xlfn.TEXTSPLIT(Table261424[[#This Row],[Selection Options]:[Selection Options]],","))),,Q$11),"")</f>
        <v xml:space="preserve">
50%: Supported via a third party solution</v>
      </c>
      <c r="R72" s="39" t="str" cm="1">
        <f t="array" ref="R72">IFERROR(INDEX(_xlfn.UNIQUE(TRIM(_xlfn.TEXTSPLIT(Table261424[[#This Row],[Selection Options]:[Selection Options]],","))),,R$11),"")</f>
        <v xml:space="preserve">
25%: Supported via customisation (source code changes)</v>
      </c>
      <c r="S72" s="177" t="str" cm="1">
        <f t="array" ref="S72">IFERROR(INDEX(_xlfn.UNIQUE(TRIM(_xlfn.TEXTSPLIT(Table261424[[#This Row],[Selection Options]:[Selection Options]],","))),,S$11),"")</f>
        <v xml:space="preserve">
 0%: Not currently supported</v>
      </c>
      <c r="T72" s="39" t="str" cm="1">
        <f t="array" ref="T72">IFERROR(INDEX(_xlfn.UNIQUE(TRIM(_xlfn.TEXTSPLIT(Table261424[[#This Row],[Selection Options]:[Selection Options]],","))),,T$11),"")</f>
        <v/>
      </c>
      <c r="U72" s="39" t="str" cm="1">
        <f t="array" ref="U72">IFERROR(INDEX(_xlfn.UNIQUE(TRIM(_xlfn.TEXTSPLIT(Table261424[[#This Row],[Selection Options]:[Selection Options]],","))),,U$11),"")</f>
        <v/>
      </c>
      <c r="V72" s="39" t="str" cm="1">
        <f t="array" ref="V72">IFERROR(INDEX(_xlfn.UNIQUE(TRIM(_xlfn.TEXTSPLIT(Table261424[[#This Row],[Selection Options]:[Selection Options]],","))),,V$11),"")</f>
        <v/>
      </c>
      <c r="W72" s="39" t="str" cm="1">
        <f t="array" ref="W72">IFERROR(INDEX(_xlfn.UNIQUE(TRIM(_xlfn.TEXTSPLIT(Table261424[[#This Row],[Selection Options]:[Selection Options]],","))),,W$11),"")</f>
        <v/>
      </c>
      <c r="X72" s="39" t="str" cm="1">
        <f t="array" ref="X72">IFERROR(INDEX(_xlfn.UNIQUE(TRIM(_xlfn.TEXTSPLIT(Table261424[[#This Row],[Selection Options]:[Selection Options]],","))),,X$11),"")</f>
        <v/>
      </c>
      <c r="Y72" s="39" t="str" cm="1">
        <f t="array" ref="Y72">IFERROR(INDEX(_xlfn.UNIQUE(TRIM(_xlfn.TEXTSPLIT(Table261424[[#This Row],[Selection Options]:[Selection Options]],","))),,Y$11),"")</f>
        <v/>
      </c>
      <c r="Z72" s="30" cm="1">
        <f t="array" ref="Z72">IF(Table261424[[#This Row],[1]]="","",Table261424[[#This Row],[Weight]:[Weight]]-(Table261424[[#This Row],[Weight]:[Weight]]*((_xlfn.XMATCH(Table261424[[#This Row],[1]],Table261424[[#This Row],[1]:[11]],0))-1)/(COUNTA(Table261424[[#This Row],[1]:[11]])-COUNTBLANK(Table261424[[#This Row],[1]:[11]])-1)))</f>
        <v>3.4153005464480874E-4</v>
      </c>
      <c r="AA72" s="30" cm="1">
        <f t="array" ref="AA72">IF(Table261424[[#This Row],[2]]="","",Table261424[[#This Row],[Weight]:[Weight]]-(Table261424[[#This Row],[Weight]:[Weight]]*((_xlfn.XMATCH(Table261424[[#This Row],[2]],Table261424[[#This Row],[1]:[11]],0))-1)/(COUNTA(Table261424[[#This Row],[1]:[11]])-COUNTBLANK(Table261424[[#This Row],[1]:[11]])-1)))</f>
        <v>2.5614754098360657E-4</v>
      </c>
      <c r="AB72" s="30" cm="1">
        <f t="array" ref="AB72">IF(Table261424[[#This Row],[3]]="","",Table261424[[#This Row],[Weight]:[Weight]]-(Table261424[[#This Row],[Weight]:[Weight]]*((_xlfn.XMATCH(Table261424[[#This Row],[3]],Table261424[[#This Row],[1]:[11]],0))-1)/(COUNTA(Table261424[[#This Row],[1]:[11]])-COUNTBLANK(Table261424[[#This Row],[1]:[11]])-1)))</f>
        <v>1.7076502732240437E-4</v>
      </c>
      <c r="AC72" s="30" cm="1">
        <f t="array" ref="AC72">IF(Table261424[[#This Row],[4]]="","",Table261424[[#This Row],[Weight]:[Weight]]-(Table261424[[#This Row],[Weight]:[Weight]]*((_xlfn.XMATCH(Table261424[[#This Row],[4]],Table261424[[#This Row],[1]:[11]],0))-1)/(COUNTA(Table261424[[#This Row],[1]:[11]])-COUNTBLANK(Table261424[[#This Row],[1]:[11]])-1)))</f>
        <v>8.5382513661202172E-5</v>
      </c>
      <c r="AD72" s="30" cm="1">
        <f t="array" ref="AD72">IF(Table261424[[#This Row],[5]]="","",Table261424[[#This Row],[Weight]:[Weight]]-(Table261424[[#This Row],[Weight]:[Weight]]*((_xlfn.XMATCH(Table261424[[#This Row],[5]],Table261424[[#This Row],[1]:[11]],0))-1)/(COUNTA(Table261424[[#This Row],[1]:[11]])-COUNTBLANK(Table261424[[#This Row],[1]:[11]])-1)))</f>
        <v>0</v>
      </c>
      <c r="AE72" s="30" t="str" cm="1">
        <f t="array" ref="AE72">IF(Table261424[[#This Row],[6]]="","",Table261424[[#This Row],[Weight]:[Weight]]-(Table261424[[#This Row],[Weight]:[Weight]]*((_xlfn.XMATCH(Table261424[[#This Row],[6]],Table261424[[#This Row],[1]:[11]],0))-1)/(COUNTA(Table261424[[#This Row],[1]:[11]])-COUNTBLANK(Table261424[[#This Row],[1]:[11]])-1)))</f>
        <v/>
      </c>
      <c r="AF72" s="30" t="str" cm="1">
        <f t="array" ref="AF72">IF(Table261424[[#This Row],[7]]="","",Table261424[[#This Row],[Weight]:[Weight]]-(Table261424[[#This Row],[Weight]:[Weight]]*((_xlfn.XMATCH(Table261424[[#This Row],[7]],Table261424[[#This Row],[1]:[11]],0))-1)/(COUNTA(Table261424[[#This Row],[1]:[11]])-COUNTBLANK(Table261424[[#This Row],[1]:[11]])-1)))</f>
        <v/>
      </c>
      <c r="AG72" s="30" t="str" cm="1">
        <f t="array" ref="AG72">IF(Table261424[[#This Row],[8]]="","",Table261424[[#This Row],[Weight]:[Weight]]-(Table261424[[#This Row],[Weight]:[Weight]]*((_xlfn.XMATCH(Table261424[[#This Row],[8]],Table261424[[#This Row],[1]:[11]],0))-1)/(COUNTA(Table261424[[#This Row],[1]:[11]])-COUNTBLANK(Table261424[[#This Row],[1]:[11]])-1)))</f>
        <v/>
      </c>
      <c r="AH72" s="39" t="str" cm="1">
        <f t="array" ref="AH72">IF(Table261424[[#This Row],[9]]="","",Table261424[[#This Row],[Weight]:[Weight]]-(Table261424[[#This Row],[Weight]:[Weight]]*((_xlfn.XMATCH(Table261424[[#This Row],[9]],Table261424[[#This Row],[1]:[11]],0))-1)/(COUNTA(Table261424[[#This Row],[1]:[11]])-COUNTBLANK(Table261424[[#This Row],[1]:[11]])-1)))</f>
        <v/>
      </c>
      <c r="AI72" s="39" t="str" cm="1">
        <f t="array" ref="AI72">IF(Table261424[[#This Row],[10]]="","",Table261424[[#This Row],[Weight]:[Weight]]-(Table261424[[#This Row],[Weight]:[Weight]]*((_xlfn.XMATCH(Table261424[[#This Row],[10]],Table261424[[#This Row],[1]:[11]],0))-1)/(COUNTA(Table261424[[#This Row],[1]:[11]])-COUNTBLANK(Table261424[[#This Row],[1]:[11]])-1)))</f>
        <v/>
      </c>
      <c r="AJ72" s="39" t="str" cm="1">
        <f t="array" ref="AJ72">IF(Table261424[[#This Row],[11]]="","",Table261424[[#This Row],[Weight]:[Weight]]-(Table261424[[#This Row],[Weight]:[Weight]]*((_xlfn.XMATCH(Table261424[[#This Row],[11]],Table261424[[#This Row],[1]:[11]],0))-1)/(COUNTA(Table261424[[#This Row],[1]:[11]])-COUNTBLANK(Table261424[[#This Row],[1]:[11]])-1)))</f>
        <v/>
      </c>
    </row>
    <row r="73" spans="1:36" s="167" customFormat="1" ht="47.45" customHeight="1" x14ac:dyDescent="0.2">
      <c r="A73" s="173">
        <v>61</v>
      </c>
      <c r="B73" s="158" t="s">
        <v>277</v>
      </c>
      <c r="C73" s="178" t="s">
        <v>215</v>
      </c>
      <c r="D73" s="179"/>
      <c r="E73" s="38"/>
      <c r="F73" s="38"/>
      <c r="G73" s="159" t="s">
        <v>188</v>
      </c>
      <c r="H73" s="160" cm="1">
        <f t="array" ref="H73">_xlfn.IFS(G73="","",G73="No interest",0,G73="Nice to have",1,G73="Useful",2,G73="Important",3,G73="Very important",4,G73="Critical",5,G73="Show stopper",6)</f>
        <v>5</v>
      </c>
      <c r="I73" s="161">
        <f t="shared" si="5"/>
        <v>3.4153005464480874E-4</v>
      </c>
      <c r="J73" s="157" t="s">
        <v>216</v>
      </c>
      <c r="K73" s="158" t="str" cm="1">
        <f t="array" ref="K73">_xlfn.TEXTJOIN(","&amp;CHAR(10),,TEXT(Table261424[[#This Row],[12]:[22]],"0,00%"))</f>
        <v>0,00%,
0,00%,
0,00%,
0,00%,
0,00%</v>
      </c>
      <c r="L73" s="180"/>
      <c r="M73" s="181" t="e">
        <f>I73-(I73*((MATCH(Table261424[[#This Row],[Evaluators Response (SELECT)]],Table261424[[#This Row],[1]:[11]],0)-1)/(COUNTA(Table261424[[#This Row],[1]:[11]])-COUNTBLANK(Table261424[[#This Row],[1]:[11]])-1)))</f>
        <v>#N/A</v>
      </c>
      <c r="N73" s="38"/>
      <c r="O73" s="29" t="str" cm="1">
        <f t="array" ref="O73">IFERROR(INDEX(_xlfn.UNIQUE(TRIM(_xlfn.TEXTSPLIT(Table261424[[#This Row],[Selection Options]:[Selection Options]],","))),,O$11),"")</f>
        <v>100%: Supported as delivered out of the box</v>
      </c>
      <c r="P73" s="29" t="str" cm="1">
        <f t="array" ref="P73">IFERROR(INDEX(_xlfn.UNIQUE(TRIM(_xlfn.TEXTSPLIT(Table261424[[#This Row],[Selection Options]:[Selection Options]],","))),,P$11),"")</f>
        <v xml:space="preserve">
75%: Supported via modifications (config)</v>
      </c>
      <c r="Q73" s="29" t="str" cm="1">
        <f t="array" ref="Q73">IFERROR(INDEX(_xlfn.UNIQUE(TRIM(_xlfn.TEXTSPLIT(Table261424[[#This Row],[Selection Options]:[Selection Options]],","))),,Q$11),"")</f>
        <v xml:space="preserve">
50%: Supported via a third party solution</v>
      </c>
      <c r="R73" s="29" t="str" cm="1">
        <f t="array" ref="R73">IFERROR(INDEX(_xlfn.UNIQUE(TRIM(_xlfn.TEXTSPLIT(Table261424[[#This Row],[Selection Options]:[Selection Options]],","))),,R$11),"")</f>
        <v xml:space="preserve">
25%: Supported via customisation (source code changes)</v>
      </c>
      <c r="S73" s="182" t="str" cm="1">
        <f t="array" ref="S73">IFERROR(INDEX(_xlfn.UNIQUE(TRIM(_xlfn.TEXTSPLIT(Table261424[[#This Row],[Selection Options]:[Selection Options]],","))),,S$11),"")</f>
        <v xml:space="preserve">
 0%: Not currently supported</v>
      </c>
      <c r="T73" s="29" t="str" cm="1">
        <f t="array" ref="T73">IFERROR(INDEX(_xlfn.UNIQUE(TRIM(_xlfn.TEXTSPLIT(Table261424[[#This Row],[Selection Options]:[Selection Options]],","))),,T$11),"")</f>
        <v/>
      </c>
      <c r="U73" s="29" t="str" cm="1">
        <f t="array" ref="U73">IFERROR(INDEX(_xlfn.UNIQUE(TRIM(_xlfn.TEXTSPLIT(Table261424[[#This Row],[Selection Options]:[Selection Options]],","))),,U$11),"")</f>
        <v/>
      </c>
      <c r="V73" s="29" t="str" cm="1">
        <f t="array" ref="V73">IFERROR(INDEX(_xlfn.UNIQUE(TRIM(_xlfn.TEXTSPLIT(Table261424[[#This Row],[Selection Options]:[Selection Options]],","))),,V$11),"")</f>
        <v/>
      </c>
      <c r="W73" s="29" t="str" cm="1">
        <f t="array" ref="W73">IFERROR(INDEX(_xlfn.UNIQUE(TRIM(_xlfn.TEXTSPLIT(Table261424[[#This Row],[Selection Options]:[Selection Options]],","))),,W$11),"")</f>
        <v/>
      </c>
      <c r="X73" s="29" t="str" cm="1">
        <f t="array" ref="X73">IFERROR(INDEX(_xlfn.UNIQUE(TRIM(_xlfn.TEXTSPLIT(Table261424[[#This Row],[Selection Options]:[Selection Options]],","))),,X$11),"")</f>
        <v/>
      </c>
      <c r="Y73" s="29" t="str" cm="1">
        <f t="array" ref="Y73">IFERROR(INDEX(_xlfn.UNIQUE(TRIM(_xlfn.TEXTSPLIT(Table261424[[#This Row],[Selection Options]:[Selection Options]],","))),,Y$11),"")</f>
        <v/>
      </c>
      <c r="Z73" s="183" cm="1">
        <f t="array" ref="Z73">IF(Table261424[[#This Row],[1]]="","",Table261424[[#This Row],[Weight]:[Weight]]-(Table261424[[#This Row],[Weight]:[Weight]]*((_xlfn.XMATCH(Table261424[[#This Row],[1]],Table261424[[#This Row],[1]:[11]],0))-1)/(COUNTA(Table261424[[#This Row],[1]:[11]])-COUNTBLANK(Table261424[[#This Row],[1]:[11]])-1)))</f>
        <v>3.4153005464480874E-4</v>
      </c>
      <c r="AA73" s="183" cm="1">
        <f t="array" ref="AA73">IF(Table261424[[#This Row],[2]]="","",Table261424[[#This Row],[Weight]:[Weight]]-(Table261424[[#This Row],[Weight]:[Weight]]*((_xlfn.XMATCH(Table261424[[#This Row],[2]],Table261424[[#This Row],[1]:[11]],0))-1)/(COUNTA(Table261424[[#This Row],[1]:[11]])-COUNTBLANK(Table261424[[#This Row],[1]:[11]])-1)))</f>
        <v>2.5614754098360657E-4</v>
      </c>
      <c r="AB73" s="183" cm="1">
        <f t="array" ref="AB73">IF(Table261424[[#This Row],[3]]="","",Table261424[[#This Row],[Weight]:[Weight]]-(Table261424[[#This Row],[Weight]:[Weight]]*((_xlfn.XMATCH(Table261424[[#This Row],[3]],Table261424[[#This Row],[1]:[11]],0))-1)/(COUNTA(Table261424[[#This Row],[1]:[11]])-COUNTBLANK(Table261424[[#This Row],[1]:[11]])-1)))</f>
        <v>1.7076502732240437E-4</v>
      </c>
      <c r="AC73" s="183" cm="1">
        <f t="array" ref="AC73">IF(Table261424[[#This Row],[4]]="","",Table261424[[#This Row],[Weight]:[Weight]]-(Table261424[[#This Row],[Weight]:[Weight]]*((_xlfn.XMATCH(Table261424[[#This Row],[4]],Table261424[[#This Row],[1]:[11]],0))-1)/(COUNTA(Table261424[[#This Row],[1]:[11]])-COUNTBLANK(Table261424[[#This Row],[1]:[11]])-1)))</f>
        <v>8.5382513661202172E-5</v>
      </c>
      <c r="AD73" s="183" cm="1">
        <f t="array" ref="AD73">IF(Table261424[[#This Row],[5]]="","",Table261424[[#This Row],[Weight]:[Weight]]-(Table261424[[#This Row],[Weight]:[Weight]]*((_xlfn.XMATCH(Table261424[[#This Row],[5]],Table261424[[#This Row],[1]:[11]],0))-1)/(COUNTA(Table261424[[#This Row],[1]:[11]])-COUNTBLANK(Table261424[[#This Row],[1]:[11]])-1)))</f>
        <v>0</v>
      </c>
      <c r="AE73" s="183" t="str" cm="1">
        <f t="array" ref="AE73">IF(Table261424[[#This Row],[6]]="","",Table261424[[#This Row],[Weight]:[Weight]]-(Table261424[[#This Row],[Weight]:[Weight]]*((_xlfn.XMATCH(Table261424[[#This Row],[6]],Table261424[[#This Row],[1]:[11]],0))-1)/(COUNTA(Table261424[[#This Row],[1]:[11]])-COUNTBLANK(Table261424[[#This Row],[1]:[11]])-1)))</f>
        <v/>
      </c>
      <c r="AF73" s="183" t="str" cm="1">
        <f t="array" ref="AF73">IF(Table261424[[#This Row],[7]]="","",Table261424[[#This Row],[Weight]:[Weight]]-(Table261424[[#This Row],[Weight]:[Weight]]*((_xlfn.XMATCH(Table261424[[#This Row],[7]],Table261424[[#This Row],[1]:[11]],0))-1)/(COUNTA(Table261424[[#This Row],[1]:[11]])-COUNTBLANK(Table261424[[#This Row],[1]:[11]])-1)))</f>
        <v/>
      </c>
      <c r="AG73" s="183" t="str" cm="1">
        <f t="array" ref="AG73">IF(Table261424[[#This Row],[8]]="","",Table261424[[#This Row],[Weight]:[Weight]]-(Table261424[[#This Row],[Weight]:[Weight]]*((_xlfn.XMATCH(Table261424[[#This Row],[8]],Table261424[[#This Row],[1]:[11]],0))-1)/(COUNTA(Table261424[[#This Row],[1]:[11]])-COUNTBLANK(Table261424[[#This Row],[1]:[11]])-1)))</f>
        <v/>
      </c>
      <c r="AH73" s="29" t="str" cm="1">
        <f t="array" ref="AH73">IF(Table261424[[#This Row],[9]]="","",Table261424[[#This Row],[Weight]:[Weight]]-(Table261424[[#This Row],[Weight]:[Weight]]*((_xlfn.XMATCH(Table261424[[#This Row],[9]],Table261424[[#This Row],[1]:[11]],0))-1)/(COUNTA(Table261424[[#This Row],[1]:[11]])-COUNTBLANK(Table261424[[#This Row],[1]:[11]])-1)))</f>
        <v/>
      </c>
      <c r="AI73" s="29" t="str" cm="1">
        <f t="array" ref="AI73">IF(Table261424[[#This Row],[10]]="","",Table261424[[#This Row],[Weight]:[Weight]]-(Table261424[[#This Row],[Weight]:[Weight]]*((_xlfn.XMATCH(Table261424[[#This Row],[10]],Table261424[[#This Row],[1]:[11]],0))-1)/(COUNTA(Table261424[[#This Row],[1]:[11]])-COUNTBLANK(Table261424[[#This Row],[1]:[11]])-1)))</f>
        <v/>
      </c>
      <c r="AJ73" s="29" t="str" cm="1">
        <f t="array" ref="AJ73">IF(Table261424[[#This Row],[11]]="","",Table261424[[#This Row],[Weight]:[Weight]]-(Table261424[[#This Row],[Weight]:[Weight]]*((_xlfn.XMATCH(Table261424[[#This Row],[11]],Table261424[[#This Row],[1]:[11]],0))-1)/(COUNTA(Table261424[[#This Row],[1]:[11]])-COUNTBLANK(Table261424[[#This Row],[1]:[11]])-1)))</f>
        <v/>
      </c>
    </row>
    <row r="74" spans="1:36" s="167" customFormat="1" ht="72" x14ac:dyDescent="0.2">
      <c r="A74" s="173">
        <v>62</v>
      </c>
      <c r="B74" s="21" t="s">
        <v>278</v>
      </c>
      <c r="C74" s="178" t="s">
        <v>215</v>
      </c>
      <c r="D74" s="179"/>
      <c r="E74" s="28"/>
      <c r="F74" s="28"/>
      <c r="G74" s="159" t="s">
        <v>60</v>
      </c>
      <c r="H74" s="155" cm="1">
        <f t="array" ref="H74">_xlfn.IFS(G74="","",G74="No interest",0,G74="Nice to have",1,G74="Useful",2,G74="Important",3,G74="Very important",4,G74="Critical",5,G74="Show stopper",6)</f>
        <v>6</v>
      </c>
      <c r="I74" s="156">
        <f t="shared" ref="I74:I80" si="6">(H74/$H$11)*$G$11</f>
        <v>4.0983606557377049E-4</v>
      </c>
      <c r="J74" s="157" t="s">
        <v>216</v>
      </c>
      <c r="K74" s="158" t="str" cm="1">
        <f t="array" ref="K74">_xlfn.TEXTJOIN(","&amp;CHAR(10),,TEXT(Table261424[[#This Row],[12]:[22]],"0,00%"))</f>
        <v>0,00%,
0,00%,
0,00%,
0,00%,
0,00%</v>
      </c>
      <c r="L74" s="175"/>
      <c r="M74" s="176" t="e">
        <f>I74-(I74*((MATCH(Table261424[[#This Row],[Evaluators Response (SELECT)]],Table261424[[#This Row],[1]:[11]],0)-1)/(COUNTA(Table261424[[#This Row],[1]:[11]])-COUNTBLANK(Table261424[[#This Row],[1]:[11]])-1)))</f>
        <v>#N/A</v>
      </c>
      <c r="N74" s="28"/>
      <c r="O74" s="39" t="str" cm="1">
        <f t="array" ref="O74">IFERROR(INDEX(_xlfn.UNIQUE(TRIM(_xlfn.TEXTSPLIT(Table261424[[#This Row],[Selection Options]:[Selection Options]],","))),,O$11),"")</f>
        <v>100%: Supported as delivered out of the box</v>
      </c>
      <c r="P74" s="39" t="str" cm="1">
        <f t="array" ref="P74">IFERROR(INDEX(_xlfn.UNIQUE(TRIM(_xlfn.TEXTSPLIT(Table261424[[#This Row],[Selection Options]:[Selection Options]],","))),,P$11),"")</f>
        <v xml:space="preserve">
75%: Supported via modifications (config)</v>
      </c>
      <c r="Q74" s="39" t="str" cm="1">
        <f t="array" ref="Q74">IFERROR(INDEX(_xlfn.UNIQUE(TRIM(_xlfn.TEXTSPLIT(Table261424[[#This Row],[Selection Options]:[Selection Options]],","))),,Q$11),"")</f>
        <v xml:space="preserve">
50%: Supported via a third party solution</v>
      </c>
      <c r="R74" s="39" t="str" cm="1">
        <f t="array" ref="R74">IFERROR(INDEX(_xlfn.UNIQUE(TRIM(_xlfn.TEXTSPLIT(Table261424[[#This Row],[Selection Options]:[Selection Options]],","))),,R$11),"")</f>
        <v xml:space="preserve">
25%: Supported via customisation (source code changes)</v>
      </c>
      <c r="S74" s="177" t="str" cm="1">
        <f t="array" ref="S74">IFERROR(INDEX(_xlfn.UNIQUE(TRIM(_xlfn.TEXTSPLIT(Table261424[[#This Row],[Selection Options]:[Selection Options]],","))),,S$11),"")</f>
        <v xml:space="preserve">
 0%: Not currently supported</v>
      </c>
      <c r="T74" s="39" t="str" cm="1">
        <f t="array" ref="T74">IFERROR(INDEX(_xlfn.UNIQUE(TRIM(_xlfn.TEXTSPLIT(Table261424[[#This Row],[Selection Options]:[Selection Options]],","))),,T$11),"")</f>
        <v/>
      </c>
      <c r="U74" s="39" t="str" cm="1">
        <f t="array" ref="U74">IFERROR(INDEX(_xlfn.UNIQUE(TRIM(_xlfn.TEXTSPLIT(Table261424[[#This Row],[Selection Options]:[Selection Options]],","))),,U$11),"")</f>
        <v/>
      </c>
      <c r="V74" s="39" t="str" cm="1">
        <f t="array" ref="V74">IFERROR(INDEX(_xlfn.UNIQUE(TRIM(_xlfn.TEXTSPLIT(Table261424[[#This Row],[Selection Options]:[Selection Options]],","))),,V$11),"")</f>
        <v/>
      </c>
      <c r="W74" s="39" t="str" cm="1">
        <f t="array" ref="W74">IFERROR(INDEX(_xlfn.UNIQUE(TRIM(_xlfn.TEXTSPLIT(Table261424[[#This Row],[Selection Options]:[Selection Options]],","))),,W$11),"")</f>
        <v/>
      </c>
      <c r="X74" s="39" t="str" cm="1">
        <f t="array" ref="X74">IFERROR(INDEX(_xlfn.UNIQUE(TRIM(_xlfn.TEXTSPLIT(Table261424[[#This Row],[Selection Options]:[Selection Options]],","))),,X$11),"")</f>
        <v/>
      </c>
      <c r="Y74" s="39" t="str" cm="1">
        <f t="array" ref="Y74">IFERROR(INDEX(_xlfn.UNIQUE(TRIM(_xlfn.TEXTSPLIT(Table261424[[#This Row],[Selection Options]:[Selection Options]],","))),,Y$11),"")</f>
        <v/>
      </c>
      <c r="Z74" s="30" cm="1">
        <f t="array" ref="Z74">IF(Table261424[[#This Row],[1]]="","",Table261424[[#This Row],[Weight]:[Weight]]-(Table261424[[#This Row],[Weight]:[Weight]]*((_xlfn.XMATCH(Table261424[[#This Row],[1]],Table261424[[#This Row],[1]:[11]],0))-1)/(COUNTA(Table261424[[#This Row],[1]:[11]])-COUNTBLANK(Table261424[[#This Row],[1]:[11]])-1)))</f>
        <v>4.0983606557377049E-4</v>
      </c>
      <c r="AA74" s="30" cm="1">
        <f t="array" ref="AA74">IF(Table261424[[#This Row],[2]]="","",Table261424[[#This Row],[Weight]:[Weight]]-(Table261424[[#This Row],[Weight]:[Weight]]*((_xlfn.XMATCH(Table261424[[#This Row],[2]],Table261424[[#This Row],[1]:[11]],0))-1)/(COUNTA(Table261424[[#This Row],[1]:[11]])-COUNTBLANK(Table261424[[#This Row],[1]:[11]])-1)))</f>
        <v>3.0737704918032784E-4</v>
      </c>
      <c r="AB74" s="30" cm="1">
        <f t="array" ref="AB74">IF(Table261424[[#This Row],[3]]="","",Table261424[[#This Row],[Weight]:[Weight]]-(Table261424[[#This Row],[Weight]:[Weight]]*((_xlfn.XMATCH(Table261424[[#This Row],[3]],Table261424[[#This Row],[1]:[11]],0))-1)/(COUNTA(Table261424[[#This Row],[1]:[11]])-COUNTBLANK(Table261424[[#This Row],[1]:[11]])-1)))</f>
        <v>2.0491803278688525E-4</v>
      </c>
      <c r="AC74" s="30" cm="1">
        <f t="array" ref="AC74">IF(Table261424[[#This Row],[4]]="","",Table261424[[#This Row],[Weight]:[Weight]]-(Table261424[[#This Row],[Weight]:[Weight]]*((_xlfn.XMATCH(Table261424[[#This Row],[4]],Table261424[[#This Row],[1]:[11]],0))-1)/(COUNTA(Table261424[[#This Row],[1]:[11]])-COUNTBLANK(Table261424[[#This Row],[1]:[11]])-1)))</f>
        <v>1.0245901639344265E-4</v>
      </c>
      <c r="AD74" s="30" cm="1">
        <f t="array" ref="AD74">IF(Table261424[[#This Row],[5]]="","",Table261424[[#This Row],[Weight]:[Weight]]-(Table261424[[#This Row],[Weight]:[Weight]]*((_xlfn.XMATCH(Table261424[[#This Row],[5]],Table261424[[#This Row],[1]:[11]],0))-1)/(COUNTA(Table261424[[#This Row],[1]:[11]])-COUNTBLANK(Table261424[[#This Row],[1]:[11]])-1)))</f>
        <v>0</v>
      </c>
      <c r="AE74" s="30" t="str" cm="1">
        <f t="array" ref="AE74">IF(Table261424[[#This Row],[6]]="","",Table261424[[#This Row],[Weight]:[Weight]]-(Table261424[[#This Row],[Weight]:[Weight]]*((_xlfn.XMATCH(Table261424[[#This Row],[6]],Table261424[[#This Row],[1]:[11]],0))-1)/(COUNTA(Table261424[[#This Row],[1]:[11]])-COUNTBLANK(Table261424[[#This Row],[1]:[11]])-1)))</f>
        <v/>
      </c>
      <c r="AF74" s="30" t="str" cm="1">
        <f t="array" ref="AF74">IF(Table261424[[#This Row],[7]]="","",Table261424[[#This Row],[Weight]:[Weight]]-(Table261424[[#This Row],[Weight]:[Weight]]*((_xlfn.XMATCH(Table261424[[#This Row],[7]],Table261424[[#This Row],[1]:[11]],0))-1)/(COUNTA(Table261424[[#This Row],[1]:[11]])-COUNTBLANK(Table261424[[#This Row],[1]:[11]])-1)))</f>
        <v/>
      </c>
      <c r="AG74" s="30" t="str" cm="1">
        <f t="array" ref="AG74">IF(Table261424[[#This Row],[8]]="","",Table261424[[#This Row],[Weight]:[Weight]]-(Table261424[[#This Row],[Weight]:[Weight]]*((_xlfn.XMATCH(Table261424[[#This Row],[8]],Table261424[[#This Row],[1]:[11]],0))-1)/(COUNTA(Table261424[[#This Row],[1]:[11]])-COUNTBLANK(Table261424[[#This Row],[1]:[11]])-1)))</f>
        <v/>
      </c>
      <c r="AH74" s="39" t="str" cm="1">
        <f t="array" ref="AH74">IF(Table261424[[#This Row],[9]]="","",Table261424[[#This Row],[Weight]:[Weight]]-(Table261424[[#This Row],[Weight]:[Weight]]*((_xlfn.XMATCH(Table261424[[#This Row],[9]],Table261424[[#This Row],[1]:[11]],0))-1)/(COUNTA(Table261424[[#This Row],[1]:[11]])-COUNTBLANK(Table261424[[#This Row],[1]:[11]])-1)))</f>
        <v/>
      </c>
      <c r="AI74" s="39" t="str" cm="1">
        <f t="array" ref="AI74">IF(Table261424[[#This Row],[10]]="","",Table261424[[#This Row],[Weight]:[Weight]]-(Table261424[[#This Row],[Weight]:[Weight]]*((_xlfn.XMATCH(Table261424[[#This Row],[10]],Table261424[[#This Row],[1]:[11]],0))-1)/(COUNTA(Table261424[[#This Row],[1]:[11]])-COUNTBLANK(Table261424[[#This Row],[1]:[11]])-1)))</f>
        <v/>
      </c>
      <c r="AJ74" s="39" t="str" cm="1">
        <f t="array" ref="AJ74">IF(Table261424[[#This Row],[11]]="","",Table261424[[#This Row],[Weight]:[Weight]]-(Table261424[[#This Row],[Weight]:[Weight]]*((_xlfn.XMATCH(Table261424[[#This Row],[11]],Table261424[[#This Row],[1]:[11]],0))-1)/(COUNTA(Table261424[[#This Row],[1]:[11]])-COUNTBLANK(Table261424[[#This Row],[1]:[11]])-1)))</f>
        <v/>
      </c>
    </row>
    <row r="75" spans="1:36" s="167" customFormat="1" ht="72" x14ac:dyDescent="0.2">
      <c r="A75" s="173">
        <v>63</v>
      </c>
      <c r="B75" s="21" t="s">
        <v>279</v>
      </c>
      <c r="C75" s="178" t="s">
        <v>215</v>
      </c>
      <c r="D75" s="179"/>
      <c r="E75" s="28"/>
      <c r="F75" s="28"/>
      <c r="G75" s="159" t="s">
        <v>60</v>
      </c>
      <c r="H75" s="155" cm="1">
        <f t="array" ref="H75">_xlfn.IFS(G75="","",G75="No interest",0,G75="Nice to have",1,G75="Useful",2,G75="Important",3,G75="Very important",4,G75="Critical",5,G75="Show stopper",6)</f>
        <v>6</v>
      </c>
      <c r="I75" s="156">
        <f t="shared" si="6"/>
        <v>4.0983606557377049E-4</v>
      </c>
      <c r="J75" s="157" t="s">
        <v>216</v>
      </c>
      <c r="K75" s="158" t="str" cm="1">
        <f t="array" ref="K75">_xlfn.TEXTJOIN(","&amp;CHAR(10),,TEXT(Table261424[[#This Row],[12]:[22]],"0,00%"))</f>
        <v>0,00%,
0,00%,
0,00%,
0,00%,
0,00%</v>
      </c>
      <c r="L75" s="175"/>
      <c r="M75" s="176" t="e">
        <f>I75-(I75*((MATCH(Table261424[[#This Row],[Evaluators Response (SELECT)]],Table261424[[#This Row],[1]:[11]],0)-1)/(COUNTA(Table261424[[#This Row],[1]:[11]])-COUNTBLANK(Table261424[[#This Row],[1]:[11]])-1)))</f>
        <v>#N/A</v>
      </c>
      <c r="N75" s="28"/>
      <c r="O75" s="39" t="str" cm="1">
        <f t="array" ref="O75">IFERROR(INDEX(_xlfn.UNIQUE(TRIM(_xlfn.TEXTSPLIT(Table261424[[#This Row],[Selection Options]:[Selection Options]],","))),,O$11),"")</f>
        <v>100%: Supported as delivered out of the box</v>
      </c>
      <c r="P75" s="39" t="str" cm="1">
        <f t="array" ref="P75">IFERROR(INDEX(_xlfn.UNIQUE(TRIM(_xlfn.TEXTSPLIT(Table261424[[#This Row],[Selection Options]:[Selection Options]],","))),,P$11),"")</f>
        <v xml:space="preserve">
75%: Supported via modifications (config)</v>
      </c>
      <c r="Q75" s="39" t="str" cm="1">
        <f t="array" ref="Q75">IFERROR(INDEX(_xlfn.UNIQUE(TRIM(_xlfn.TEXTSPLIT(Table261424[[#This Row],[Selection Options]:[Selection Options]],","))),,Q$11),"")</f>
        <v xml:space="preserve">
50%: Supported via a third party solution</v>
      </c>
      <c r="R75" s="39" t="str" cm="1">
        <f t="array" ref="R75">IFERROR(INDEX(_xlfn.UNIQUE(TRIM(_xlfn.TEXTSPLIT(Table261424[[#This Row],[Selection Options]:[Selection Options]],","))),,R$11),"")</f>
        <v xml:space="preserve">
25%: Supported via customisation (source code changes)</v>
      </c>
      <c r="S75" s="177" t="str" cm="1">
        <f t="array" ref="S75">IFERROR(INDEX(_xlfn.UNIQUE(TRIM(_xlfn.TEXTSPLIT(Table261424[[#This Row],[Selection Options]:[Selection Options]],","))),,S$11),"")</f>
        <v xml:space="preserve">
 0%: Not currently supported</v>
      </c>
      <c r="T75" s="39" t="str" cm="1">
        <f t="array" ref="T75">IFERROR(INDEX(_xlfn.UNIQUE(TRIM(_xlfn.TEXTSPLIT(Table261424[[#This Row],[Selection Options]:[Selection Options]],","))),,T$11),"")</f>
        <v/>
      </c>
      <c r="U75" s="39" t="str" cm="1">
        <f t="array" ref="U75">IFERROR(INDEX(_xlfn.UNIQUE(TRIM(_xlfn.TEXTSPLIT(Table261424[[#This Row],[Selection Options]:[Selection Options]],","))),,U$11),"")</f>
        <v/>
      </c>
      <c r="V75" s="39" t="str" cm="1">
        <f t="array" ref="V75">IFERROR(INDEX(_xlfn.UNIQUE(TRIM(_xlfn.TEXTSPLIT(Table261424[[#This Row],[Selection Options]:[Selection Options]],","))),,V$11),"")</f>
        <v/>
      </c>
      <c r="W75" s="39" t="str" cm="1">
        <f t="array" ref="W75">IFERROR(INDEX(_xlfn.UNIQUE(TRIM(_xlfn.TEXTSPLIT(Table261424[[#This Row],[Selection Options]:[Selection Options]],","))),,W$11),"")</f>
        <v/>
      </c>
      <c r="X75" s="39" t="str" cm="1">
        <f t="array" ref="X75">IFERROR(INDEX(_xlfn.UNIQUE(TRIM(_xlfn.TEXTSPLIT(Table261424[[#This Row],[Selection Options]:[Selection Options]],","))),,X$11),"")</f>
        <v/>
      </c>
      <c r="Y75" s="39" t="str" cm="1">
        <f t="array" ref="Y75">IFERROR(INDEX(_xlfn.UNIQUE(TRIM(_xlfn.TEXTSPLIT(Table261424[[#This Row],[Selection Options]:[Selection Options]],","))),,Y$11),"")</f>
        <v/>
      </c>
      <c r="Z75" s="30" cm="1">
        <f t="array" ref="Z75">IF(Table261424[[#This Row],[1]]="","",Table261424[[#This Row],[Weight]:[Weight]]-(Table261424[[#This Row],[Weight]:[Weight]]*((_xlfn.XMATCH(Table261424[[#This Row],[1]],Table261424[[#This Row],[1]:[11]],0))-1)/(COUNTA(Table261424[[#This Row],[1]:[11]])-COUNTBLANK(Table261424[[#This Row],[1]:[11]])-1)))</f>
        <v>4.0983606557377049E-4</v>
      </c>
      <c r="AA75" s="30" cm="1">
        <f t="array" ref="AA75">IF(Table261424[[#This Row],[2]]="","",Table261424[[#This Row],[Weight]:[Weight]]-(Table261424[[#This Row],[Weight]:[Weight]]*((_xlfn.XMATCH(Table261424[[#This Row],[2]],Table261424[[#This Row],[1]:[11]],0))-1)/(COUNTA(Table261424[[#This Row],[1]:[11]])-COUNTBLANK(Table261424[[#This Row],[1]:[11]])-1)))</f>
        <v>3.0737704918032784E-4</v>
      </c>
      <c r="AB75" s="30" cm="1">
        <f t="array" ref="AB75">IF(Table261424[[#This Row],[3]]="","",Table261424[[#This Row],[Weight]:[Weight]]-(Table261424[[#This Row],[Weight]:[Weight]]*((_xlfn.XMATCH(Table261424[[#This Row],[3]],Table261424[[#This Row],[1]:[11]],0))-1)/(COUNTA(Table261424[[#This Row],[1]:[11]])-COUNTBLANK(Table261424[[#This Row],[1]:[11]])-1)))</f>
        <v>2.0491803278688525E-4</v>
      </c>
      <c r="AC75" s="30" cm="1">
        <f t="array" ref="AC75">IF(Table261424[[#This Row],[4]]="","",Table261424[[#This Row],[Weight]:[Weight]]-(Table261424[[#This Row],[Weight]:[Weight]]*((_xlfn.XMATCH(Table261424[[#This Row],[4]],Table261424[[#This Row],[1]:[11]],0))-1)/(COUNTA(Table261424[[#This Row],[1]:[11]])-COUNTBLANK(Table261424[[#This Row],[1]:[11]])-1)))</f>
        <v>1.0245901639344265E-4</v>
      </c>
      <c r="AD75" s="30" cm="1">
        <f t="array" ref="AD75">IF(Table261424[[#This Row],[5]]="","",Table261424[[#This Row],[Weight]:[Weight]]-(Table261424[[#This Row],[Weight]:[Weight]]*((_xlfn.XMATCH(Table261424[[#This Row],[5]],Table261424[[#This Row],[1]:[11]],0))-1)/(COUNTA(Table261424[[#This Row],[1]:[11]])-COUNTBLANK(Table261424[[#This Row],[1]:[11]])-1)))</f>
        <v>0</v>
      </c>
      <c r="AE75" s="30" t="str" cm="1">
        <f t="array" ref="AE75">IF(Table261424[[#This Row],[6]]="","",Table261424[[#This Row],[Weight]:[Weight]]-(Table261424[[#This Row],[Weight]:[Weight]]*((_xlfn.XMATCH(Table261424[[#This Row],[6]],Table261424[[#This Row],[1]:[11]],0))-1)/(COUNTA(Table261424[[#This Row],[1]:[11]])-COUNTBLANK(Table261424[[#This Row],[1]:[11]])-1)))</f>
        <v/>
      </c>
      <c r="AF75" s="30" t="str" cm="1">
        <f t="array" ref="AF75">IF(Table261424[[#This Row],[7]]="","",Table261424[[#This Row],[Weight]:[Weight]]-(Table261424[[#This Row],[Weight]:[Weight]]*((_xlfn.XMATCH(Table261424[[#This Row],[7]],Table261424[[#This Row],[1]:[11]],0))-1)/(COUNTA(Table261424[[#This Row],[1]:[11]])-COUNTBLANK(Table261424[[#This Row],[1]:[11]])-1)))</f>
        <v/>
      </c>
      <c r="AG75" s="30" t="str" cm="1">
        <f t="array" ref="AG75">IF(Table261424[[#This Row],[8]]="","",Table261424[[#This Row],[Weight]:[Weight]]-(Table261424[[#This Row],[Weight]:[Weight]]*((_xlfn.XMATCH(Table261424[[#This Row],[8]],Table261424[[#This Row],[1]:[11]],0))-1)/(COUNTA(Table261424[[#This Row],[1]:[11]])-COUNTBLANK(Table261424[[#This Row],[1]:[11]])-1)))</f>
        <v/>
      </c>
      <c r="AH75" s="39" t="str" cm="1">
        <f t="array" ref="AH75">IF(Table261424[[#This Row],[9]]="","",Table261424[[#This Row],[Weight]:[Weight]]-(Table261424[[#This Row],[Weight]:[Weight]]*((_xlfn.XMATCH(Table261424[[#This Row],[9]],Table261424[[#This Row],[1]:[11]],0))-1)/(COUNTA(Table261424[[#This Row],[1]:[11]])-COUNTBLANK(Table261424[[#This Row],[1]:[11]])-1)))</f>
        <v/>
      </c>
      <c r="AI75" s="39" t="str" cm="1">
        <f t="array" ref="AI75">IF(Table261424[[#This Row],[10]]="","",Table261424[[#This Row],[Weight]:[Weight]]-(Table261424[[#This Row],[Weight]:[Weight]]*((_xlfn.XMATCH(Table261424[[#This Row],[10]],Table261424[[#This Row],[1]:[11]],0))-1)/(COUNTA(Table261424[[#This Row],[1]:[11]])-COUNTBLANK(Table261424[[#This Row],[1]:[11]])-1)))</f>
        <v/>
      </c>
      <c r="AJ75" s="39" t="str" cm="1">
        <f t="array" ref="AJ75">IF(Table261424[[#This Row],[11]]="","",Table261424[[#This Row],[Weight]:[Weight]]-(Table261424[[#This Row],[Weight]:[Weight]]*((_xlfn.XMATCH(Table261424[[#This Row],[11]],Table261424[[#This Row],[1]:[11]],0))-1)/(COUNTA(Table261424[[#This Row],[1]:[11]])-COUNTBLANK(Table261424[[#This Row],[1]:[11]])-1)))</f>
        <v/>
      </c>
    </row>
    <row r="76" spans="1:36" s="167" customFormat="1" ht="72" x14ac:dyDescent="0.2">
      <c r="A76" s="173">
        <v>64</v>
      </c>
      <c r="B76" s="21" t="s">
        <v>280</v>
      </c>
      <c r="C76" s="178" t="s">
        <v>215</v>
      </c>
      <c r="D76" s="179"/>
      <c r="E76" s="28"/>
      <c r="F76" s="28"/>
      <c r="G76" s="159" t="s">
        <v>60</v>
      </c>
      <c r="H76" s="155" cm="1">
        <f t="array" ref="H76">_xlfn.IFS(G76="","",G76="No interest",0,G76="Nice to have",1,G76="Useful",2,G76="Important",3,G76="Very important",4,G76="Critical",5,G76="Show stopper",6)</f>
        <v>6</v>
      </c>
      <c r="I76" s="156">
        <f t="shared" si="6"/>
        <v>4.0983606557377049E-4</v>
      </c>
      <c r="J76" s="157" t="s">
        <v>216</v>
      </c>
      <c r="K76" s="158" t="str" cm="1">
        <f t="array" ref="K76">_xlfn.TEXTJOIN(","&amp;CHAR(10),,TEXT(Table261424[[#This Row],[12]:[22]],"0,00%"))</f>
        <v>0,00%,
0,00%,
0,00%,
0,00%,
0,00%</v>
      </c>
      <c r="L76" s="175"/>
      <c r="M76" s="176" t="e">
        <f>I76-(I76*((MATCH(Table261424[[#This Row],[Evaluators Response (SELECT)]],Table261424[[#This Row],[1]:[11]],0)-1)/(COUNTA(Table261424[[#This Row],[1]:[11]])-COUNTBLANK(Table261424[[#This Row],[1]:[11]])-1)))</f>
        <v>#N/A</v>
      </c>
      <c r="N76" s="28"/>
      <c r="O76" s="39" t="str" cm="1">
        <f t="array" ref="O76">IFERROR(INDEX(_xlfn.UNIQUE(TRIM(_xlfn.TEXTSPLIT(Table261424[[#This Row],[Selection Options]:[Selection Options]],","))),,O$11),"")</f>
        <v>100%: Supported as delivered out of the box</v>
      </c>
      <c r="P76" s="39" t="str" cm="1">
        <f t="array" ref="P76">IFERROR(INDEX(_xlfn.UNIQUE(TRIM(_xlfn.TEXTSPLIT(Table261424[[#This Row],[Selection Options]:[Selection Options]],","))),,P$11),"")</f>
        <v xml:space="preserve">
75%: Supported via modifications (config)</v>
      </c>
      <c r="Q76" s="39" t="str" cm="1">
        <f t="array" ref="Q76">IFERROR(INDEX(_xlfn.UNIQUE(TRIM(_xlfn.TEXTSPLIT(Table261424[[#This Row],[Selection Options]:[Selection Options]],","))),,Q$11),"")</f>
        <v xml:space="preserve">
50%: Supported via a third party solution</v>
      </c>
      <c r="R76" s="39" t="str" cm="1">
        <f t="array" ref="R76">IFERROR(INDEX(_xlfn.UNIQUE(TRIM(_xlfn.TEXTSPLIT(Table261424[[#This Row],[Selection Options]:[Selection Options]],","))),,R$11),"")</f>
        <v xml:space="preserve">
25%: Supported via customisation (source code changes)</v>
      </c>
      <c r="S76" s="177" t="str" cm="1">
        <f t="array" ref="S76">IFERROR(INDEX(_xlfn.UNIQUE(TRIM(_xlfn.TEXTSPLIT(Table261424[[#This Row],[Selection Options]:[Selection Options]],","))),,S$11),"")</f>
        <v xml:space="preserve">
 0%: Not currently supported</v>
      </c>
      <c r="T76" s="39" t="str" cm="1">
        <f t="array" ref="T76">IFERROR(INDEX(_xlfn.UNIQUE(TRIM(_xlfn.TEXTSPLIT(Table261424[[#This Row],[Selection Options]:[Selection Options]],","))),,T$11),"")</f>
        <v/>
      </c>
      <c r="U76" s="39" t="str" cm="1">
        <f t="array" ref="U76">IFERROR(INDEX(_xlfn.UNIQUE(TRIM(_xlfn.TEXTSPLIT(Table261424[[#This Row],[Selection Options]:[Selection Options]],","))),,U$11),"")</f>
        <v/>
      </c>
      <c r="V76" s="39" t="str" cm="1">
        <f t="array" ref="V76">IFERROR(INDEX(_xlfn.UNIQUE(TRIM(_xlfn.TEXTSPLIT(Table261424[[#This Row],[Selection Options]:[Selection Options]],","))),,V$11),"")</f>
        <v/>
      </c>
      <c r="W76" s="39" t="str" cm="1">
        <f t="array" ref="W76">IFERROR(INDEX(_xlfn.UNIQUE(TRIM(_xlfn.TEXTSPLIT(Table261424[[#This Row],[Selection Options]:[Selection Options]],","))),,W$11),"")</f>
        <v/>
      </c>
      <c r="X76" s="39" t="str" cm="1">
        <f t="array" ref="X76">IFERROR(INDEX(_xlfn.UNIQUE(TRIM(_xlfn.TEXTSPLIT(Table261424[[#This Row],[Selection Options]:[Selection Options]],","))),,X$11),"")</f>
        <v/>
      </c>
      <c r="Y76" s="39" t="str" cm="1">
        <f t="array" ref="Y76">IFERROR(INDEX(_xlfn.UNIQUE(TRIM(_xlfn.TEXTSPLIT(Table261424[[#This Row],[Selection Options]:[Selection Options]],","))),,Y$11),"")</f>
        <v/>
      </c>
      <c r="Z76" s="30" cm="1">
        <f t="array" ref="Z76">IF(Table261424[[#This Row],[1]]="","",Table261424[[#This Row],[Weight]:[Weight]]-(Table261424[[#This Row],[Weight]:[Weight]]*((_xlfn.XMATCH(Table261424[[#This Row],[1]],Table261424[[#This Row],[1]:[11]],0))-1)/(COUNTA(Table261424[[#This Row],[1]:[11]])-COUNTBLANK(Table261424[[#This Row],[1]:[11]])-1)))</f>
        <v>4.0983606557377049E-4</v>
      </c>
      <c r="AA76" s="30" cm="1">
        <f t="array" ref="AA76">IF(Table261424[[#This Row],[2]]="","",Table261424[[#This Row],[Weight]:[Weight]]-(Table261424[[#This Row],[Weight]:[Weight]]*((_xlfn.XMATCH(Table261424[[#This Row],[2]],Table261424[[#This Row],[1]:[11]],0))-1)/(COUNTA(Table261424[[#This Row],[1]:[11]])-COUNTBLANK(Table261424[[#This Row],[1]:[11]])-1)))</f>
        <v>3.0737704918032784E-4</v>
      </c>
      <c r="AB76" s="30" cm="1">
        <f t="array" ref="AB76">IF(Table261424[[#This Row],[3]]="","",Table261424[[#This Row],[Weight]:[Weight]]-(Table261424[[#This Row],[Weight]:[Weight]]*((_xlfn.XMATCH(Table261424[[#This Row],[3]],Table261424[[#This Row],[1]:[11]],0))-1)/(COUNTA(Table261424[[#This Row],[1]:[11]])-COUNTBLANK(Table261424[[#This Row],[1]:[11]])-1)))</f>
        <v>2.0491803278688525E-4</v>
      </c>
      <c r="AC76" s="30" cm="1">
        <f t="array" ref="AC76">IF(Table261424[[#This Row],[4]]="","",Table261424[[#This Row],[Weight]:[Weight]]-(Table261424[[#This Row],[Weight]:[Weight]]*((_xlfn.XMATCH(Table261424[[#This Row],[4]],Table261424[[#This Row],[1]:[11]],0))-1)/(COUNTA(Table261424[[#This Row],[1]:[11]])-COUNTBLANK(Table261424[[#This Row],[1]:[11]])-1)))</f>
        <v>1.0245901639344265E-4</v>
      </c>
      <c r="AD76" s="30" cm="1">
        <f t="array" ref="AD76">IF(Table261424[[#This Row],[5]]="","",Table261424[[#This Row],[Weight]:[Weight]]-(Table261424[[#This Row],[Weight]:[Weight]]*((_xlfn.XMATCH(Table261424[[#This Row],[5]],Table261424[[#This Row],[1]:[11]],0))-1)/(COUNTA(Table261424[[#This Row],[1]:[11]])-COUNTBLANK(Table261424[[#This Row],[1]:[11]])-1)))</f>
        <v>0</v>
      </c>
      <c r="AE76" s="30" t="str" cm="1">
        <f t="array" ref="AE76">IF(Table261424[[#This Row],[6]]="","",Table261424[[#This Row],[Weight]:[Weight]]-(Table261424[[#This Row],[Weight]:[Weight]]*((_xlfn.XMATCH(Table261424[[#This Row],[6]],Table261424[[#This Row],[1]:[11]],0))-1)/(COUNTA(Table261424[[#This Row],[1]:[11]])-COUNTBLANK(Table261424[[#This Row],[1]:[11]])-1)))</f>
        <v/>
      </c>
      <c r="AF76" s="30" t="str" cm="1">
        <f t="array" ref="AF76">IF(Table261424[[#This Row],[7]]="","",Table261424[[#This Row],[Weight]:[Weight]]-(Table261424[[#This Row],[Weight]:[Weight]]*((_xlfn.XMATCH(Table261424[[#This Row],[7]],Table261424[[#This Row],[1]:[11]],0))-1)/(COUNTA(Table261424[[#This Row],[1]:[11]])-COUNTBLANK(Table261424[[#This Row],[1]:[11]])-1)))</f>
        <v/>
      </c>
      <c r="AG76" s="30" t="str" cm="1">
        <f t="array" ref="AG76">IF(Table261424[[#This Row],[8]]="","",Table261424[[#This Row],[Weight]:[Weight]]-(Table261424[[#This Row],[Weight]:[Weight]]*((_xlfn.XMATCH(Table261424[[#This Row],[8]],Table261424[[#This Row],[1]:[11]],0))-1)/(COUNTA(Table261424[[#This Row],[1]:[11]])-COUNTBLANK(Table261424[[#This Row],[1]:[11]])-1)))</f>
        <v/>
      </c>
      <c r="AH76" s="39" t="str" cm="1">
        <f t="array" ref="AH76">IF(Table261424[[#This Row],[9]]="","",Table261424[[#This Row],[Weight]:[Weight]]-(Table261424[[#This Row],[Weight]:[Weight]]*((_xlfn.XMATCH(Table261424[[#This Row],[9]],Table261424[[#This Row],[1]:[11]],0))-1)/(COUNTA(Table261424[[#This Row],[1]:[11]])-COUNTBLANK(Table261424[[#This Row],[1]:[11]])-1)))</f>
        <v/>
      </c>
      <c r="AI76" s="39" t="str" cm="1">
        <f t="array" ref="AI76">IF(Table261424[[#This Row],[10]]="","",Table261424[[#This Row],[Weight]:[Weight]]-(Table261424[[#This Row],[Weight]:[Weight]]*((_xlfn.XMATCH(Table261424[[#This Row],[10]],Table261424[[#This Row],[1]:[11]],0))-1)/(COUNTA(Table261424[[#This Row],[1]:[11]])-COUNTBLANK(Table261424[[#This Row],[1]:[11]])-1)))</f>
        <v/>
      </c>
      <c r="AJ76" s="39" t="str" cm="1">
        <f t="array" ref="AJ76">IF(Table261424[[#This Row],[11]]="","",Table261424[[#This Row],[Weight]:[Weight]]-(Table261424[[#This Row],[Weight]:[Weight]]*((_xlfn.XMATCH(Table261424[[#This Row],[11]],Table261424[[#This Row],[1]:[11]],0))-1)/(COUNTA(Table261424[[#This Row],[1]:[11]])-COUNTBLANK(Table261424[[#This Row],[1]:[11]])-1)))</f>
        <v/>
      </c>
    </row>
    <row r="77" spans="1:36" s="167" customFormat="1" ht="72" x14ac:dyDescent="0.2">
      <c r="A77" s="173">
        <v>65</v>
      </c>
      <c r="B77" s="21" t="s">
        <v>281</v>
      </c>
      <c r="C77" s="178" t="s">
        <v>215</v>
      </c>
      <c r="D77" s="179"/>
      <c r="E77" s="28"/>
      <c r="F77" s="28"/>
      <c r="G77" s="159" t="s">
        <v>60</v>
      </c>
      <c r="H77" s="155" cm="1">
        <f t="array" ref="H77">_xlfn.IFS(G77="","",G77="No interest",0,G77="Nice to have",1,G77="Useful",2,G77="Important",3,G77="Very important",4,G77="Critical",5,G77="Show stopper",6)</f>
        <v>6</v>
      </c>
      <c r="I77" s="156">
        <f t="shared" si="6"/>
        <v>4.0983606557377049E-4</v>
      </c>
      <c r="J77" s="157" t="s">
        <v>216</v>
      </c>
      <c r="K77" s="158" t="str" cm="1">
        <f t="array" ref="K77">_xlfn.TEXTJOIN(","&amp;CHAR(10),,TEXT(Table261424[[#This Row],[12]:[22]],"0,00%"))</f>
        <v>0,00%,
0,00%,
0,00%,
0,00%,
0,00%</v>
      </c>
      <c r="L77" s="175"/>
      <c r="M77" s="176" t="e">
        <f>I77-(I77*((MATCH(Table261424[[#This Row],[Evaluators Response (SELECT)]],Table261424[[#This Row],[1]:[11]],0)-1)/(COUNTA(Table261424[[#This Row],[1]:[11]])-COUNTBLANK(Table261424[[#This Row],[1]:[11]])-1)))</f>
        <v>#N/A</v>
      </c>
      <c r="N77" s="28"/>
      <c r="O77" s="39" t="str" cm="1">
        <f t="array" ref="O77">IFERROR(INDEX(_xlfn.UNIQUE(TRIM(_xlfn.TEXTSPLIT(Table261424[[#This Row],[Selection Options]:[Selection Options]],","))),,O$11),"")</f>
        <v>100%: Supported as delivered out of the box</v>
      </c>
      <c r="P77" s="39" t="str" cm="1">
        <f t="array" ref="P77">IFERROR(INDEX(_xlfn.UNIQUE(TRIM(_xlfn.TEXTSPLIT(Table261424[[#This Row],[Selection Options]:[Selection Options]],","))),,P$11),"")</f>
        <v xml:space="preserve">
75%: Supported via modifications (config)</v>
      </c>
      <c r="Q77" s="39" t="str" cm="1">
        <f t="array" ref="Q77">IFERROR(INDEX(_xlfn.UNIQUE(TRIM(_xlfn.TEXTSPLIT(Table261424[[#This Row],[Selection Options]:[Selection Options]],","))),,Q$11),"")</f>
        <v xml:space="preserve">
50%: Supported via a third party solution</v>
      </c>
      <c r="R77" s="39" t="str" cm="1">
        <f t="array" ref="R77">IFERROR(INDEX(_xlfn.UNIQUE(TRIM(_xlfn.TEXTSPLIT(Table261424[[#This Row],[Selection Options]:[Selection Options]],","))),,R$11),"")</f>
        <v xml:space="preserve">
25%: Supported via customisation (source code changes)</v>
      </c>
      <c r="S77" s="177" t="str" cm="1">
        <f t="array" ref="S77">IFERROR(INDEX(_xlfn.UNIQUE(TRIM(_xlfn.TEXTSPLIT(Table261424[[#This Row],[Selection Options]:[Selection Options]],","))),,S$11),"")</f>
        <v xml:space="preserve">
 0%: Not currently supported</v>
      </c>
      <c r="T77" s="39" t="str" cm="1">
        <f t="array" ref="T77">IFERROR(INDEX(_xlfn.UNIQUE(TRIM(_xlfn.TEXTSPLIT(Table261424[[#This Row],[Selection Options]:[Selection Options]],","))),,T$11),"")</f>
        <v/>
      </c>
      <c r="U77" s="39" t="str" cm="1">
        <f t="array" ref="U77">IFERROR(INDEX(_xlfn.UNIQUE(TRIM(_xlfn.TEXTSPLIT(Table261424[[#This Row],[Selection Options]:[Selection Options]],","))),,U$11),"")</f>
        <v/>
      </c>
      <c r="V77" s="39" t="str" cm="1">
        <f t="array" ref="V77">IFERROR(INDEX(_xlfn.UNIQUE(TRIM(_xlfn.TEXTSPLIT(Table261424[[#This Row],[Selection Options]:[Selection Options]],","))),,V$11),"")</f>
        <v/>
      </c>
      <c r="W77" s="39" t="str" cm="1">
        <f t="array" ref="W77">IFERROR(INDEX(_xlfn.UNIQUE(TRIM(_xlfn.TEXTSPLIT(Table261424[[#This Row],[Selection Options]:[Selection Options]],","))),,W$11),"")</f>
        <v/>
      </c>
      <c r="X77" s="39" t="str" cm="1">
        <f t="array" ref="X77">IFERROR(INDEX(_xlfn.UNIQUE(TRIM(_xlfn.TEXTSPLIT(Table261424[[#This Row],[Selection Options]:[Selection Options]],","))),,X$11),"")</f>
        <v/>
      </c>
      <c r="Y77" s="39" t="str" cm="1">
        <f t="array" ref="Y77">IFERROR(INDEX(_xlfn.UNIQUE(TRIM(_xlfn.TEXTSPLIT(Table261424[[#This Row],[Selection Options]:[Selection Options]],","))),,Y$11),"")</f>
        <v/>
      </c>
      <c r="Z77" s="30" cm="1">
        <f t="array" ref="Z77">IF(Table261424[[#This Row],[1]]="","",Table261424[[#This Row],[Weight]:[Weight]]-(Table261424[[#This Row],[Weight]:[Weight]]*((_xlfn.XMATCH(Table261424[[#This Row],[1]],Table261424[[#This Row],[1]:[11]],0))-1)/(COUNTA(Table261424[[#This Row],[1]:[11]])-COUNTBLANK(Table261424[[#This Row],[1]:[11]])-1)))</f>
        <v>4.0983606557377049E-4</v>
      </c>
      <c r="AA77" s="30" cm="1">
        <f t="array" ref="AA77">IF(Table261424[[#This Row],[2]]="","",Table261424[[#This Row],[Weight]:[Weight]]-(Table261424[[#This Row],[Weight]:[Weight]]*((_xlfn.XMATCH(Table261424[[#This Row],[2]],Table261424[[#This Row],[1]:[11]],0))-1)/(COUNTA(Table261424[[#This Row],[1]:[11]])-COUNTBLANK(Table261424[[#This Row],[1]:[11]])-1)))</f>
        <v>3.0737704918032784E-4</v>
      </c>
      <c r="AB77" s="30" cm="1">
        <f t="array" ref="AB77">IF(Table261424[[#This Row],[3]]="","",Table261424[[#This Row],[Weight]:[Weight]]-(Table261424[[#This Row],[Weight]:[Weight]]*((_xlfn.XMATCH(Table261424[[#This Row],[3]],Table261424[[#This Row],[1]:[11]],0))-1)/(COUNTA(Table261424[[#This Row],[1]:[11]])-COUNTBLANK(Table261424[[#This Row],[1]:[11]])-1)))</f>
        <v>2.0491803278688525E-4</v>
      </c>
      <c r="AC77" s="30" cm="1">
        <f t="array" ref="AC77">IF(Table261424[[#This Row],[4]]="","",Table261424[[#This Row],[Weight]:[Weight]]-(Table261424[[#This Row],[Weight]:[Weight]]*((_xlfn.XMATCH(Table261424[[#This Row],[4]],Table261424[[#This Row],[1]:[11]],0))-1)/(COUNTA(Table261424[[#This Row],[1]:[11]])-COUNTBLANK(Table261424[[#This Row],[1]:[11]])-1)))</f>
        <v>1.0245901639344265E-4</v>
      </c>
      <c r="AD77" s="30" cm="1">
        <f t="array" ref="AD77">IF(Table261424[[#This Row],[5]]="","",Table261424[[#This Row],[Weight]:[Weight]]-(Table261424[[#This Row],[Weight]:[Weight]]*((_xlfn.XMATCH(Table261424[[#This Row],[5]],Table261424[[#This Row],[1]:[11]],0))-1)/(COUNTA(Table261424[[#This Row],[1]:[11]])-COUNTBLANK(Table261424[[#This Row],[1]:[11]])-1)))</f>
        <v>0</v>
      </c>
      <c r="AE77" s="30" t="str" cm="1">
        <f t="array" ref="AE77">IF(Table261424[[#This Row],[6]]="","",Table261424[[#This Row],[Weight]:[Weight]]-(Table261424[[#This Row],[Weight]:[Weight]]*((_xlfn.XMATCH(Table261424[[#This Row],[6]],Table261424[[#This Row],[1]:[11]],0))-1)/(COUNTA(Table261424[[#This Row],[1]:[11]])-COUNTBLANK(Table261424[[#This Row],[1]:[11]])-1)))</f>
        <v/>
      </c>
      <c r="AF77" s="30" t="str" cm="1">
        <f t="array" ref="AF77">IF(Table261424[[#This Row],[7]]="","",Table261424[[#This Row],[Weight]:[Weight]]-(Table261424[[#This Row],[Weight]:[Weight]]*((_xlfn.XMATCH(Table261424[[#This Row],[7]],Table261424[[#This Row],[1]:[11]],0))-1)/(COUNTA(Table261424[[#This Row],[1]:[11]])-COUNTBLANK(Table261424[[#This Row],[1]:[11]])-1)))</f>
        <v/>
      </c>
      <c r="AG77" s="30" t="str" cm="1">
        <f t="array" ref="AG77">IF(Table261424[[#This Row],[8]]="","",Table261424[[#This Row],[Weight]:[Weight]]-(Table261424[[#This Row],[Weight]:[Weight]]*((_xlfn.XMATCH(Table261424[[#This Row],[8]],Table261424[[#This Row],[1]:[11]],0))-1)/(COUNTA(Table261424[[#This Row],[1]:[11]])-COUNTBLANK(Table261424[[#This Row],[1]:[11]])-1)))</f>
        <v/>
      </c>
      <c r="AH77" s="39" t="str" cm="1">
        <f t="array" ref="AH77">IF(Table261424[[#This Row],[9]]="","",Table261424[[#This Row],[Weight]:[Weight]]-(Table261424[[#This Row],[Weight]:[Weight]]*((_xlfn.XMATCH(Table261424[[#This Row],[9]],Table261424[[#This Row],[1]:[11]],0))-1)/(COUNTA(Table261424[[#This Row],[1]:[11]])-COUNTBLANK(Table261424[[#This Row],[1]:[11]])-1)))</f>
        <v/>
      </c>
      <c r="AI77" s="39" t="str" cm="1">
        <f t="array" ref="AI77">IF(Table261424[[#This Row],[10]]="","",Table261424[[#This Row],[Weight]:[Weight]]-(Table261424[[#This Row],[Weight]:[Weight]]*((_xlfn.XMATCH(Table261424[[#This Row],[10]],Table261424[[#This Row],[1]:[11]],0))-1)/(COUNTA(Table261424[[#This Row],[1]:[11]])-COUNTBLANK(Table261424[[#This Row],[1]:[11]])-1)))</f>
        <v/>
      </c>
      <c r="AJ77" s="39" t="str" cm="1">
        <f t="array" ref="AJ77">IF(Table261424[[#This Row],[11]]="","",Table261424[[#This Row],[Weight]:[Weight]]-(Table261424[[#This Row],[Weight]:[Weight]]*((_xlfn.XMATCH(Table261424[[#This Row],[11]],Table261424[[#This Row],[1]:[11]],0))-1)/(COUNTA(Table261424[[#This Row],[1]:[11]])-COUNTBLANK(Table261424[[#This Row],[1]:[11]])-1)))</f>
        <v/>
      </c>
    </row>
    <row r="78" spans="1:36" s="167" customFormat="1" ht="89.45" customHeight="1" x14ac:dyDescent="0.2">
      <c r="A78" s="173">
        <v>66</v>
      </c>
      <c r="B78" s="21" t="s">
        <v>282</v>
      </c>
      <c r="C78" s="178" t="s">
        <v>215</v>
      </c>
      <c r="D78" s="179"/>
      <c r="E78" s="28"/>
      <c r="F78" s="28"/>
      <c r="G78" s="159" t="s">
        <v>183</v>
      </c>
      <c r="H78" s="155" cm="1">
        <f t="array" ref="H78">_xlfn.IFS(G78="","",G78="No interest",0,G78="Nice to have",1,G78="Useful",2,G78="Important",3,G78="Very important",4,G78="Critical",5,G78="Show stopper",6)</f>
        <v>4</v>
      </c>
      <c r="I78" s="156">
        <f t="shared" si="6"/>
        <v>2.7322404371584699E-4</v>
      </c>
      <c r="J78" s="157" t="s">
        <v>216</v>
      </c>
      <c r="K78" s="158" t="str" cm="1">
        <f t="array" ref="K78">_xlfn.TEXTJOIN(","&amp;CHAR(10),,TEXT(Table261424[[#This Row],[12]:[22]],"0,00%"))</f>
        <v>0,00%,
0,00%,
0,00%,
0,00%,
0,00%</v>
      </c>
      <c r="L78" s="175"/>
      <c r="M78" s="176" t="e">
        <f>I78-(I78*((MATCH(Table261424[[#This Row],[Evaluators Response (SELECT)]],Table261424[[#This Row],[1]:[11]],0)-1)/(COUNTA(Table261424[[#This Row],[1]:[11]])-COUNTBLANK(Table261424[[#This Row],[1]:[11]])-1)))</f>
        <v>#N/A</v>
      </c>
      <c r="N78" s="28"/>
      <c r="O78" s="39" t="str" cm="1">
        <f t="array" ref="O78">IFERROR(INDEX(_xlfn.UNIQUE(TRIM(_xlfn.TEXTSPLIT(Table261424[[#This Row],[Selection Options]:[Selection Options]],","))),,O$11),"")</f>
        <v>100%: Supported as delivered out of the box</v>
      </c>
      <c r="P78" s="39" t="str" cm="1">
        <f t="array" ref="P78">IFERROR(INDEX(_xlfn.UNIQUE(TRIM(_xlfn.TEXTSPLIT(Table261424[[#This Row],[Selection Options]:[Selection Options]],","))),,P$11),"")</f>
        <v xml:space="preserve">
75%: Supported via modifications (config)</v>
      </c>
      <c r="Q78" s="39" t="str" cm="1">
        <f t="array" ref="Q78">IFERROR(INDEX(_xlfn.UNIQUE(TRIM(_xlfn.TEXTSPLIT(Table261424[[#This Row],[Selection Options]:[Selection Options]],","))),,Q$11),"")</f>
        <v xml:space="preserve">
50%: Supported via a third party solution</v>
      </c>
      <c r="R78" s="39" t="str" cm="1">
        <f t="array" ref="R78">IFERROR(INDEX(_xlfn.UNIQUE(TRIM(_xlfn.TEXTSPLIT(Table261424[[#This Row],[Selection Options]:[Selection Options]],","))),,R$11),"")</f>
        <v xml:space="preserve">
25%: Supported via customisation (source code changes)</v>
      </c>
      <c r="S78" s="177" t="str" cm="1">
        <f t="array" ref="S78">IFERROR(INDEX(_xlfn.UNIQUE(TRIM(_xlfn.TEXTSPLIT(Table261424[[#This Row],[Selection Options]:[Selection Options]],","))),,S$11),"")</f>
        <v xml:space="preserve">
 0%: Not currently supported</v>
      </c>
      <c r="T78" s="39" t="str" cm="1">
        <f t="array" ref="T78">IFERROR(INDEX(_xlfn.UNIQUE(TRIM(_xlfn.TEXTSPLIT(Table261424[[#This Row],[Selection Options]:[Selection Options]],","))),,T$11),"")</f>
        <v/>
      </c>
      <c r="U78" s="39" t="str" cm="1">
        <f t="array" ref="U78">IFERROR(INDEX(_xlfn.UNIQUE(TRIM(_xlfn.TEXTSPLIT(Table261424[[#This Row],[Selection Options]:[Selection Options]],","))),,U$11),"")</f>
        <v/>
      </c>
      <c r="V78" s="39" t="str" cm="1">
        <f t="array" ref="V78">IFERROR(INDEX(_xlfn.UNIQUE(TRIM(_xlfn.TEXTSPLIT(Table261424[[#This Row],[Selection Options]:[Selection Options]],","))),,V$11),"")</f>
        <v/>
      </c>
      <c r="W78" s="39" t="str" cm="1">
        <f t="array" ref="W78">IFERROR(INDEX(_xlfn.UNIQUE(TRIM(_xlfn.TEXTSPLIT(Table261424[[#This Row],[Selection Options]:[Selection Options]],","))),,W$11),"")</f>
        <v/>
      </c>
      <c r="X78" s="39" t="str" cm="1">
        <f t="array" ref="X78">IFERROR(INDEX(_xlfn.UNIQUE(TRIM(_xlfn.TEXTSPLIT(Table261424[[#This Row],[Selection Options]:[Selection Options]],","))),,X$11),"")</f>
        <v/>
      </c>
      <c r="Y78" s="39" t="str" cm="1">
        <f t="array" ref="Y78">IFERROR(INDEX(_xlfn.UNIQUE(TRIM(_xlfn.TEXTSPLIT(Table261424[[#This Row],[Selection Options]:[Selection Options]],","))),,Y$11),"")</f>
        <v/>
      </c>
      <c r="Z78" s="30" cm="1">
        <f t="array" ref="Z78">IF(Table261424[[#This Row],[1]]="","",Table261424[[#This Row],[Weight]:[Weight]]-(Table261424[[#This Row],[Weight]:[Weight]]*((_xlfn.XMATCH(Table261424[[#This Row],[1]],Table261424[[#This Row],[1]:[11]],0))-1)/(COUNTA(Table261424[[#This Row],[1]:[11]])-COUNTBLANK(Table261424[[#This Row],[1]:[11]])-1)))</f>
        <v>2.7322404371584699E-4</v>
      </c>
      <c r="AA78" s="30" cm="1">
        <f t="array" ref="AA78">IF(Table261424[[#This Row],[2]]="","",Table261424[[#This Row],[Weight]:[Weight]]-(Table261424[[#This Row],[Weight]:[Weight]]*((_xlfn.XMATCH(Table261424[[#This Row],[2]],Table261424[[#This Row],[1]:[11]],0))-1)/(COUNTA(Table261424[[#This Row],[1]:[11]])-COUNTBLANK(Table261424[[#This Row],[1]:[11]])-1)))</f>
        <v>2.0491803278688525E-4</v>
      </c>
      <c r="AB78" s="30" cm="1">
        <f t="array" ref="AB78">IF(Table261424[[#This Row],[3]]="","",Table261424[[#This Row],[Weight]:[Weight]]-(Table261424[[#This Row],[Weight]:[Weight]]*((_xlfn.XMATCH(Table261424[[#This Row],[3]],Table261424[[#This Row],[1]:[11]],0))-1)/(COUNTA(Table261424[[#This Row],[1]:[11]])-COUNTBLANK(Table261424[[#This Row],[1]:[11]])-1)))</f>
        <v>1.366120218579235E-4</v>
      </c>
      <c r="AC78" s="30" cm="1">
        <f t="array" ref="AC78">IF(Table261424[[#This Row],[4]]="","",Table261424[[#This Row],[Weight]:[Weight]]-(Table261424[[#This Row],[Weight]:[Weight]]*((_xlfn.XMATCH(Table261424[[#This Row],[4]],Table261424[[#This Row],[1]:[11]],0))-1)/(COUNTA(Table261424[[#This Row],[1]:[11]])-COUNTBLANK(Table261424[[#This Row],[1]:[11]])-1)))</f>
        <v>6.8306010928961749E-5</v>
      </c>
      <c r="AD78" s="30" cm="1">
        <f t="array" ref="AD78">IF(Table261424[[#This Row],[5]]="","",Table261424[[#This Row],[Weight]:[Weight]]-(Table261424[[#This Row],[Weight]:[Weight]]*((_xlfn.XMATCH(Table261424[[#This Row],[5]],Table261424[[#This Row],[1]:[11]],0))-1)/(COUNTA(Table261424[[#This Row],[1]:[11]])-COUNTBLANK(Table261424[[#This Row],[1]:[11]])-1)))</f>
        <v>0</v>
      </c>
      <c r="AE78" s="30" t="str" cm="1">
        <f t="array" ref="AE78">IF(Table261424[[#This Row],[6]]="","",Table261424[[#This Row],[Weight]:[Weight]]-(Table261424[[#This Row],[Weight]:[Weight]]*((_xlfn.XMATCH(Table261424[[#This Row],[6]],Table261424[[#This Row],[1]:[11]],0))-1)/(COUNTA(Table261424[[#This Row],[1]:[11]])-COUNTBLANK(Table261424[[#This Row],[1]:[11]])-1)))</f>
        <v/>
      </c>
      <c r="AF78" s="30" t="str" cm="1">
        <f t="array" ref="AF78">IF(Table261424[[#This Row],[7]]="","",Table261424[[#This Row],[Weight]:[Weight]]-(Table261424[[#This Row],[Weight]:[Weight]]*((_xlfn.XMATCH(Table261424[[#This Row],[7]],Table261424[[#This Row],[1]:[11]],0))-1)/(COUNTA(Table261424[[#This Row],[1]:[11]])-COUNTBLANK(Table261424[[#This Row],[1]:[11]])-1)))</f>
        <v/>
      </c>
      <c r="AG78" s="30" t="str" cm="1">
        <f t="array" ref="AG78">IF(Table261424[[#This Row],[8]]="","",Table261424[[#This Row],[Weight]:[Weight]]-(Table261424[[#This Row],[Weight]:[Weight]]*((_xlfn.XMATCH(Table261424[[#This Row],[8]],Table261424[[#This Row],[1]:[11]],0))-1)/(COUNTA(Table261424[[#This Row],[1]:[11]])-COUNTBLANK(Table261424[[#This Row],[1]:[11]])-1)))</f>
        <v/>
      </c>
      <c r="AH78" s="39" t="str" cm="1">
        <f t="array" ref="AH78">IF(Table261424[[#This Row],[9]]="","",Table261424[[#This Row],[Weight]:[Weight]]-(Table261424[[#This Row],[Weight]:[Weight]]*((_xlfn.XMATCH(Table261424[[#This Row],[9]],Table261424[[#This Row],[1]:[11]],0))-1)/(COUNTA(Table261424[[#This Row],[1]:[11]])-COUNTBLANK(Table261424[[#This Row],[1]:[11]])-1)))</f>
        <v/>
      </c>
      <c r="AI78" s="39" t="str" cm="1">
        <f t="array" ref="AI78">IF(Table261424[[#This Row],[10]]="","",Table261424[[#This Row],[Weight]:[Weight]]-(Table261424[[#This Row],[Weight]:[Weight]]*((_xlfn.XMATCH(Table261424[[#This Row],[10]],Table261424[[#This Row],[1]:[11]],0))-1)/(COUNTA(Table261424[[#This Row],[1]:[11]])-COUNTBLANK(Table261424[[#This Row],[1]:[11]])-1)))</f>
        <v/>
      </c>
      <c r="AJ78" s="39" t="str" cm="1">
        <f t="array" ref="AJ78">IF(Table261424[[#This Row],[11]]="","",Table261424[[#This Row],[Weight]:[Weight]]-(Table261424[[#This Row],[Weight]:[Weight]]*((_xlfn.XMATCH(Table261424[[#This Row],[11]],Table261424[[#This Row],[1]:[11]],0))-1)/(COUNTA(Table261424[[#This Row],[1]:[11]])-COUNTBLANK(Table261424[[#This Row],[1]:[11]])-1)))</f>
        <v/>
      </c>
    </row>
    <row r="79" spans="1:36" s="167" customFormat="1" ht="79.5" customHeight="1" x14ac:dyDescent="0.2">
      <c r="A79" s="173">
        <v>67</v>
      </c>
      <c r="B79" s="21" t="s">
        <v>283</v>
      </c>
      <c r="C79" s="178" t="s">
        <v>215</v>
      </c>
      <c r="D79" s="179"/>
      <c r="E79" s="28"/>
      <c r="F79" s="28"/>
      <c r="G79" s="159" t="s">
        <v>188</v>
      </c>
      <c r="H79" s="155" cm="1">
        <f t="array" ref="H79">_xlfn.IFS(G79="","",G79="No interest",0,G79="Nice to have",1,G79="Useful",2,G79="Important",3,G79="Very important",4,G79="Critical",5,G79="Show stopper",6)</f>
        <v>5</v>
      </c>
      <c r="I79" s="156">
        <f t="shared" si="6"/>
        <v>3.4153005464480874E-4</v>
      </c>
      <c r="J79" s="157" t="s">
        <v>216</v>
      </c>
      <c r="K79" s="158" t="str" cm="1">
        <f t="array" ref="K79">_xlfn.TEXTJOIN(","&amp;CHAR(10),,TEXT(Table261424[[#This Row],[12]:[22]],"0,00%"))</f>
        <v>0,00%,
0,00%,
0,00%,
0,00%,
0,00%</v>
      </c>
      <c r="L79" s="175"/>
      <c r="M79" s="176" t="e">
        <f>I79-(I79*((MATCH(Table261424[[#This Row],[Evaluators Response (SELECT)]],Table261424[[#This Row],[1]:[11]],0)-1)/(COUNTA(Table261424[[#This Row],[1]:[11]])-COUNTBLANK(Table261424[[#This Row],[1]:[11]])-1)))</f>
        <v>#N/A</v>
      </c>
      <c r="N79" s="28"/>
      <c r="O79" s="39" t="str" cm="1">
        <f t="array" ref="O79">IFERROR(INDEX(_xlfn.UNIQUE(TRIM(_xlfn.TEXTSPLIT(Table261424[[#This Row],[Selection Options]:[Selection Options]],","))),,O$11),"")</f>
        <v>100%: Supported as delivered out of the box</v>
      </c>
      <c r="P79" s="39" t="str" cm="1">
        <f t="array" ref="P79">IFERROR(INDEX(_xlfn.UNIQUE(TRIM(_xlfn.TEXTSPLIT(Table261424[[#This Row],[Selection Options]:[Selection Options]],","))),,P$11),"")</f>
        <v xml:space="preserve">
75%: Supported via modifications (config)</v>
      </c>
      <c r="Q79" s="39" t="str" cm="1">
        <f t="array" ref="Q79">IFERROR(INDEX(_xlfn.UNIQUE(TRIM(_xlfn.TEXTSPLIT(Table261424[[#This Row],[Selection Options]:[Selection Options]],","))),,Q$11),"")</f>
        <v xml:space="preserve">
50%: Supported via a third party solution</v>
      </c>
      <c r="R79" s="39" t="str" cm="1">
        <f t="array" ref="R79">IFERROR(INDEX(_xlfn.UNIQUE(TRIM(_xlfn.TEXTSPLIT(Table261424[[#This Row],[Selection Options]:[Selection Options]],","))),,R$11),"")</f>
        <v xml:space="preserve">
25%: Supported via customisation (source code changes)</v>
      </c>
      <c r="S79" s="177" t="str" cm="1">
        <f t="array" ref="S79">IFERROR(INDEX(_xlfn.UNIQUE(TRIM(_xlfn.TEXTSPLIT(Table261424[[#This Row],[Selection Options]:[Selection Options]],","))),,S$11),"")</f>
        <v xml:space="preserve">
 0%: Not currently supported</v>
      </c>
      <c r="T79" s="39" t="str" cm="1">
        <f t="array" ref="T79">IFERROR(INDEX(_xlfn.UNIQUE(TRIM(_xlfn.TEXTSPLIT(Table261424[[#This Row],[Selection Options]:[Selection Options]],","))),,T$11),"")</f>
        <v/>
      </c>
      <c r="U79" s="39" t="str" cm="1">
        <f t="array" ref="U79">IFERROR(INDEX(_xlfn.UNIQUE(TRIM(_xlfn.TEXTSPLIT(Table261424[[#This Row],[Selection Options]:[Selection Options]],","))),,U$11),"")</f>
        <v/>
      </c>
      <c r="V79" s="39" t="str" cm="1">
        <f t="array" ref="V79">IFERROR(INDEX(_xlfn.UNIQUE(TRIM(_xlfn.TEXTSPLIT(Table261424[[#This Row],[Selection Options]:[Selection Options]],","))),,V$11),"")</f>
        <v/>
      </c>
      <c r="W79" s="39" t="str" cm="1">
        <f t="array" ref="W79">IFERROR(INDEX(_xlfn.UNIQUE(TRIM(_xlfn.TEXTSPLIT(Table261424[[#This Row],[Selection Options]:[Selection Options]],","))),,W$11),"")</f>
        <v/>
      </c>
      <c r="X79" s="39" t="str" cm="1">
        <f t="array" ref="X79">IFERROR(INDEX(_xlfn.UNIQUE(TRIM(_xlfn.TEXTSPLIT(Table261424[[#This Row],[Selection Options]:[Selection Options]],","))),,X$11),"")</f>
        <v/>
      </c>
      <c r="Y79" s="39" t="str" cm="1">
        <f t="array" ref="Y79">IFERROR(INDEX(_xlfn.UNIQUE(TRIM(_xlfn.TEXTSPLIT(Table261424[[#This Row],[Selection Options]:[Selection Options]],","))),,Y$11),"")</f>
        <v/>
      </c>
      <c r="Z79" s="30" cm="1">
        <f t="array" ref="Z79">IF(Table261424[[#This Row],[1]]="","",Table261424[[#This Row],[Weight]:[Weight]]-(Table261424[[#This Row],[Weight]:[Weight]]*((_xlfn.XMATCH(Table261424[[#This Row],[1]],Table261424[[#This Row],[1]:[11]],0))-1)/(COUNTA(Table261424[[#This Row],[1]:[11]])-COUNTBLANK(Table261424[[#This Row],[1]:[11]])-1)))</f>
        <v>3.4153005464480874E-4</v>
      </c>
      <c r="AA79" s="30" cm="1">
        <f t="array" ref="AA79">IF(Table261424[[#This Row],[2]]="","",Table261424[[#This Row],[Weight]:[Weight]]-(Table261424[[#This Row],[Weight]:[Weight]]*((_xlfn.XMATCH(Table261424[[#This Row],[2]],Table261424[[#This Row],[1]:[11]],0))-1)/(COUNTA(Table261424[[#This Row],[1]:[11]])-COUNTBLANK(Table261424[[#This Row],[1]:[11]])-1)))</f>
        <v>2.5614754098360657E-4</v>
      </c>
      <c r="AB79" s="30" cm="1">
        <f t="array" ref="AB79">IF(Table261424[[#This Row],[3]]="","",Table261424[[#This Row],[Weight]:[Weight]]-(Table261424[[#This Row],[Weight]:[Weight]]*((_xlfn.XMATCH(Table261424[[#This Row],[3]],Table261424[[#This Row],[1]:[11]],0))-1)/(COUNTA(Table261424[[#This Row],[1]:[11]])-COUNTBLANK(Table261424[[#This Row],[1]:[11]])-1)))</f>
        <v>1.7076502732240437E-4</v>
      </c>
      <c r="AC79" s="30" cm="1">
        <f t="array" ref="AC79">IF(Table261424[[#This Row],[4]]="","",Table261424[[#This Row],[Weight]:[Weight]]-(Table261424[[#This Row],[Weight]:[Weight]]*((_xlfn.XMATCH(Table261424[[#This Row],[4]],Table261424[[#This Row],[1]:[11]],0))-1)/(COUNTA(Table261424[[#This Row],[1]:[11]])-COUNTBLANK(Table261424[[#This Row],[1]:[11]])-1)))</f>
        <v>8.5382513661202172E-5</v>
      </c>
      <c r="AD79" s="30" cm="1">
        <f t="array" ref="AD79">IF(Table261424[[#This Row],[5]]="","",Table261424[[#This Row],[Weight]:[Weight]]-(Table261424[[#This Row],[Weight]:[Weight]]*((_xlfn.XMATCH(Table261424[[#This Row],[5]],Table261424[[#This Row],[1]:[11]],0))-1)/(COUNTA(Table261424[[#This Row],[1]:[11]])-COUNTBLANK(Table261424[[#This Row],[1]:[11]])-1)))</f>
        <v>0</v>
      </c>
      <c r="AE79" s="30" t="str" cm="1">
        <f t="array" ref="AE79">IF(Table261424[[#This Row],[6]]="","",Table261424[[#This Row],[Weight]:[Weight]]-(Table261424[[#This Row],[Weight]:[Weight]]*((_xlfn.XMATCH(Table261424[[#This Row],[6]],Table261424[[#This Row],[1]:[11]],0))-1)/(COUNTA(Table261424[[#This Row],[1]:[11]])-COUNTBLANK(Table261424[[#This Row],[1]:[11]])-1)))</f>
        <v/>
      </c>
      <c r="AF79" s="30" t="str" cm="1">
        <f t="array" ref="AF79">IF(Table261424[[#This Row],[7]]="","",Table261424[[#This Row],[Weight]:[Weight]]-(Table261424[[#This Row],[Weight]:[Weight]]*((_xlfn.XMATCH(Table261424[[#This Row],[7]],Table261424[[#This Row],[1]:[11]],0))-1)/(COUNTA(Table261424[[#This Row],[1]:[11]])-COUNTBLANK(Table261424[[#This Row],[1]:[11]])-1)))</f>
        <v/>
      </c>
      <c r="AG79" s="30" t="str" cm="1">
        <f t="array" ref="AG79">IF(Table261424[[#This Row],[8]]="","",Table261424[[#This Row],[Weight]:[Weight]]-(Table261424[[#This Row],[Weight]:[Weight]]*((_xlfn.XMATCH(Table261424[[#This Row],[8]],Table261424[[#This Row],[1]:[11]],0))-1)/(COUNTA(Table261424[[#This Row],[1]:[11]])-COUNTBLANK(Table261424[[#This Row],[1]:[11]])-1)))</f>
        <v/>
      </c>
      <c r="AH79" s="39" t="str" cm="1">
        <f t="array" ref="AH79">IF(Table261424[[#This Row],[9]]="","",Table261424[[#This Row],[Weight]:[Weight]]-(Table261424[[#This Row],[Weight]:[Weight]]*((_xlfn.XMATCH(Table261424[[#This Row],[9]],Table261424[[#This Row],[1]:[11]],0))-1)/(COUNTA(Table261424[[#This Row],[1]:[11]])-COUNTBLANK(Table261424[[#This Row],[1]:[11]])-1)))</f>
        <v/>
      </c>
      <c r="AI79" s="39" t="str" cm="1">
        <f t="array" ref="AI79">IF(Table261424[[#This Row],[10]]="","",Table261424[[#This Row],[Weight]:[Weight]]-(Table261424[[#This Row],[Weight]:[Weight]]*((_xlfn.XMATCH(Table261424[[#This Row],[10]],Table261424[[#This Row],[1]:[11]],0))-1)/(COUNTA(Table261424[[#This Row],[1]:[11]])-COUNTBLANK(Table261424[[#This Row],[1]:[11]])-1)))</f>
        <v/>
      </c>
      <c r="AJ79" s="39" t="str" cm="1">
        <f t="array" ref="AJ79">IF(Table261424[[#This Row],[11]]="","",Table261424[[#This Row],[Weight]:[Weight]]-(Table261424[[#This Row],[Weight]:[Weight]]*((_xlfn.XMATCH(Table261424[[#This Row],[11]],Table261424[[#This Row],[1]:[11]],0))-1)/(COUNTA(Table261424[[#This Row],[1]:[11]])-COUNTBLANK(Table261424[[#This Row],[1]:[11]])-1)))</f>
        <v/>
      </c>
    </row>
    <row r="80" spans="1:36" s="167" customFormat="1" ht="83.45" customHeight="1" x14ac:dyDescent="0.2">
      <c r="A80" s="173">
        <v>68</v>
      </c>
      <c r="B80" s="158" t="s">
        <v>284</v>
      </c>
      <c r="C80" s="178" t="s">
        <v>215</v>
      </c>
      <c r="D80" s="179"/>
      <c r="E80" s="38"/>
      <c r="F80" s="38"/>
      <c r="G80" s="159" t="s">
        <v>188</v>
      </c>
      <c r="H80" s="160" cm="1">
        <f t="array" ref="H80">_xlfn.IFS(G80="","",G80="No interest",0,G80="Nice to have",1,G80="Useful",2,G80="Important",3,G80="Very important",4,G80="Critical",5,G80="Show stopper",6)</f>
        <v>5</v>
      </c>
      <c r="I80" s="161">
        <f t="shared" si="6"/>
        <v>3.4153005464480874E-4</v>
      </c>
      <c r="J80" s="157" t="s">
        <v>216</v>
      </c>
      <c r="K80" s="158" t="str" cm="1">
        <f t="array" ref="K80">_xlfn.TEXTJOIN(","&amp;CHAR(10),,TEXT(Table261424[[#This Row],[12]:[22]],"0,00%"))</f>
        <v>0,00%,
0,00%,
0,00%,
0,00%,
0,00%</v>
      </c>
      <c r="L80" s="180"/>
      <c r="M80" s="181" t="e">
        <f>I80-(I80*((MATCH(Table261424[[#This Row],[Evaluators Response (SELECT)]],Table261424[[#This Row],[1]:[11]],0)-1)/(COUNTA(Table261424[[#This Row],[1]:[11]])-COUNTBLANK(Table261424[[#This Row],[1]:[11]])-1)))</f>
        <v>#N/A</v>
      </c>
      <c r="N80" s="38"/>
      <c r="O80" s="29" t="str" cm="1">
        <f t="array" ref="O80">IFERROR(INDEX(_xlfn.UNIQUE(TRIM(_xlfn.TEXTSPLIT(Table261424[[#This Row],[Selection Options]:[Selection Options]],","))),,O$11),"")</f>
        <v>100%: Supported as delivered out of the box</v>
      </c>
      <c r="P80" s="29" t="str" cm="1">
        <f t="array" ref="P80">IFERROR(INDEX(_xlfn.UNIQUE(TRIM(_xlfn.TEXTSPLIT(Table261424[[#This Row],[Selection Options]:[Selection Options]],","))),,P$11),"")</f>
        <v xml:space="preserve">
75%: Supported via modifications (config)</v>
      </c>
      <c r="Q80" s="29" t="str" cm="1">
        <f t="array" ref="Q80">IFERROR(INDEX(_xlfn.UNIQUE(TRIM(_xlfn.TEXTSPLIT(Table261424[[#This Row],[Selection Options]:[Selection Options]],","))),,Q$11),"")</f>
        <v xml:space="preserve">
50%: Supported via a third party solution</v>
      </c>
      <c r="R80" s="29" t="str" cm="1">
        <f t="array" ref="R80">IFERROR(INDEX(_xlfn.UNIQUE(TRIM(_xlfn.TEXTSPLIT(Table261424[[#This Row],[Selection Options]:[Selection Options]],","))),,R$11),"")</f>
        <v xml:space="preserve">
25%: Supported via customisation (source code changes)</v>
      </c>
      <c r="S80" s="182" t="str" cm="1">
        <f t="array" ref="S80">IFERROR(INDEX(_xlfn.UNIQUE(TRIM(_xlfn.TEXTSPLIT(Table261424[[#This Row],[Selection Options]:[Selection Options]],","))),,S$11),"")</f>
        <v xml:space="preserve">
 0%: Not currently supported</v>
      </c>
      <c r="T80" s="29" t="str" cm="1">
        <f t="array" ref="T80">IFERROR(INDEX(_xlfn.UNIQUE(TRIM(_xlfn.TEXTSPLIT(Table261424[[#This Row],[Selection Options]:[Selection Options]],","))),,T$11),"")</f>
        <v/>
      </c>
      <c r="U80" s="29" t="str" cm="1">
        <f t="array" ref="U80">IFERROR(INDEX(_xlfn.UNIQUE(TRIM(_xlfn.TEXTSPLIT(Table261424[[#This Row],[Selection Options]:[Selection Options]],","))),,U$11),"")</f>
        <v/>
      </c>
      <c r="V80" s="29" t="str" cm="1">
        <f t="array" ref="V80">IFERROR(INDEX(_xlfn.UNIQUE(TRIM(_xlfn.TEXTSPLIT(Table261424[[#This Row],[Selection Options]:[Selection Options]],","))),,V$11),"")</f>
        <v/>
      </c>
      <c r="W80" s="29" t="str" cm="1">
        <f t="array" ref="W80">IFERROR(INDEX(_xlfn.UNIQUE(TRIM(_xlfn.TEXTSPLIT(Table261424[[#This Row],[Selection Options]:[Selection Options]],","))),,W$11),"")</f>
        <v/>
      </c>
      <c r="X80" s="29" t="str" cm="1">
        <f t="array" ref="X80">IFERROR(INDEX(_xlfn.UNIQUE(TRIM(_xlfn.TEXTSPLIT(Table261424[[#This Row],[Selection Options]:[Selection Options]],","))),,X$11),"")</f>
        <v/>
      </c>
      <c r="Y80" s="29" t="str" cm="1">
        <f t="array" ref="Y80">IFERROR(INDEX(_xlfn.UNIQUE(TRIM(_xlfn.TEXTSPLIT(Table261424[[#This Row],[Selection Options]:[Selection Options]],","))),,Y$11),"")</f>
        <v/>
      </c>
      <c r="Z80" s="183" cm="1">
        <f t="array" ref="Z80">IF(Table261424[[#This Row],[1]]="","",Table261424[[#This Row],[Weight]:[Weight]]-(Table261424[[#This Row],[Weight]:[Weight]]*((_xlfn.XMATCH(Table261424[[#This Row],[1]],Table261424[[#This Row],[1]:[11]],0))-1)/(COUNTA(Table261424[[#This Row],[1]:[11]])-COUNTBLANK(Table261424[[#This Row],[1]:[11]])-1)))</f>
        <v>3.4153005464480874E-4</v>
      </c>
      <c r="AA80" s="183" cm="1">
        <f t="array" ref="AA80">IF(Table261424[[#This Row],[2]]="","",Table261424[[#This Row],[Weight]:[Weight]]-(Table261424[[#This Row],[Weight]:[Weight]]*((_xlfn.XMATCH(Table261424[[#This Row],[2]],Table261424[[#This Row],[1]:[11]],0))-1)/(COUNTA(Table261424[[#This Row],[1]:[11]])-COUNTBLANK(Table261424[[#This Row],[1]:[11]])-1)))</f>
        <v>2.5614754098360657E-4</v>
      </c>
      <c r="AB80" s="183" cm="1">
        <f t="array" ref="AB80">IF(Table261424[[#This Row],[3]]="","",Table261424[[#This Row],[Weight]:[Weight]]-(Table261424[[#This Row],[Weight]:[Weight]]*((_xlfn.XMATCH(Table261424[[#This Row],[3]],Table261424[[#This Row],[1]:[11]],0))-1)/(COUNTA(Table261424[[#This Row],[1]:[11]])-COUNTBLANK(Table261424[[#This Row],[1]:[11]])-1)))</f>
        <v>1.7076502732240437E-4</v>
      </c>
      <c r="AC80" s="183" cm="1">
        <f t="array" ref="AC80">IF(Table261424[[#This Row],[4]]="","",Table261424[[#This Row],[Weight]:[Weight]]-(Table261424[[#This Row],[Weight]:[Weight]]*((_xlfn.XMATCH(Table261424[[#This Row],[4]],Table261424[[#This Row],[1]:[11]],0))-1)/(COUNTA(Table261424[[#This Row],[1]:[11]])-COUNTBLANK(Table261424[[#This Row],[1]:[11]])-1)))</f>
        <v>8.5382513661202172E-5</v>
      </c>
      <c r="AD80" s="183" cm="1">
        <f t="array" ref="AD80">IF(Table261424[[#This Row],[5]]="","",Table261424[[#This Row],[Weight]:[Weight]]-(Table261424[[#This Row],[Weight]:[Weight]]*((_xlfn.XMATCH(Table261424[[#This Row],[5]],Table261424[[#This Row],[1]:[11]],0))-1)/(COUNTA(Table261424[[#This Row],[1]:[11]])-COUNTBLANK(Table261424[[#This Row],[1]:[11]])-1)))</f>
        <v>0</v>
      </c>
      <c r="AE80" s="183" t="str" cm="1">
        <f t="array" ref="AE80">IF(Table261424[[#This Row],[6]]="","",Table261424[[#This Row],[Weight]:[Weight]]-(Table261424[[#This Row],[Weight]:[Weight]]*((_xlfn.XMATCH(Table261424[[#This Row],[6]],Table261424[[#This Row],[1]:[11]],0))-1)/(COUNTA(Table261424[[#This Row],[1]:[11]])-COUNTBLANK(Table261424[[#This Row],[1]:[11]])-1)))</f>
        <v/>
      </c>
      <c r="AF80" s="183" t="str" cm="1">
        <f t="array" ref="AF80">IF(Table261424[[#This Row],[7]]="","",Table261424[[#This Row],[Weight]:[Weight]]-(Table261424[[#This Row],[Weight]:[Weight]]*((_xlfn.XMATCH(Table261424[[#This Row],[7]],Table261424[[#This Row],[1]:[11]],0))-1)/(COUNTA(Table261424[[#This Row],[1]:[11]])-COUNTBLANK(Table261424[[#This Row],[1]:[11]])-1)))</f>
        <v/>
      </c>
      <c r="AG80" s="183" t="str" cm="1">
        <f t="array" ref="AG80">IF(Table261424[[#This Row],[8]]="","",Table261424[[#This Row],[Weight]:[Weight]]-(Table261424[[#This Row],[Weight]:[Weight]]*((_xlfn.XMATCH(Table261424[[#This Row],[8]],Table261424[[#This Row],[1]:[11]],0))-1)/(COUNTA(Table261424[[#This Row],[1]:[11]])-COUNTBLANK(Table261424[[#This Row],[1]:[11]])-1)))</f>
        <v/>
      </c>
      <c r="AH80" s="29" t="str" cm="1">
        <f t="array" ref="AH80">IF(Table261424[[#This Row],[9]]="","",Table261424[[#This Row],[Weight]:[Weight]]-(Table261424[[#This Row],[Weight]:[Weight]]*((_xlfn.XMATCH(Table261424[[#This Row],[9]],Table261424[[#This Row],[1]:[11]],0))-1)/(COUNTA(Table261424[[#This Row],[1]:[11]])-COUNTBLANK(Table261424[[#This Row],[1]:[11]])-1)))</f>
        <v/>
      </c>
      <c r="AI80" s="29" t="str" cm="1">
        <f t="array" ref="AI80">IF(Table261424[[#This Row],[10]]="","",Table261424[[#This Row],[Weight]:[Weight]]-(Table261424[[#This Row],[Weight]:[Weight]]*((_xlfn.XMATCH(Table261424[[#This Row],[10]],Table261424[[#This Row],[1]:[11]],0))-1)/(COUNTA(Table261424[[#This Row],[1]:[11]])-COUNTBLANK(Table261424[[#This Row],[1]:[11]])-1)))</f>
        <v/>
      </c>
      <c r="AJ80" s="29" t="str" cm="1">
        <f t="array" ref="AJ80">IF(Table261424[[#This Row],[11]]="","",Table261424[[#This Row],[Weight]:[Weight]]-(Table261424[[#This Row],[Weight]:[Weight]]*((_xlfn.XMATCH(Table261424[[#This Row],[11]],Table261424[[#This Row],[1]:[11]],0))-1)/(COUNTA(Table261424[[#This Row],[1]:[11]])-COUNTBLANK(Table261424[[#This Row],[1]:[11]])-1)))</f>
        <v/>
      </c>
    </row>
    <row r="81" spans="1:36" s="167" customFormat="1" ht="72" x14ac:dyDescent="0.2">
      <c r="A81" s="173">
        <v>69</v>
      </c>
      <c r="B81" s="21" t="s">
        <v>285</v>
      </c>
      <c r="C81" s="178" t="s">
        <v>215</v>
      </c>
      <c r="D81" s="179"/>
      <c r="E81" s="28"/>
      <c r="F81" s="28"/>
      <c r="G81" s="159" t="s">
        <v>188</v>
      </c>
      <c r="H81" s="155" cm="1">
        <f t="array" ref="H81">_xlfn.IFS(G81="","",G81="No interest",0,G81="Nice to have",1,G81="Useful",2,G81="Important",3,G81="Very important",4,G81="Critical",5,G81="Show stopper",6)</f>
        <v>5</v>
      </c>
      <c r="I81" s="156">
        <f t="shared" ref="I81" si="7">(H81/$H$11)*$G$11</f>
        <v>3.4153005464480874E-4</v>
      </c>
      <c r="J81" s="157" t="s">
        <v>216</v>
      </c>
      <c r="K81" s="158" t="str" cm="1">
        <f t="array" ref="K81">_xlfn.TEXTJOIN(","&amp;CHAR(10),,TEXT(Table261424[[#This Row],[12]:[22]],"0,00%"))</f>
        <v>0,00%,
0,00%,
0,00%,
0,00%,
0,00%</v>
      </c>
      <c r="L81" s="175"/>
      <c r="M81" s="176" t="e">
        <f>I81-(I81*((MATCH(Table261424[[#This Row],[Evaluators Response (SELECT)]],Table261424[[#This Row],[1]:[11]],0)-1)/(COUNTA(Table261424[[#This Row],[1]:[11]])-COUNTBLANK(Table261424[[#This Row],[1]:[11]])-1)))</f>
        <v>#N/A</v>
      </c>
      <c r="N81" s="28"/>
      <c r="O81" s="39" t="str" cm="1">
        <f t="array" ref="O81">IFERROR(INDEX(_xlfn.UNIQUE(TRIM(_xlfn.TEXTSPLIT(Table261424[[#This Row],[Selection Options]:[Selection Options]],","))),,O$11),"")</f>
        <v>100%: Supported as delivered out of the box</v>
      </c>
      <c r="P81" s="39" t="str" cm="1">
        <f t="array" ref="P81">IFERROR(INDEX(_xlfn.UNIQUE(TRIM(_xlfn.TEXTSPLIT(Table261424[[#This Row],[Selection Options]:[Selection Options]],","))),,P$11),"")</f>
        <v xml:space="preserve">
75%: Supported via modifications (config)</v>
      </c>
      <c r="Q81" s="39" t="str" cm="1">
        <f t="array" ref="Q81">IFERROR(INDEX(_xlfn.UNIQUE(TRIM(_xlfn.TEXTSPLIT(Table261424[[#This Row],[Selection Options]:[Selection Options]],","))),,Q$11),"")</f>
        <v xml:space="preserve">
50%: Supported via a third party solution</v>
      </c>
      <c r="R81" s="39" t="str" cm="1">
        <f t="array" ref="R81">IFERROR(INDEX(_xlfn.UNIQUE(TRIM(_xlfn.TEXTSPLIT(Table261424[[#This Row],[Selection Options]:[Selection Options]],","))),,R$11),"")</f>
        <v xml:space="preserve">
25%: Supported via customisation (source code changes)</v>
      </c>
      <c r="S81" s="177" t="str" cm="1">
        <f t="array" ref="S81">IFERROR(INDEX(_xlfn.UNIQUE(TRIM(_xlfn.TEXTSPLIT(Table261424[[#This Row],[Selection Options]:[Selection Options]],","))),,S$11),"")</f>
        <v xml:space="preserve">
 0%: Not currently supported</v>
      </c>
      <c r="T81" s="39" t="str" cm="1">
        <f t="array" ref="T81">IFERROR(INDEX(_xlfn.UNIQUE(TRIM(_xlfn.TEXTSPLIT(Table261424[[#This Row],[Selection Options]:[Selection Options]],","))),,T$11),"")</f>
        <v/>
      </c>
      <c r="U81" s="39" t="str" cm="1">
        <f t="array" ref="U81">IFERROR(INDEX(_xlfn.UNIQUE(TRIM(_xlfn.TEXTSPLIT(Table261424[[#This Row],[Selection Options]:[Selection Options]],","))),,U$11),"")</f>
        <v/>
      </c>
      <c r="V81" s="39" t="str" cm="1">
        <f t="array" ref="V81">IFERROR(INDEX(_xlfn.UNIQUE(TRIM(_xlfn.TEXTSPLIT(Table261424[[#This Row],[Selection Options]:[Selection Options]],","))),,V$11),"")</f>
        <v/>
      </c>
      <c r="W81" s="39" t="str" cm="1">
        <f t="array" ref="W81">IFERROR(INDEX(_xlfn.UNIQUE(TRIM(_xlfn.TEXTSPLIT(Table261424[[#This Row],[Selection Options]:[Selection Options]],","))),,W$11),"")</f>
        <v/>
      </c>
      <c r="X81" s="39" t="str" cm="1">
        <f t="array" ref="X81">IFERROR(INDEX(_xlfn.UNIQUE(TRIM(_xlfn.TEXTSPLIT(Table261424[[#This Row],[Selection Options]:[Selection Options]],","))),,X$11),"")</f>
        <v/>
      </c>
      <c r="Y81" s="39" t="str" cm="1">
        <f t="array" ref="Y81">IFERROR(INDEX(_xlfn.UNIQUE(TRIM(_xlfn.TEXTSPLIT(Table261424[[#This Row],[Selection Options]:[Selection Options]],","))),,Y$11),"")</f>
        <v/>
      </c>
      <c r="Z81" s="30" cm="1">
        <f t="array" ref="Z81">IF(Table261424[[#This Row],[1]]="","",Table261424[[#This Row],[Weight]:[Weight]]-(Table261424[[#This Row],[Weight]:[Weight]]*((_xlfn.XMATCH(Table261424[[#This Row],[1]],Table261424[[#This Row],[1]:[11]],0))-1)/(COUNTA(Table261424[[#This Row],[1]:[11]])-COUNTBLANK(Table261424[[#This Row],[1]:[11]])-1)))</f>
        <v>3.4153005464480874E-4</v>
      </c>
      <c r="AA81" s="30" cm="1">
        <f t="array" ref="AA81">IF(Table261424[[#This Row],[2]]="","",Table261424[[#This Row],[Weight]:[Weight]]-(Table261424[[#This Row],[Weight]:[Weight]]*((_xlfn.XMATCH(Table261424[[#This Row],[2]],Table261424[[#This Row],[1]:[11]],0))-1)/(COUNTA(Table261424[[#This Row],[1]:[11]])-COUNTBLANK(Table261424[[#This Row],[1]:[11]])-1)))</f>
        <v>2.5614754098360657E-4</v>
      </c>
      <c r="AB81" s="30" cm="1">
        <f t="array" ref="AB81">IF(Table261424[[#This Row],[3]]="","",Table261424[[#This Row],[Weight]:[Weight]]-(Table261424[[#This Row],[Weight]:[Weight]]*((_xlfn.XMATCH(Table261424[[#This Row],[3]],Table261424[[#This Row],[1]:[11]],0))-1)/(COUNTA(Table261424[[#This Row],[1]:[11]])-COUNTBLANK(Table261424[[#This Row],[1]:[11]])-1)))</f>
        <v>1.7076502732240437E-4</v>
      </c>
      <c r="AC81" s="30" cm="1">
        <f t="array" ref="AC81">IF(Table261424[[#This Row],[4]]="","",Table261424[[#This Row],[Weight]:[Weight]]-(Table261424[[#This Row],[Weight]:[Weight]]*((_xlfn.XMATCH(Table261424[[#This Row],[4]],Table261424[[#This Row],[1]:[11]],0))-1)/(COUNTA(Table261424[[#This Row],[1]:[11]])-COUNTBLANK(Table261424[[#This Row],[1]:[11]])-1)))</f>
        <v>8.5382513661202172E-5</v>
      </c>
      <c r="AD81" s="30" cm="1">
        <f t="array" ref="AD81">IF(Table261424[[#This Row],[5]]="","",Table261424[[#This Row],[Weight]:[Weight]]-(Table261424[[#This Row],[Weight]:[Weight]]*((_xlfn.XMATCH(Table261424[[#This Row],[5]],Table261424[[#This Row],[1]:[11]],0))-1)/(COUNTA(Table261424[[#This Row],[1]:[11]])-COUNTBLANK(Table261424[[#This Row],[1]:[11]])-1)))</f>
        <v>0</v>
      </c>
      <c r="AE81" s="30" t="str" cm="1">
        <f t="array" ref="AE81">IF(Table261424[[#This Row],[6]]="","",Table261424[[#This Row],[Weight]:[Weight]]-(Table261424[[#This Row],[Weight]:[Weight]]*((_xlfn.XMATCH(Table261424[[#This Row],[6]],Table261424[[#This Row],[1]:[11]],0))-1)/(COUNTA(Table261424[[#This Row],[1]:[11]])-COUNTBLANK(Table261424[[#This Row],[1]:[11]])-1)))</f>
        <v/>
      </c>
      <c r="AF81" s="30" t="str" cm="1">
        <f t="array" ref="AF81">IF(Table261424[[#This Row],[7]]="","",Table261424[[#This Row],[Weight]:[Weight]]-(Table261424[[#This Row],[Weight]:[Weight]]*((_xlfn.XMATCH(Table261424[[#This Row],[7]],Table261424[[#This Row],[1]:[11]],0))-1)/(COUNTA(Table261424[[#This Row],[1]:[11]])-COUNTBLANK(Table261424[[#This Row],[1]:[11]])-1)))</f>
        <v/>
      </c>
      <c r="AG81" s="30" t="str" cm="1">
        <f t="array" ref="AG81">IF(Table261424[[#This Row],[8]]="","",Table261424[[#This Row],[Weight]:[Weight]]-(Table261424[[#This Row],[Weight]:[Weight]]*((_xlfn.XMATCH(Table261424[[#This Row],[8]],Table261424[[#This Row],[1]:[11]],0))-1)/(COUNTA(Table261424[[#This Row],[1]:[11]])-COUNTBLANK(Table261424[[#This Row],[1]:[11]])-1)))</f>
        <v/>
      </c>
      <c r="AH81" s="39" t="str" cm="1">
        <f t="array" ref="AH81">IF(Table261424[[#This Row],[9]]="","",Table261424[[#This Row],[Weight]:[Weight]]-(Table261424[[#This Row],[Weight]:[Weight]]*((_xlfn.XMATCH(Table261424[[#This Row],[9]],Table261424[[#This Row],[1]:[11]],0))-1)/(COUNTA(Table261424[[#This Row],[1]:[11]])-COUNTBLANK(Table261424[[#This Row],[1]:[11]])-1)))</f>
        <v/>
      </c>
      <c r="AI81" s="39" t="str" cm="1">
        <f t="array" ref="AI81">IF(Table261424[[#This Row],[10]]="","",Table261424[[#This Row],[Weight]:[Weight]]-(Table261424[[#This Row],[Weight]:[Weight]]*((_xlfn.XMATCH(Table261424[[#This Row],[10]],Table261424[[#This Row],[1]:[11]],0))-1)/(COUNTA(Table261424[[#This Row],[1]:[11]])-COUNTBLANK(Table261424[[#This Row],[1]:[11]])-1)))</f>
        <v/>
      </c>
      <c r="AJ81" s="39" t="str" cm="1">
        <f t="array" ref="AJ81">IF(Table261424[[#This Row],[11]]="","",Table261424[[#This Row],[Weight]:[Weight]]-(Table261424[[#This Row],[Weight]:[Weight]]*((_xlfn.XMATCH(Table261424[[#This Row],[11]],Table261424[[#This Row],[1]:[11]],0))-1)/(COUNTA(Table261424[[#This Row],[1]:[11]])-COUNTBLANK(Table261424[[#This Row],[1]:[11]])-1)))</f>
        <v/>
      </c>
    </row>
    <row r="82" spans="1:36" s="167" customFormat="1" ht="72" x14ac:dyDescent="0.2">
      <c r="A82" s="173">
        <v>70</v>
      </c>
      <c r="B82" s="158" t="s">
        <v>286</v>
      </c>
      <c r="C82" s="178" t="s">
        <v>215</v>
      </c>
      <c r="D82" s="179"/>
      <c r="E82" s="38"/>
      <c r="F82" s="38"/>
      <c r="G82" s="159" t="s">
        <v>188</v>
      </c>
      <c r="H82" s="160" cm="1">
        <f t="array" ref="H82">_xlfn.IFS(G82="","",G82="No interest",0,G82="Nice to have",1,G82="Useful",2,G82="Important",3,G82="Very important",4,G82="Critical",5,G82="Show stopper",6)</f>
        <v>5</v>
      </c>
      <c r="I82" s="161">
        <f t="shared" ref="I82:I87" si="8">(H82/$H$11)*$G$11</f>
        <v>3.4153005464480874E-4</v>
      </c>
      <c r="J82" s="157" t="s">
        <v>216</v>
      </c>
      <c r="K82" s="158" t="str" cm="1">
        <f t="array" ref="K82">_xlfn.TEXTJOIN(","&amp;CHAR(10),,TEXT(Table261424[[#This Row],[12]:[22]],"0,00%"))</f>
        <v>0,00%,
0,00%,
0,00%,
0,00%,
0,00%</v>
      </c>
      <c r="L82" s="180"/>
      <c r="M82" s="181" t="e">
        <f>I82-(I82*((MATCH(Table261424[[#This Row],[Evaluators Response (SELECT)]],Table261424[[#This Row],[1]:[11]],0)-1)/(COUNTA(Table261424[[#This Row],[1]:[11]])-COUNTBLANK(Table261424[[#This Row],[1]:[11]])-1)))</f>
        <v>#N/A</v>
      </c>
      <c r="N82" s="38"/>
      <c r="O82" s="29" t="str" cm="1">
        <f t="array" ref="O82">IFERROR(INDEX(_xlfn.UNIQUE(TRIM(_xlfn.TEXTSPLIT(Table261424[[#This Row],[Selection Options]:[Selection Options]],","))),,O$11),"")</f>
        <v>100%: Supported as delivered out of the box</v>
      </c>
      <c r="P82" s="29" t="str" cm="1">
        <f t="array" ref="P82">IFERROR(INDEX(_xlfn.UNIQUE(TRIM(_xlfn.TEXTSPLIT(Table261424[[#This Row],[Selection Options]:[Selection Options]],","))),,P$11),"")</f>
        <v xml:space="preserve">
75%: Supported via modifications (config)</v>
      </c>
      <c r="Q82" s="29" t="str" cm="1">
        <f t="array" ref="Q82">IFERROR(INDEX(_xlfn.UNIQUE(TRIM(_xlfn.TEXTSPLIT(Table261424[[#This Row],[Selection Options]:[Selection Options]],","))),,Q$11),"")</f>
        <v xml:space="preserve">
50%: Supported via a third party solution</v>
      </c>
      <c r="R82" s="29" t="str" cm="1">
        <f t="array" ref="R82">IFERROR(INDEX(_xlfn.UNIQUE(TRIM(_xlfn.TEXTSPLIT(Table261424[[#This Row],[Selection Options]:[Selection Options]],","))),,R$11),"")</f>
        <v xml:space="preserve">
25%: Supported via customisation (source code changes)</v>
      </c>
      <c r="S82" s="182" t="str" cm="1">
        <f t="array" ref="S82">IFERROR(INDEX(_xlfn.UNIQUE(TRIM(_xlfn.TEXTSPLIT(Table261424[[#This Row],[Selection Options]:[Selection Options]],","))),,S$11),"")</f>
        <v xml:space="preserve">
 0%: Not currently supported</v>
      </c>
      <c r="T82" s="29" t="str" cm="1">
        <f t="array" ref="T82">IFERROR(INDEX(_xlfn.UNIQUE(TRIM(_xlfn.TEXTSPLIT(Table261424[[#This Row],[Selection Options]:[Selection Options]],","))),,T$11),"")</f>
        <v/>
      </c>
      <c r="U82" s="29" t="str" cm="1">
        <f t="array" ref="U82">IFERROR(INDEX(_xlfn.UNIQUE(TRIM(_xlfn.TEXTSPLIT(Table261424[[#This Row],[Selection Options]:[Selection Options]],","))),,U$11),"")</f>
        <v/>
      </c>
      <c r="V82" s="29" t="str" cm="1">
        <f t="array" ref="V82">IFERROR(INDEX(_xlfn.UNIQUE(TRIM(_xlfn.TEXTSPLIT(Table261424[[#This Row],[Selection Options]:[Selection Options]],","))),,V$11),"")</f>
        <v/>
      </c>
      <c r="W82" s="29" t="str" cm="1">
        <f t="array" ref="W82">IFERROR(INDEX(_xlfn.UNIQUE(TRIM(_xlfn.TEXTSPLIT(Table261424[[#This Row],[Selection Options]:[Selection Options]],","))),,W$11),"")</f>
        <v/>
      </c>
      <c r="X82" s="29" t="str" cm="1">
        <f t="array" ref="X82">IFERROR(INDEX(_xlfn.UNIQUE(TRIM(_xlfn.TEXTSPLIT(Table261424[[#This Row],[Selection Options]:[Selection Options]],","))),,X$11),"")</f>
        <v/>
      </c>
      <c r="Y82" s="29" t="str" cm="1">
        <f t="array" ref="Y82">IFERROR(INDEX(_xlfn.UNIQUE(TRIM(_xlfn.TEXTSPLIT(Table261424[[#This Row],[Selection Options]:[Selection Options]],","))),,Y$11),"")</f>
        <v/>
      </c>
      <c r="Z82" s="183" cm="1">
        <f t="array" ref="Z82">IF(Table261424[[#This Row],[1]]="","",Table261424[[#This Row],[Weight]:[Weight]]-(Table261424[[#This Row],[Weight]:[Weight]]*((_xlfn.XMATCH(Table261424[[#This Row],[1]],Table261424[[#This Row],[1]:[11]],0))-1)/(COUNTA(Table261424[[#This Row],[1]:[11]])-COUNTBLANK(Table261424[[#This Row],[1]:[11]])-1)))</f>
        <v>3.4153005464480874E-4</v>
      </c>
      <c r="AA82" s="183" cm="1">
        <f t="array" ref="AA82">IF(Table261424[[#This Row],[2]]="","",Table261424[[#This Row],[Weight]:[Weight]]-(Table261424[[#This Row],[Weight]:[Weight]]*((_xlfn.XMATCH(Table261424[[#This Row],[2]],Table261424[[#This Row],[1]:[11]],0))-1)/(COUNTA(Table261424[[#This Row],[1]:[11]])-COUNTBLANK(Table261424[[#This Row],[1]:[11]])-1)))</f>
        <v>2.5614754098360657E-4</v>
      </c>
      <c r="AB82" s="183" cm="1">
        <f t="array" ref="AB82">IF(Table261424[[#This Row],[3]]="","",Table261424[[#This Row],[Weight]:[Weight]]-(Table261424[[#This Row],[Weight]:[Weight]]*((_xlfn.XMATCH(Table261424[[#This Row],[3]],Table261424[[#This Row],[1]:[11]],0))-1)/(COUNTA(Table261424[[#This Row],[1]:[11]])-COUNTBLANK(Table261424[[#This Row],[1]:[11]])-1)))</f>
        <v>1.7076502732240437E-4</v>
      </c>
      <c r="AC82" s="183" cm="1">
        <f t="array" ref="AC82">IF(Table261424[[#This Row],[4]]="","",Table261424[[#This Row],[Weight]:[Weight]]-(Table261424[[#This Row],[Weight]:[Weight]]*((_xlfn.XMATCH(Table261424[[#This Row],[4]],Table261424[[#This Row],[1]:[11]],0))-1)/(COUNTA(Table261424[[#This Row],[1]:[11]])-COUNTBLANK(Table261424[[#This Row],[1]:[11]])-1)))</f>
        <v>8.5382513661202172E-5</v>
      </c>
      <c r="AD82" s="183" cm="1">
        <f t="array" ref="AD82">IF(Table261424[[#This Row],[5]]="","",Table261424[[#This Row],[Weight]:[Weight]]-(Table261424[[#This Row],[Weight]:[Weight]]*((_xlfn.XMATCH(Table261424[[#This Row],[5]],Table261424[[#This Row],[1]:[11]],0))-1)/(COUNTA(Table261424[[#This Row],[1]:[11]])-COUNTBLANK(Table261424[[#This Row],[1]:[11]])-1)))</f>
        <v>0</v>
      </c>
      <c r="AE82" s="183" t="str" cm="1">
        <f t="array" ref="AE82">IF(Table261424[[#This Row],[6]]="","",Table261424[[#This Row],[Weight]:[Weight]]-(Table261424[[#This Row],[Weight]:[Weight]]*((_xlfn.XMATCH(Table261424[[#This Row],[6]],Table261424[[#This Row],[1]:[11]],0))-1)/(COUNTA(Table261424[[#This Row],[1]:[11]])-COUNTBLANK(Table261424[[#This Row],[1]:[11]])-1)))</f>
        <v/>
      </c>
      <c r="AF82" s="183" t="str" cm="1">
        <f t="array" ref="AF82">IF(Table261424[[#This Row],[7]]="","",Table261424[[#This Row],[Weight]:[Weight]]-(Table261424[[#This Row],[Weight]:[Weight]]*((_xlfn.XMATCH(Table261424[[#This Row],[7]],Table261424[[#This Row],[1]:[11]],0))-1)/(COUNTA(Table261424[[#This Row],[1]:[11]])-COUNTBLANK(Table261424[[#This Row],[1]:[11]])-1)))</f>
        <v/>
      </c>
      <c r="AG82" s="183" t="str" cm="1">
        <f t="array" ref="AG82">IF(Table261424[[#This Row],[8]]="","",Table261424[[#This Row],[Weight]:[Weight]]-(Table261424[[#This Row],[Weight]:[Weight]]*((_xlfn.XMATCH(Table261424[[#This Row],[8]],Table261424[[#This Row],[1]:[11]],0))-1)/(COUNTA(Table261424[[#This Row],[1]:[11]])-COUNTBLANK(Table261424[[#This Row],[1]:[11]])-1)))</f>
        <v/>
      </c>
      <c r="AH82" s="29" t="str" cm="1">
        <f t="array" ref="AH82">IF(Table261424[[#This Row],[9]]="","",Table261424[[#This Row],[Weight]:[Weight]]-(Table261424[[#This Row],[Weight]:[Weight]]*((_xlfn.XMATCH(Table261424[[#This Row],[9]],Table261424[[#This Row],[1]:[11]],0))-1)/(COUNTA(Table261424[[#This Row],[1]:[11]])-COUNTBLANK(Table261424[[#This Row],[1]:[11]])-1)))</f>
        <v/>
      </c>
      <c r="AI82" s="29" t="str" cm="1">
        <f t="array" ref="AI82">IF(Table261424[[#This Row],[10]]="","",Table261424[[#This Row],[Weight]:[Weight]]-(Table261424[[#This Row],[Weight]:[Weight]]*((_xlfn.XMATCH(Table261424[[#This Row],[10]],Table261424[[#This Row],[1]:[11]],0))-1)/(COUNTA(Table261424[[#This Row],[1]:[11]])-COUNTBLANK(Table261424[[#This Row],[1]:[11]])-1)))</f>
        <v/>
      </c>
      <c r="AJ82" s="29" t="str" cm="1">
        <f t="array" ref="AJ82">IF(Table261424[[#This Row],[11]]="","",Table261424[[#This Row],[Weight]:[Weight]]-(Table261424[[#This Row],[Weight]:[Weight]]*((_xlfn.XMATCH(Table261424[[#This Row],[11]],Table261424[[#This Row],[1]:[11]],0))-1)/(COUNTA(Table261424[[#This Row],[1]:[11]])-COUNTBLANK(Table261424[[#This Row],[1]:[11]])-1)))</f>
        <v/>
      </c>
    </row>
    <row r="83" spans="1:36" s="167" customFormat="1" ht="78" customHeight="1" x14ac:dyDescent="0.2">
      <c r="A83" s="173">
        <v>71</v>
      </c>
      <c r="B83" s="158" t="s">
        <v>287</v>
      </c>
      <c r="C83" s="178" t="s">
        <v>215</v>
      </c>
      <c r="D83" s="179"/>
      <c r="E83" s="38"/>
      <c r="F83" s="38"/>
      <c r="G83" s="159" t="s">
        <v>188</v>
      </c>
      <c r="H83" s="160" cm="1">
        <f t="array" ref="H83">_xlfn.IFS(G83="","",G83="No interest",0,G83="Nice to have",1,G83="Useful",2,G83="Important",3,G83="Very important",4,G83="Critical",5,G83="Show stopper",6)</f>
        <v>5</v>
      </c>
      <c r="I83" s="161">
        <f t="shared" si="8"/>
        <v>3.4153005464480874E-4</v>
      </c>
      <c r="J83" s="157" t="s">
        <v>216</v>
      </c>
      <c r="K83" s="158" t="str" cm="1">
        <f t="array" ref="K83">_xlfn.TEXTJOIN(","&amp;CHAR(10),,TEXT(Table261424[[#This Row],[12]:[22]],"0,00%"))</f>
        <v>0,00%,
0,00%,
0,00%,
0,00%,
0,00%</v>
      </c>
      <c r="L83" s="180"/>
      <c r="M83" s="181" t="e">
        <f>I83-(I83*((MATCH(Table261424[[#This Row],[Evaluators Response (SELECT)]],Table261424[[#This Row],[1]:[11]],0)-1)/(COUNTA(Table261424[[#This Row],[1]:[11]])-COUNTBLANK(Table261424[[#This Row],[1]:[11]])-1)))</f>
        <v>#N/A</v>
      </c>
      <c r="N83" s="38"/>
      <c r="O83" s="29" t="str" cm="1">
        <f t="array" ref="O83">IFERROR(INDEX(_xlfn.UNIQUE(TRIM(_xlfn.TEXTSPLIT(Table261424[[#This Row],[Selection Options]:[Selection Options]],","))),,O$11),"")</f>
        <v>100%: Supported as delivered out of the box</v>
      </c>
      <c r="P83" s="29" t="str" cm="1">
        <f t="array" ref="P83">IFERROR(INDEX(_xlfn.UNIQUE(TRIM(_xlfn.TEXTSPLIT(Table261424[[#This Row],[Selection Options]:[Selection Options]],","))),,P$11),"")</f>
        <v xml:space="preserve">
75%: Supported via modifications (config)</v>
      </c>
      <c r="Q83" s="29" t="str" cm="1">
        <f t="array" ref="Q83">IFERROR(INDEX(_xlfn.UNIQUE(TRIM(_xlfn.TEXTSPLIT(Table261424[[#This Row],[Selection Options]:[Selection Options]],","))),,Q$11),"")</f>
        <v xml:space="preserve">
50%: Supported via a third party solution</v>
      </c>
      <c r="R83" s="29" t="str" cm="1">
        <f t="array" ref="R83">IFERROR(INDEX(_xlfn.UNIQUE(TRIM(_xlfn.TEXTSPLIT(Table261424[[#This Row],[Selection Options]:[Selection Options]],","))),,R$11),"")</f>
        <v xml:space="preserve">
25%: Supported via customisation (source code changes)</v>
      </c>
      <c r="S83" s="182" t="str" cm="1">
        <f t="array" ref="S83">IFERROR(INDEX(_xlfn.UNIQUE(TRIM(_xlfn.TEXTSPLIT(Table261424[[#This Row],[Selection Options]:[Selection Options]],","))),,S$11),"")</f>
        <v xml:space="preserve">
 0%: Not currently supported</v>
      </c>
      <c r="T83" s="29" t="str" cm="1">
        <f t="array" ref="T83">IFERROR(INDEX(_xlfn.UNIQUE(TRIM(_xlfn.TEXTSPLIT(Table261424[[#This Row],[Selection Options]:[Selection Options]],","))),,T$11),"")</f>
        <v/>
      </c>
      <c r="U83" s="29" t="str" cm="1">
        <f t="array" ref="U83">IFERROR(INDEX(_xlfn.UNIQUE(TRIM(_xlfn.TEXTSPLIT(Table261424[[#This Row],[Selection Options]:[Selection Options]],","))),,U$11),"")</f>
        <v/>
      </c>
      <c r="V83" s="29" t="str" cm="1">
        <f t="array" ref="V83">IFERROR(INDEX(_xlfn.UNIQUE(TRIM(_xlfn.TEXTSPLIT(Table261424[[#This Row],[Selection Options]:[Selection Options]],","))),,V$11),"")</f>
        <v/>
      </c>
      <c r="W83" s="29" t="str" cm="1">
        <f t="array" ref="W83">IFERROR(INDEX(_xlfn.UNIQUE(TRIM(_xlfn.TEXTSPLIT(Table261424[[#This Row],[Selection Options]:[Selection Options]],","))),,W$11),"")</f>
        <v/>
      </c>
      <c r="X83" s="29" t="str" cm="1">
        <f t="array" ref="X83">IFERROR(INDEX(_xlfn.UNIQUE(TRIM(_xlfn.TEXTSPLIT(Table261424[[#This Row],[Selection Options]:[Selection Options]],","))),,X$11),"")</f>
        <v/>
      </c>
      <c r="Y83" s="29" t="str" cm="1">
        <f t="array" ref="Y83">IFERROR(INDEX(_xlfn.UNIQUE(TRIM(_xlfn.TEXTSPLIT(Table261424[[#This Row],[Selection Options]:[Selection Options]],","))),,Y$11),"")</f>
        <v/>
      </c>
      <c r="Z83" s="183" cm="1">
        <f t="array" ref="Z83">IF(Table261424[[#This Row],[1]]="","",Table261424[[#This Row],[Weight]:[Weight]]-(Table261424[[#This Row],[Weight]:[Weight]]*((_xlfn.XMATCH(Table261424[[#This Row],[1]],Table261424[[#This Row],[1]:[11]],0))-1)/(COUNTA(Table261424[[#This Row],[1]:[11]])-COUNTBLANK(Table261424[[#This Row],[1]:[11]])-1)))</f>
        <v>3.4153005464480874E-4</v>
      </c>
      <c r="AA83" s="183" cm="1">
        <f t="array" ref="AA83">IF(Table261424[[#This Row],[2]]="","",Table261424[[#This Row],[Weight]:[Weight]]-(Table261424[[#This Row],[Weight]:[Weight]]*((_xlfn.XMATCH(Table261424[[#This Row],[2]],Table261424[[#This Row],[1]:[11]],0))-1)/(COUNTA(Table261424[[#This Row],[1]:[11]])-COUNTBLANK(Table261424[[#This Row],[1]:[11]])-1)))</f>
        <v>2.5614754098360657E-4</v>
      </c>
      <c r="AB83" s="183" cm="1">
        <f t="array" ref="AB83">IF(Table261424[[#This Row],[3]]="","",Table261424[[#This Row],[Weight]:[Weight]]-(Table261424[[#This Row],[Weight]:[Weight]]*((_xlfn.XMATCH(Table261424[[#This Row],[3]],Table261424[[#This Row],[1]:[11]],0))-1)/(COUNTA(Table261424[[#This Row],[1]:[11]])-COUNTBLANK(Table261424[[#This Row],[1]:[11]])-1)))</f>
        <v>1.7076502732240437E-4</v>
      </c>
      <c r="AC83" s="183" cm="1">
        <f t="array" ref="AC83">IF(Table261424[[#This Row],[4]]="","",Table261424[[#This Row],[Weight]:[Weight]]-(Table261424[[#This Row],[Weight]:[Weight]]*((_xlfn.XMATCH(Table261424[[#This Row],[4]],Table261424[[#This Row],[1]:[11]],0))-1)/(COUNTA(Table261424[[#This Row],[1]:[11]])-COUNTBLANK(Table261424[[#This Row],[1]:[11]])-1)))</f>
        <v>8.5382513661202172E-5</v>
      </c>
      <c r="AD83" s="183" cm="1">
        <f t="array" ref="AD83">IF(Table261424[[#This Row],[5]]="","",Table261424[[#This Row],[Weight]:[Weight]]-(Table261424[[#This Row],[Weight]:[Weight]]*((_xlfn.XMATCH(Table261424[[#This Row],[5]],Table261424[[#This Row],[1]:[11]],0))-1)/(COUNTA(Table261424[[#This Row],[1]:[11]])-COUNTBLANK(Table261424[[#This Row],[1]:[11]])-1)))</f>
        <v>0</v>
      </c>
      <c r="AE83" s="183" t="str" cm="1">
        <f t="array" ref="AE83">IF(Table261424[[#This Row],[6]]="","",Table261424[[#This Row],[Weight]:[Weight]]-(Table261424[[#This Row],[Weight]:[Weight]]*((_xlfn.XMATCH(Table261424[[#This Row],[6]],Table261424[[#This Row],[1]:[11]],0))-1)/(COUNTA(Table261424[[#This Row],[1]:[11]])-COUNTBLANK(Table261424[[#This Row],[1]:[11]])-1)))</f>
        <v/>
      </c>
      <c r="AF83" s="183" t="str" cm="1">
        <f t="array" ref="AF83">IF(Table261424[[#This Row],[7]]="","",Table261424[[#This Row],[Weight]:[Weight]]-(Table261424[[#This Row],[Weight]:[Weight]]*((_xlfn.XMATCH(Table261424[[#This Row],[7]],Table261424[[#This Row],[1]:[11]],0))-1)/(COUNTA(Table261424[[#This Row],[1]:[11]])-COUNTBLANK(Table261424[[#This Row],[1]:[11]])-1)))</f>
        <v/>
      </c>
      <c r="AG83" s="183" t="str" cm="1">
        <f t="array" ref="AG83">IF(Table261424[[#This Row],[8]]="","",Table261424[[#This Row],[Weight]:[Weight]]-(Table261424[[#This Row],[Weight]:[Weight]]*((_xlfn.XMATCH(Table261424[[#This Row],[8]],Table261424[[#This Row],[1]:[11]],0))-1)/(COUNTA(Table261424[[#This Row],[1]:[11]])-COUNTBLANK(Table261424[[#This Row],[1]:[11]])-1)))</f>
        <v/>
      </c>
      <c r="AH83" s="29" t="str" cm="1">
        <f t="array" ref="AH83">IF(Table261424[[#This Row],[9]]="","",Table261424[[#This Row],[Weight]:[Weight]]-(Table261424[[#This Row],[Weight]:[Weight]]*((_xlfn.XMATCH(Table261424[[#This Row],[9]],Table261424[[#This Row],[1]:[11]],0))-1)/(COUNTA(Table261424[[#This Row],[1]:[11]])-COUNTBLANK(Table261424[[#This Row],[1]:[11]])-1)))</f>
        <v/>
      </c>
      <c r="AI83" s="29" t="str" cm="1">
        <f t="array" ref="AI83">IF(Table261424[[#This Row],[10]]="","",Table261424[[#This Row],[Weight]:[Weight]]-(Table261424[[#This Row],[Weight]:[Weight]]*((_xlfn.XMATCH(Table261424[[#This Row],[10]],Table261424[[#This Row],[1]:[11]],0))-1)/(COUNTA(Table261424[[#This Row],[1]:[11]])-COUNTBLANK(Table261424[[#This Row],[1]:[11]])-1)))</f>
        <v/>
      </c>
      <c r="AJ83" s="29" t="str" cm="1">
        <f t="array" ref="AJ83">IF(Table261424[[#This Row],[11]]="","",Table261424[[#This Row],[Weight]:[Weight]]-(Table261424[[#This Row],[Weight]:[Weight]]*((_xlfn.XMATCH(Table261424[[#This Row],[11]],Table261424[[#This Row],[1]:[11]],0))-1)/(COUNTA(Table261424[[#This Row],[1]:[11]])-COUNTBLANK(Table261424[[#This Row],[1]:[11]])-1)))</f>
        <v/>
      </c>
    </row>
    <row r="84" spans="1:36" s="167" customFormat="1" ht="72" x14ac:dyDescent="0.2">
      <c r="A84" s="173">
        <v>72</v>
      </c>
      <c r="B84" s="158" t="s">
        <v>288</v>
      </c>
      <c r="C84" s="178" t="s">
        <v>215</v>
      </c>
      <c r="D84" s="179"/>
      <c r="E84" s="38"/>
      <c r="F84" s="38"/>
      <c r="G84" s="159" t="s">
        <v>60</v>
      </c>
      <c r="H84" s="160" cm="1">
        <f t="array" ref="H84">_xlfn.IFS(G84="","",G84="No interest",0,G84="Nice to have",1,G84="Useful",2,G84="Important",3,G84="Very important",4,G84="Critical",5,G84="Show stopper",6)</f>
        <v>6</v>
      </c>
      <c r="I84" s="161">
        <f t="shared" si="8"/>
        <v>4.0983606557377049E-4</v>
      </c>
      <c r="J84" s="157" t="s">
        <v>216</v>
      </c>
      <c r="K84" s="158" t="str" cm="1">
        <f t="array" ref="K84">_xlfn.TEXTJOIN(","&amp;CHAR(10),,TEXT(Table261424[[#This Row],[12]:[22]],"0,00%"))</f>
        <v>0,00%,
0,00%,
0,00%,
0,00%,
0,00%</v>
      </c>
      <c r="L84" s="180"/>
      <c r="M84" s="181" t="e">
        <f>I84-(I84*((MATCH(Table261424[[#This Row],[Evaluators Response (SELECT)]],Table261424[[#This Row],[1]:[11]],0)-1)/(COUNTA(Table261424[[#This Row],[1]:[11]])-COUNTBLANK(Table261424[[#This Row],[1]:[11]])-1)))</f>
        <v>#N/A</v>
      </c>
      <c r="N84" s="38"/>
      <c r="O84" s="29" t="str" cm="1">
        <f t="array" ref="O84">IFERROR(INDEX(_xlfn.UNIQUE(TRIM(_xlfn.TEXTSPLIT(Table261424[[#This Row],[Selection Options]:[Selection Options]],","))),,O$11),"")</f>
        <v>100%: Supported as delivered out of the box</v>
      </c>
      <c r="P84" s="29" t="str" cm="1">
        <f t="array" ref="P84">IFERROR(INDEX(_xlfn.UNIQUE(TRIM(_xlfn.TEXTSPLIT(Table261424[[#This Row],[Selection Options]:[Selection Options]],","))),,P$11),"")</f>
        <v xml:space="preserve">
75%: Supported via modifications (config)</v>
      </c>
      <c r="Q84" s="29" t="str" cm="1">
        <f t="array" ref="Q84">IFERROR(INDEX(_xlfn.UNIQUE(TRIM(_xlfn.TEXTSPLIT(Table261424[[#This Row],[Selection Options]:[Selection Options]],","))),,Q$11),"")</f>
        <v xml:space="preserve">
50%: Supported via a third party solution</v>
      </c>
      <c r="R84" s="29" t="str" cm="1">
        <f t="array" ref="R84">IFERROR(INDEX(_xlfn.UNIQUE(TRIM(_xlfn.TEXTSPLIT(Table261424[[#This Row],[Selection Options]:[Selection Options]],","))),,R$11),"")</f>
        <v xml:space="preserve">
25%: Supported via customisation (source code changes)</v>
      </c>
      <c r="S84" s="182" t="str" cm="1">
        <f t="array" ref="S84">IFERROR(INDEX(_xlfn.UNIQUE(TRIM(_xlfn.TEXTSPLIT(Table261424[[#This Row],[Selection Options]:[Selection Options]],","))),,S$11),"")</f>
        <v xml:space="preserve">
 0%: Not currently supported</v>
      </c>
      <c r="T84" s="29" t="str" cm="1">
        <f t="array" ref="T84">IFERROR(INDEX(_xlfn.UNIQUE(TRIM(_xlfn.TEXTSPLIT(Table261424[[#This Row],[Selection Options]:[Selection Options]],","))),,T$11),"")</f>
        <v/>
      </c>
      <c r="U84" s="29" t="str" cm="1">
        <f t="array" ref="U84">IFERROR(INDEX(_xlfn.UNIQUE(TRIM(_xlfn.TEXTSPLIT(Table261424[[#This Row],[Selection Options]:[Selection Options]],","))),,U$11),"")</f>
        <v/>
      </c>
      <c r="V84" s="29" t="str" cm="1">
        <f t="array" ref="V84">IFERROR(INDEX(_xlfn.UNIQUE(TRIM(_xlfn.TEXTSPLIT(Table261424[[#This Row],[Selection Options]:[Selection Options]],","))),,V$11),"")</f>
        <v/>
      </c>
      <c r="W84" s="29" t="str" cm="1">
        <f t="array" ref="W84">IFERROR(INDEX(_xlfn.UNIQUE(TRIM(_xlfn.TEXTSPLIT(Table261424[[#This Row],[Selection Options]:[Selection Options]],","))),,W$11),"")</f>
        <v/>
      </c>
      <c r="X84" s="29" t="str" cm="1">
        <f t="array" ref="X84">IFERROR(INDEX(_xlfn.UNIQUE(TRIM(_xlfn.TEXTSPLIT(Table261424[[#This Row],[Selection Options]:[Selection Options]],","))),,X$11),"")</f>
        <v/>
      </c>
      <c r="Y84" s="29" t="str" cm="1">
        <f t="array" ref="Y84">IFERROR(INDEX(_xlfn.UNIQUE(TRIM(_xlfn.TEXTSPLIT(Table261424[[#This Row],[Selection Options]:[Selection Options]],","))),,Y$11),"")</f>
        <v/>
      </c>
      <c r="Z84" s="183" cm="1">
        <f t="array" ref="Z84">IF(Table261424[[#This Row],[1]]="","",Table261424[[#This Row],[Weight]:[Weight]]-(Table261424[[#This Row],[Weight]:[Weight]]*((_xlfn.XMATCH(Table261424[[#This Row],[1]],Table261424[[#This Row],[1]:[11]],0))-1)/(COUNTA(Table261424[[#This Row],[1]:[11]])-COUNTBLANK(Table261424[[#This Row],[1]:[11]])-1)))</f>
        <v>4.0983606557377049E-4</v>
      </c>
      <c r="AA84" s="183" cm="1">
        <f t="array" ref="AA84">IF(Table261424[[#This Row],[2]]="","",Table261424[[#This Row],[Weight]:[Weight]]-(Table261424[[#This Row],[Weight]:[Weight]]*((_xlfn.XMATCH(Table261424[[#This Row],[2]],Table261424[[#This Row],[1]:[11]],0))-1)/(COUNTA(Table261424[[#This Row],[1]:[11]])-COUNTBLANK(Table261424[[#This Row],[1]:[11]])-1)))</f>
        <v>3.0737704918032784E-4</v>
      </c>
      <c r="AB84" s="183" cm="1">
        <f t="array" ref="AB84">IF(Table261424[[#This Row],[3]]="","",Table261424[[#This Row],[Weight]:[Weight]]-(Table261424[[#This Row],[Weight]:[Weight]]*((_xlfn.XMATCH(Table261424[[#This Row],[3]],Table261424[[#This Row],[1]:[11]],0))-1)/(COUNTA(Table261424[[#This Row],[1]:[11]])-COUNTBLANK(Table261424[[#This Row],[1]:[11]])-1)))</f>
        <v>2.0491803278688525E-4</v>
      </c>
      <c r="AC84" s="183" cm="1">
        <f t="array" ref="AC84">IF(Table261424[[#This Row],[4]]="","",Table261424[[#This Row],[Weight]:[Weight]]-(Table261424[[#This Row],[Weight]:[Weight]]*((_xlfn.XMATCH(Table261424[[#This Row],[4]],Table261424[[#This Row],[1]:[11]],0))-1)/(COUNTA(Table261424[[#This Row],[1]:[11]])-COUNTBLANK(Table261424[[#This Row],[1]:[11]])-1)))</f>
        <v>1.0245901639344265E-4</v>
      </c>
      <c r="AD84" s="183" cm="1">
        <f t="array" ref="AD84">IF(Table261424[[#This Row],[5]]="","",Table261424[[#This Row],[Weight]:[Weight]]-(Table261424[[#This Row],[Weight]:[Weight]]*((_xlfn.XMATCH(Table261424[[#This Row],[5]],Table261424[[#This Row],[1]:[11]],0))-1)/(COUNTA(Table261424[[#This Row],[1]:[11]])-COUNTBLANK(Table261424[[#This Row],[1]:[11]])-1)))</f>
        <v>0</v>
      </c>
      <c r="AE84" s="183" t="str" cm="1">
        <f t="array" ref="AE84">IF(Table261424[[#This Row],[6]]="","",Table261424[[#This Row],[Weight]:[Weight]]-(Table261424[[#This Row],[Weight]:[Weight]]*((_xlfn.XMATCH(Table261424[[#This Row],[6]],Table261424[[#This Row],[1]:[11]],0))-1)/(COUNTA(Table261424[[#This Row],[1]:[11]])-COUNTBLANK(Table261424[[#This Row],[1]:[11]])-1)))</f>
        <v/>
      </c>
      <c r="AF84" s="183" t="str" cm="1">
        <f t="array" ref="AF84">IF(Table261424[[#This Row],[7]]="","",Table261424[[#This Row],[Weight]:[Weight]]-(Table261424[[#This Row],[Weight]:[Weight]]*((_xlfn.XMATCH(Table261424[[#This Row],[7]],Table261424[[#This Row],[1]:[11]],0))-1)/(COUNTA(Table261424[[#This Row],[1]:[11]])-COUNTBLANK(Table261424[[#This Row],[1]:[11]])-1)))</f>
        <v/>
      </c>
      <c r="AG84" s="183" t="str" cm="1">
        <f t="array" ref="AG84">IF(Table261424[[#This Row],[8]]="","",Table261424[[#This Row],[Weight]:[Weight]]-(Table261424[[#This Row],[Weight]:[Weight]]*((_xlfn.XMATCH(Table261424[[#This Row],[8]],Table261424[[#This Row],[1]:[11]],0))-1)/(COUNTA(Table261424[[#This Row],[1]:[11]])-COUNTBLANK(Table261424[[#This Row],[1]:[11]])-1)))</f>
        <v/>
      </c>
      <c r="AH84" s="29" t="str" cm="1">
        <f t="array" ref="AH84">IF(Table261424[[#This Row],[9]]="","",Table261424[[#This Row],[Weight]:[Weight]]-(Table261424[[#This Row],[Weight]:[Weight]]*((_xlfn.XMATCH(Table261424[[#This Row],[9]],Table261424[[#This Row],[1]:[11]],0))-1)/(COUNTA(Table261424[[#This Row],[1]:[11]])-COUNTBLANK(Table261424[[#This Row],[1]:[11]])-1)))</f>
        <v/>
      </c>
      <c r="AI84" s="29" t="str" cm="1">
        <f t="array" ref="AI84">IF(Table261424[[#This Row],[10]]="","",Table261424[[#This Row],[Weight]:[Weight]]-(Table261424[[#This Row],[Weight]:[Weight]]*((_xlfn.XMATCH(Table261424[[#This Row],[10]],Table261424[[#This Row],[1]:[11]],0))-1)/(COUNTA(Table261424[[#This Row],[1]:[11]])-COUNTBLANK(Table261424[[#This Row],[1]:[11]])-1)))</f>
        <v/>
      </c>
      <c r="AJ84" s="29" t="str" cm="1">
        <f t="array" ref="AJ84">IF(Table261424[[#This Row],[11]]="","",Table261424[[#This Row],[Weight]:[Weight]]-(Table261424[[#This Row],[Weight]:[Weight]]*((_xlfn.XMATCH(Table261424[[#This Row],[11]],Table261424[[#This Row],[1]:[11]],0))-1)/(COUNTA(Table261424[[#This Row],[1]:[11]])-COUNTBLANK(Table261424[[#This Row],[1]:[11]])-1)))</f>
        <v/>
      </c>
    </row>
    <row r="85" spans="1:36" s="167" customFormat="1" ht="72" x14ac:dyDescent="0.2">
      <c r="A85" s="173">
        <v>73</v>
      </c>
      <c r="B85" s="158" t="s">
        <v>289</v>
      </c>
      <c r="C85" s="178" t="s">
        <v>215</v>
      </c>
      <c r="D85" s="179"/>
      <c r="E85" s="38"/>
      <c r="F85" s="38"/>
      <c r="G85" s="159" t="s">
        <v>188</v>
      </c>
      <c r="H85" s="160" cm="1">
        <f t="array" ref="H85">_xlfn.IFS(G85="","",G85="No interest",0,G85="Nice to have",1,G85="Useful",2,G85="Important",3,G85="Very important",4,G85="Critical",5,G85="Show stopper",6)</f>
        <v>5</v>
      </c>
      <c r="I85" s="161">
        <f t="shared" si="8"/>
        <v>3.4153005464480874E-4</v>
      </c>
      <c r="J85" s="157" t="s">
        <v>216</v>
      </c>
      <c r="K85" s="158" t="str" cm="1">
        <f t="array" ref="K85">_xlfn.TEXTJOIN(","&amp;CHAR(10),,TEXT(Table261424[[#This Row],[12]:[22]],"0,00%"))</f>
        <v>0,00%,
0,00%,
0,00%,
0,00%,
0,00%</v>
      </c>
      <c r="L85" s="180"/>
      <c r="M85" s="181" t="e">
        <f>I85-(I85*((MATCH(Table261424[[#This Row],[Evaluators Response (SELECT)]],Table261424[[#This Row],[1]:[11]],0)-1)/(COUNTA(Table261424[[#This Row],[1]:[11]])-COUNTBLANK(Table261424[[#This Row],[1]:[11]])-1)))</f>
        <v>#N/A</v>
      </c>
      <c r="N85" s="38"/>
      <c r="O85" s="29" t="str" cm="1">
        <f t="array" ref="O85">IFERROR(INDEX(_xlfn.UNIQUE(TRIM(_xlfn.TEXTSPLIT(Table261424[[#This Row],[Selection Options]:[Selection Options]],","))),,O$11),"")</f>
        <v>100%: Supported as delivered out of the box</v>
      </c>
      <c r="P85" s="29" t="str" cm="1">
        <f t="array" ref="P85">IFERROR(INDEX(_xlfn.UNIQUE(TRIM(_xlfn.TEXTSPLIT(Table261424[[#This Row],[Selection Options]:[Selection Options]],","))),,P$11),"")</f>
        <v xml:space="preserve">
75%: Supported via modifications (config)</v>
      </c>
      <c r="Q85" s="29" t="str" cm="1">
        <f t="array" ref="Q85">IFERROR(INDEX(_xlfn.UNIQUE(TRIM(_xlfn.TEXTSPLIT(Table261424[[#This Row],[Selection Options]:[Selection Options]],","))),,Q$11),"")</f>
        <v xml:space="preserve">
50%: Supported via a third party solution</v>
      </c>
      <c r="R85" s="29" t="str" cm="1">
        <f t="array" ref="R85">IFERROR(INDEX(_xlfn.UNIQUE(TRIM(_xlfn.TEXTSPLIT(Table261424[[#This Row],[Selection Options]:[Selection Options]],","))),,R$11),"")</f>
        <v xml:space="preserve">
25%: Supported via customisation (source code changes)</v>
      </c>
      <c r="S85" s="182" t="str" cm="1">
        <f t="array" ref="S85">IFERROR(INDEX(_xlfn.UNIQUE(TRIM(_xlfn.TEXTSPLIT(Table261424[[#This Row],[Selection Options]:[Selection Options]],","))),,S$11),"")</f>
        <v xml:space="preserve">
 0%: Not currently supported</v>
      </c>
      <c r="T85" s="29" t="str" cm="1">
        <f t="array" ref="T85">IFERROR(INDEX(_xlfn.UNIQUE(TRIM(_xlfn.TEXTSPLIT(Table261424[[#This Row],[Selection Options]:[Selection Options]],","))),,T$11),"")</f>
        <v/>
      </c>
      <c r="U85" s="29" t="str" cm="1">
        <f t="array" ref="U85">IFERROR(INDEX(_xlfn.UNIQUE(TRIM(_xlfn.TEXTSPLIT(Table261424[[#This Row],[Selection Options]:[Selection Options]],","))),,U$11),"")</f>
        <v/>
      </c>
      <c r="V85" s="29" t="str" cm="1">
        <f t="array" ref="V85">IFERROR(INDEX(_xlfn.UNIQUE(TRIM(_xlfn.TEXTSPLIT(Table261424[[#This Row],[Selection Options]:[Selection Options]],","))),,V$11),"")</f>
        <v/>
      </c>
      <c r="W85" s="29" t="str" cm="1">
        <f t="array" ref="W85">IFERROR(INDEX(_xlfn.UNIQUE(TRIM(_xlfn.TEXTSPLIT(Table261424[[#This Row],[Selection Options]:[Selection Options]],","))),,W$11),"")</f>
        <v/>
      </c>
      <c r="X85" s="29" t="str" cm="1">
        <f t="array" ref="X85">IFERROR(INDEX(_xlfn.UNIQUE(TRIM(_xlfn.TEXTSPLIT(Table261424[[#This Row],[Selection Options]:[Selection Options]],","))),,X$11),"")</f>
        <v/>
      </c>
      <c r="Y85" s="29" t="str" cm="1">
        <f t="array" ref="Y85">IFERROR(INDEX(_xlfn.UNIQUE(TRIM(_xlfn.TEXTSPLIT(Table261424[[#This Row],[Selection Options]:[Selection Options]],","))),,Y$11),"")</f>
        <v/>
      </c>
      <c r="Z85" s="183" cm="1">
        <f t="array" ref="Z85">IF(Table261424[[#This Row],[1]]="","",Table261424[[#This Row],[Weight]:[Weight]]-(Table261424[[#This Row],[Weight]:[Weight]]*((_xlfn.XMATCH(Table261424[[#This Row],[1]],Table261424[[#This Row],[1]:[11]],0))-1)/(COUNTA(Table261424[[#This Row],[1]:[11]])-COUNTBLANK(Table261424[[#This Row],[1]:[11]])-1)))</f>
        <v>3.4153005464480874E-4</v>
      </c>
      <c r="AA85" s="183" cm="1">
        <f t="array" ref="AA85">IF(Table261424[[#This Row],[2]]="","",Table261424[[#This Row],[Weight]:[Weight]]-(Table261424[[#This Row],[Weight]:[Weight]]*((_xlfn.XMATCH(Table261424[[#This Row],[2]],Table261424[[#This Row],[1]:[11]],0))-1)/(COUNTA(Table261424[[#This Row],[1]:[11]])-COUNTBLANK(Table261424[[#This Row],[1]:[11]])-1)))</f>
        <v>2.5614754098360657E-4</v>
      </c>
      <c r="AB85" s="183" cm="1">
        <f t="array" ref="AB85">IF(Table261424[[#This Row],[3]]="","",Table261424[[#This Row],[Weight]:[Weight]]-(Table261424[[#This Row],[Weight]:[Weight]]*((_xlfn.XMATCH(Table261424[[#This Row],[3]],Table261424[[#This Row],[1]:[11]],0))-1)/(COUNTA(Table261424[[#This Row],[1]:[11]])-COUNTBLANK(Table261424[[#This Row],[1]:[11]])-1)))</f>
        <v>1.7076502732240437E-4</v>
      </c>
      <c r="AC85" s="183" cm="1">
        <f t="array" ref="AC85">IF(Table261424[[#This Row],[4]]="","",Table261424[[#This Row],[Weight]:[Weight]]-(Table261424[[#This Row],[Weight]:[Weight]]*((_xlfn.XMATCH(Table261424[[#This Row],[4]],Table261424[[#This Row],[1]:[11]],0))-1)/(COUNTA(Table261424[[#This Row],[1]:[11]])-COUNTBLANK(Table261424[[#This Row],[1]:[11]])-1)))</f>
        <v>8.5382513661202172E-5</v>
      </c>
      <c r="AD85" s="183" cm="1">
        <f t="array" ref="AD85">IF(Table261424[[#This Row],[5]]="","",Table261424[[#This Row],[Weight]:[Weight]]-(Table261424[[#This Row],[Weight]:[Weight]]*((_xlfn.XMATCH(Table261424[[#This Row],[5]],Table261424[[#This Row],[1]:[11]],0))-1)/(COUNTA(Table261424[[#This Row],[1]:[11]])-COUNTBLANK(Table261424[[#This Row],[1]:[11]])-1)))</f>
        <v>0</v>
      </c>
      <c r="AE85" s="183" t="str" cm="1">
        <f t="array" ref="AE85">IF(Table261424[[#This Row],[6]]="","",Table261424[[#This Row],[Weight]:[Weight]]-(Table261424[[#This Row],[Weight]:[Weight]]*((_xlfn.XMATCH(Table261424[[#This Row],[6]],Table261424[[#This Row],[1]:[11]],0))-1)/(COUNTA(Table261424[[#This Row],[1]:[11]])-COUNTBLANK(Table261424[[#This Row],[1]:[11]])-1)))</f>
        <v/>
      </c>
      <c r="AF85" s="183" t="str" cm="1">
        <f t="array" ref="AF85">IF(Table261424[[#This Row],[7]]="","",Table261424[[#This Row],[Weight]:[Weight]]-(Table261424[[#This Row],[Weight]:[Weight]]*((_xlfn.XMATCH(Table261424[[#This Row],[7]],Table261424[[#This Row],[1]:[11]],0))-1)/(COUNTA(Table261424[[#This Row],[1]:[11]])-COUNTBLANK(Table261424[[#This Row],[1]:[11]])-1)))</f>
        <v/>
      </c>
      <c r="AG85" s="183" t="str" cm="1">
        <f t="array" ref="AG85">IF(Table261424[[#This Row],[8]]="","",Table261424[[#This Row],[Weight]:[Weight]]-(Table261424[[#This Row],[Weight]:[Weight]]*((_xlfn.XMATCH(Table261424[[#This Row],[8]],Table261424[[#This Row],[1]:[11]],0))-1)/(COUNTA(Table261424[[#This Row],[1]:[11]])-COUNTBLANK(Table261424[[#This Row],[1]:[11]])-1)))</f>
        <v/>
      </c>
      <c r="AH85" s="29" t="str" cm="1">
        <f t="array" ref="AH85">IF(Table261424[[#This Row],[9]]="","",Table261424[[#This Row],[Weight]:[Weight]]-(Table261424[[#This Row],[Weight]:[Weight]]*((_xlfn.XMATCH(Table261424[[#This Row],[9]],Table261424[[#This Row],[1]:[11]],0))-1)/(COUNTA(Table261424[[#This Row],[1]:[11]])-COUNTBLANK(Table261424[[#This Row],[1]:[11]])-1)))</f>
        <v/>
      </c>
      <c r="AI85" s="29" t="str" cm="1">
        <f t="array" ref="AI85">IF(Table261424[[#This Row],[10]]="","",Table261424[[#This Row],[Weight]:[Weight]]-(Table261424[[#This Row],[Weight]:[Weight]]*((_xlfn.XMATCH(Table261424[[#This Row],[10]],Table261424[[#This Row],[1]:[11]],0))-1)/(COUNTA(Table261424[[#This Row],[1]:[11]])-COUNTBLANK(Table261424[[#This Row],[1]:[11]])-1)))</f>
        <v/>
      </c>
      <c r="AJ85" s="29" t="str" cm="1">
        <f t="array" ref="AJ85">IF(Table261424[[#This Row],[11]]="","",Table261424[[#This Row],[Weight]:[Weight]]-(Table261424[[#This Row],[Weight]:[Weight]]*((_xlfn.XMATCH(Table261424[[#This Row],[11]],Table261424[[#This Row],[1]:[11]],0))-1)/(COUNTA(Table261424[[#This Row],[1]:[11]])-COUNTBLANK(Table261424[[#This Row],[1]:[11]])-1)))</f>
        <v/>
      </c>
    </row>
    <row r="86" spans="1:36" s="167" customFormat="1" ht="72" x14ac:dyDescent="0.2">
      <c r="A86" s="173">
        <v>74</v>
      </c>
      <c r="B86" s="185" t="s">
        <v>290</v>
      </c>
      <c r="C86" s="178" t="s">
        <v>215</v>
      </c>
      <c r="D86" s="179"/>
      <c r="E86" s="38"/>
      <c r="F86" s="38"/>
      <c r="G86" s="159" t="s">
        <v>188</v>
      </c>
      <c r="H86" s="160" cm="1">
        <f t="array" ref="H86">_xlfn.IFS(G86="","",G86="No interest",0,G86="Nice to have",1,G86="Useful",2,G86="Important",3,G86="Very important",4,G86="Critical",5,G86="Show stopper",6)</f>
        <v>5</v>
      </c>
      <c r="I86" s="161">
        <f t="shared" si="8"/>
        <v>3.4153005464480874E-4</v>
      </c>
      <c r="J86" s="157" t="s">
        <v>216</v>
      </c>
      <c r="K86" s="158" t="str" cm="1">
        <f t="array" ref="K86">_xlfn.TEXTJOIN(","&amp;CHAR(10),,TEXT(Table261424[[#This Row],[12]:[22]],"0,00%"))</f>
        <v>0,00%,
0,00%,
0,00%,
0,00%,
0,00%</v>
      </c>
      <c r="L86" s="180"/>
      <c r="M86" s="181" t="e">
        <f>I86-(I86*((MATCH(Table261424[[#This Row],[Evaluators Response (SELECT)]],Table261424[[#This Row],[1]:[11]],0)-1)/(COUNTA(Table261424[[#This Row],[1]:[11]])-COUNTBLANK(Table261424[[#This Row],[1]:[11]])-1)))</f>
        <v>#N/A</v>
      </c>
      <c r="N86" s="38"/>
      <c r="O86" s="29" t="str" cm="1">
        <f t="array" ref="O86">IFERROR(INDEX(_xlfn.UNIQUE(TRIM(_xlfn.TEXTSPLIT(Table261424[[#This Row],[Selection Options]:[Selection Options]],","))),,O$11),"")</f>
        <v>100%: Supported as delivered out of the box</v>
      </c>
      <c r="P86" s="29" t="str" cm="1">
        <f t="array" ref="P86">IFERROR(INDEX(_xlfn.UNIQUE(TRIM(_xlfn.TEXTSPLIT(Table261424[[#This Row],[Selection Options]:[Selection Options]],","))),,P$11),"")</f>
        <v xml:space="preserve">
75%: Supported via modifications (config)</v>
      </c>
      <c r="Q86" s="29" t="str" cm="1">
        <f t="array" ref="Q86">IFERROR(INDEX(_xlfn.UNIQUE(TRIM(_xlfn.TEXTSPLIT(Table261424[[#This Row],[Selection Options]:[Selection Options]],","))),,Q$11),"")</f>
        <v xml:space="preserve">
50%: Supported via a third party solution</v>
      </c>
      <c r="R86" s="29" t="str" cm="1">
        <f t="array" ref="R86">IFERROR(INDEX(_xlfn.UNIQUE(TRIM(_xlfn.TEXTSPLIT(Table261424[[#This Row],[Selection Options]:[Selection Options]],","))),,R$11),"")</f>
        <v xml:space="preserve">
25%: Supported via customisation (source code changes)</v>
      </c>
      <c r="S86" s="182" t="str" cm="1">
        <f t="array" ref="S86">IFERROR(INDEX(_xlfn.UNIQUE(TRIM(_xlfn.TEXTSPLIT(Table261424[[#This Row],[Selection Options]:[Selection Options]],","))),,S$11),"")</f>
        <v xml:space="preserve">
 0%: Not currently supported</v>
      </c>
      <c r="T86" s="29" t="str" cm="1">
        <f t="array" ref="T86">IFERROR(INDEX(_xlfn.UNIQUE(TRIM(_xlfn.TEXTSPLIT(Table261424[[#This Row],[Selection Options]:[Selection Options]],","))),,T$11),"")</f>
        <v/>
      </c>
      <c r="U86" s="29" t="str" cm="1">
        <f t="array" ref="U86">IFERROR(INDEX(_xlfn.UNIQUE(TRIM(_xlfn.TEXTSPLIT(Table261424[[#This Row],[Selection Options]:[Selection Options]],","))),,U$11),"")</f>
        <v/>
      </c>
      <c r="V86" s="29" t="str" cm="1">
        <f t="array" ref="V86">IFERROR(INDEX(_xlfn.UNIQUE(TRIM(_xlfn.TEXTSPLIT(Table261424[[#This Row],[Selection Options]:[Selection Options]],","))),,V$11),"")</f>
        <v/>
      </c>
      <c r="W86" s="29" t="str" cm="1">
        <f t="array" ref="W86">IFERROR(INDEX(_xlfn.UNIQUE(TRIM(_xlfn.TEXTSPLIT(Table261424[[#This Row],[Selection Options]:[Selection Options]],","))),,W$11),"")</f>
        <v/>
      </c>
      <c r="X86" s="29" t="str" cm="1">
        <f t="array" ref="X86">IFERROR(INDEX(_xlfn.UNIQUE(TRIM(_xlfn.TEXTSPLIT(Table261424[[#This Row],[Selection Options]:[Selection Options]],","))),,X$11),"")</f>
        <v/>
      </c>
      <c r="Y86" s="29" t="str" cm="1">
        <f t="array" ref="Y86">IFERROR(INDEX(_xlfn.UNIQUE(TRIM(_xlfn.TEXTSPLIT(Table261424[[#This Row],[Selection Options]:[Selection Options]],","))),,Y$11),"")</f>
        <v/>
      </c>
      <c r="Z86" s="183" cm="1">
        <f t="array" ref="Z86">IF(Table261424[[#This Row],[1]]="","",Table261424[[#This Row],[Weight]:[Weight]]-(Table261424[[#This Row],[Weight]:[Weight]]*((_xlfn.XMATCH(Table261424[[#This Row],[1]],Table261424[[#This Row],[1]:[11]],0))-1)/(COUNTA(Table261424[[#This Row],[1]:[11]])-COUNTBLANK(Table261424[[#This Row],[1]:[11]])-1)))</f>
        <v>3.4153005464480874E-4</v>
      </c>
      <c r="AA86" s="183" cm="1">
        <f t="array" ref="AA86">IF(Table261424[[#This Row],[2]]="","",Table261424[[#This Row],[Weight]:[Weight]]-(Table261424[[#This Row],[Weight]:[Weight]]*((_xlfn.XMATCH(Table261424[[#This Row],[2]],Table261424[[#This Row],[1]:[11]],0))-1)/(COUNTA(Table261424[[#This Row],[1]:[11]])-COUNTBLANK(Table261424[[#This Row],[1]:[11]])-1)))</f>
        <v>2.5614754098360657E-4</v>
      </c>
      <c r="AB86" s="183" cm="1">
        <f t="array" ref="AB86">IF(Table261424[[#This Row],[3]]="","",Table261424[[#This Row],[Weight]:[Weight]]-(Table261424[[#This Row],[Weight]:[Weight]]*((_xlfn.XMATCH(Table261424[[#This Row],[3]],Table261424[[#This Row],[1]:[11]],0))-1)/(COUNTA(Table261424[[#This Row],[1]:[11]])-COUNTBLANK(Table261424[[#This Row],[1]:[11]])-1)))</f>
        <v>1.7076502732240437E-4</v>
      </c>
      <c r="AC86" s="183" cm="1">
        <f t="array" ref="AC86">IF(Table261424[[#This Row],[4]]="","",Table261424[[#This Row],[Weight]:[Weight]]-(Table261424[[#This Row],[Weight]:[Weight]]*((_xlfn.XMATCH(Table261424[[#This Row],[4]],Table261424[[#This Row],[1]:[11]],0))-1)/(COUNTA(Table261424[[#This Row],[1]:[11]])-COUNTBLANK(Table261424[[#This Row],[1]:[11]])-1)))</f>
        <v>8.5382513661202172E-5</v>
      </c>
      <c r="AD86" s="183" cm="1">
        <f t="array" ref="AD86">IF(Table261424[[#This Row],[5]]="","",Table261424[[#This Row],[Weight]:[Weight]]-(Table261424[[#This Row],[Weight]:[Weight]]*((_xlfn.XMATCH(Table261424[[#This Row],[5]],Table261424[[#This Row],[1]:[11]],0))-1)/(COUNTA(Table261424[[#This Row],[1]:[11]])-COUNTBLANK(Table261424[[#This Row],[1]:[11]])-1)))</f>
        <v>0</v>
      </c>
      <c r="AE86" s="183" t="str" cm="1">
        <f t="array" ref="AE86">IF(Table261424[[#This Row],[6]]="","",Table261424[[#This Row],[Weight]:[Weight]]-(Table261424[[#This Row],[Weight]:[Weight]]*((_xlfn.XMATCH(Table261424[[#This Row],[6]],Table261424[[#This Row],[1]:[11]],0))-1)/(COUNTA(Table261424[[#This Row],[1]:[11]])-COUNTBLANK(Table261424[[#This Row],[1]:[11]])-1)))</f>
        <v/>
      </c>
      <c r="AF86" s="183" t="str" cm="1">
        <f t="array" ref="AF86">IF(Table261424[[#This Row],[7]]="","",Table261424[[#This Row],[Weight]:[Weight]]-(Table261424[[#This Row],[Weight]:[Weight]]*((_xlfn.XMATCH(Table261424[[#This Row],[7]],Table261424[[#This Row],[1]:[11]],0))-1)/(COUNTA(Table261424[[#This Row],[1]:[11]])-COUNTBLANK(Table261424[[#This Row],[1]:[11]])-1)))</f>
        <v/>
      </c>
      <c r="AG86" s="183" t="str" cm="1">
        <f t="array" ref="AG86">IF(Table261424[[#This Row],[8]]="","",Table261424[[#This Row],[Weight]:[Weight]]-(Table261424[[#This Row],[Weight]:[Weight]]*((_xlfn.XMATCH(Table261424[[#This Row],[8]],Table261424[[#This Row],[1]:[11]],0))-1)/(COUNTA(Table261424[[#This Row],[1]:[11]])-COUNTBLANK(Table261424[[#This Row],[1]:[11]])-1)))</f>
        <v/>
      </c>
      <c r="AH86" s="29" t="str" cm="1">
        <f t="array" ref="AH86">IF(Table261424[[#This Row],[9]]="","",Table261424[[#This Row],[Weight]:[Weight]]-(Table261424[[#This Row],[Weight]:[Weight]]*((_xlfn.XMATCH(Table261424[[#This Row],[9]],Table261424[[#This Row],[1]:[11]],0))-1)/(COUNTA(Table261424[[#This Row],[1]:[11]])-COUNTBLANK(Table261424[[#This Row],[1]:[11]])-1)))</f>
        <v/>
      </c>
      <c r="AI86" s="29" t="str" cm="1">
        <f t="array" ref="AI86">IF(Table261424[[#This Row],[10]]="","",Table261424[[#This Row],[Weight]:[Weight]]-(Table261424[[#This Row],[Weight]:[Weight]]*((_xlfn.XMATCH(Table261424[[#This Row],[10]],Table261424[[#This Row],[1]:[11]],0))-1)/(COUNTA(Table261424[[#This Row],[1]:[11]])-COUNTBLANK(Table261424[[#This Row],[1]:[11]])-1)))</f>
        <v/>
      </c>
      <c r="AJ86" s="29" t="str" cm="1">
        <f t="array" ref="AJ86">IF(Table261424[[#This Row],[11]]="","",Table261424[[#This Row],[Weight]:[Weight]]-(Table261424[[#This Row],[Weight]:[Weight]]*((_xlfn.XMATCH(Table261424[[#This Row],[11]],Table261424[[#This Row],[1]:[11]],0))-1)/(COUNTA(Table261424[[#This Row],[1]:[11]])-COUNTBLANK(Table261424[[#This Row],[1]:[11]])-1)))</f>
        <v/>
      </c>
    </row>
    <row r="87" spans="1:36" s="167" customFormat="1" ht="89.1" customHeight="1" x14ac:dyDescent="0.2">
      <c r="A87" s="173">
        <v>75</v>
      </c>
      <c r="B87" s="158" t="s">
        <v>291</v>
      </c>
      <c r="C87" s="178" t="s">
        <v>215</v>
      </c>
      <c r="D87" s="179"/>
      <c r="E87" s="38"/>
      <c r="F87" s="38"/>
      <c r="G87" s="159" t="s">
        <v>188</v>
      </c>
      <c r="H87" s="160" cm="1">
        <f t="array" ref="H87">_xlfn.IFS(G87="","",G87="No interest",0,G87="Nice to have",1,G87="Useful",2,G87="Important",3,G87="Very important",4,G87="Critical",5,G87="Show stopper",6)</f>
        <v>5</v>
      </c>
      <c r="I87" s="161">
        <f t="shared" si="8"/>
        <v>3.4153005464480874E-4</v>
      </c>
      <c r="J87" s="157" t="s">
        <v>216</v>
      </c>
      <c r="K87" s="158" t="str" cm="1">
        <f t="array" ref="K87">_xlfn.TEXTJOIN(","&amp;CHAR(10),,TEXT(Table261424[[#This Row],[12]:[22]],"0,00%"))</f>
        <v>0,00%,
0,00%,
0,00%,
0,00%,
0,00%</v>
      </c>
      <c r="L87" s="180"/>
      <c r="M87" s="181" t="e">
        <f>I87-(I87*((MATCH(Table261424[[#This Row],[Evaluators Response (SELECT)]],Table261424[[#This Row],[1]:[11]],0)-1)/(COUNTA(Table261424[[#This Row],[1]:[11]])-COUNTBLANK(Table261424[[#This Row],[1]:[11]])-1)))</f>
        <v>#N/A</v>
      </c>
      <c r="N87" s="38"/>
      <c r="O87" s="29" t="str" cm="1">
        <f t="array" ref="O87">IFERROR(INDEX(_xlfn.UNIQUE(TRIM(_xlfn.TEXTSPLIT(Table261424[[#This Row],[Selection Options]:[Selection Options]],","))),,O$11),"")</f>
        <v>100%: Supported as delivered out of the box</v>
      </c>
      <c r="P87" s="29" t="str" cm="1">
        <f t="array" ref="P87">IFERROR(INDEX(_xlfn.UNIQUE(TRIM(_xlfn.TEXTSPLIT(Table261424[[#This Row],[Selection Options]:[Selection Options]],","))),,P$11),"")</f>
        <v xml:space="preserve">
75%: Supported via modifications (config)</v>
      </c>
      <c r="Q87" s="29" t="str" cm="1">
        <f t="array" ref="Q87">IFERROR(INDEX(_xlfn.UNIQUE(TRIM(_xlfn.TEXTSPLIT(Table261424[[#This Row],[Selection Options]:[Selection Options]],","))),,Q$11),"")</f>
        <v xml:space="preserve">
50%: Supported via a third party solution</v>
      </c>
      <c r="R87" s="29" t="str" cm="1">
        <f t="array" ref="R87">IFERROR(INDEX(_xlfn.UNIQUE(TRIM(_xlfn.TEXTSPLIT(Table261424[[#This Row],[Selection Options]:[Selection Options]],","))),,R$11),"")</f>
        <v xml:space="preserve">
25%: Supported via customisation (source code changes)</v>
      </c>
      <c r="S87" s="182" t="str" cm="1">
        <f t="array" ref="S87">IFERROR(INDEX(_xlfn.UNIQUE(TRIM(_xlfn.TEXTSPLIT(Table261424[[#This Row],[Selection Options]:[Selection Options]],","))),,S$11),"")</f>
        <v xml:space="preserve">
 0%: Not currently supported</v>
      </c>
      <c r="T87" s="29" t="str" cm="1">
        <f t="array" ref="T87">IFERROR(INDEX(_xlfn.UNIQUE(TRIM(_xlfn.TEXTSPLIT(Table261424[[#This Row],[Selection Options]:[Selection Options]],","))),,T$11),"")</f>
        <v/>
      </c>
      <c r="U87" s="29" t="str" cm="1">
        <f t="array" ref="U87">IFERROR(INDEX(_xlfn.UNIQUE(TRIM(_xlfn.TEXTSPLIT(Table261424[[#This Row],[Selection Options]:[Selection Options]],","))),,U$11),"")</f>
        <v/>
      </c>
      <c r="V87" s="29" t="str" cm="1">
        <f t="array" ref="V87">IFERROR(INDEX(_xlfn.UNIQUE(TRIM(_xlfn.TEXTSPLIT(Table261424[[#This Row],[Selection Options]:[Selection Options]],","))),,V$11),"")</f>
        <v/>
      </c>
      <c r="W87" s="29" t="str" cm="1">
        <f t="array" ref="W87">IFERROR(INDEX(_xlfn.UNIQUE(TRIM(_xlfn.TEXTSPLIT(Table261424[[#This Row],[Selection Options]:[Selection Options]],","))),,W$11),"")</f>
        <v/>
      </c>
      <c r="X87" s="29" t="str" cm="1">
        <f t="array" ref="X87">IFERROR(INDEX(_xlfn.UNIQUE(TRIM(_xlfn.TEXTSPLIT(Table261424[[#This Row],[Selection Options]:[Selection Options]],","))),,X$11),"")</f>
        <v/>
      </c>
      <c r="Y87" s="29" t="str" cm="1">
        <f t="array" ref="Y87">IFERROR(INDEX(_xlfn.UNIQUE(TRIM(_xlfn.TEXTSPLIT(Table261424[[#This Row],[Selection Options]:[Selection Options]],","))),,Y$11),"")</f>
        <v/>
      </c>
      <c r="Z87" s="183" cm="1">
        <f t="array" ref="Z87">IF(Table261424[[#This Row],[1]]="","",Table261424[[#This Row],[Weight]:[Weight]]-(Table261424[[#This Row],[Weight]:[Weight]]*((_xlfn.XMATCH(Table261424[[#This Row],[1]],Table261424[[#This Row],[1]:[11]],0))-1)/(COUNTA(Table261424[[#This Row],[1]:[11]])-COUNTBLANK(Table261424[[#This Row],[1]:[11]])-1)))</f>
        <v>3.4153005464480874E-4</v>
      </c>
      <c r="AA87" s="183" cm="1">
        <f t="array" ref="AA87">IF(Table261424[[#This Row],[2]]="","",Table261424[[#This Row],[Weight]:[Weight]]-(Table261424[[#This Row],[Weight]:[Weight]]*((_xlfn.XMATCH(Table261424[[#This Row],[2]],Table261424[[#This Row],[1]:[11]],0))-1)/(COUNTA(Table261424[[#This Row],[1]:[11]])-COUNTBLANK(Table261424[[#This Row],[1]:[11]])-1)))</f>
        <v>2.5614754098360657E-4</v>
      </c>
      <c r="AB87" s="183" cm="1">
        <f t="array" ref="AB87">IF(Table261424[[#This Row],[3]]="","",Table261424[[#This Row],[Weight]:[Weight]]-(Table261424[[#This Row],[Weight]:[Weight]]*((_xlfn.XMATCH(Table261424[[#This Row],[3]],Table261424[[#This Row],[1]:[11]],0))-1)/(COUNTA(Table261424[[#This Row],[1]:[11]])-COUNTBLANK(Table261424[[#This Row],[1]:[11]])-1)))</f>
        <v>1.7076502732240437E-4</v>
      </c>
      <c r="AC87" s="183" cm="1">
        <f t="array" ref="AC87">IF(Table261424[[#This Row],[4]]="","",Table261424[[#This Row],[Weight]:[Weight]]-(Table261424[[#This Row],[Weight]:[Weight]]*((_xlfn.XMATCH(Table261424[[#This Row],[4]],Table261424[[#This Row],[1]:[11]],0))-1)/(COUNTA(Table261424[[#This Row],[1]:[11]])-COUNTBLANK(Table261424[[#This Row],[1]:[11]])-1)))</f>
        <v>8.5382513661202172E-5</v>
      </c>
      <c r="AD87" s="183" cm="1">
        <f t="array" ref="AD87">IF(Table261424[[#This Row],[5]]="","",Table261424[[#This Row],[Weight]:[Weight]]-(Table261424[[#This Row],[Weight]:[Weight]]*((_xlfn.XMATCH(Table261424[[#This Row],[5]],Table261424[[#This Row],[1]:[11]],0))-1)/(COUNTA(Table261424[[#This Row],[1]:[11]])-COUNTBLANK(Table261424[[#This Row],[1]:[11]])-1)))</f>
        <v>0</v>
      </c>
      <c r="AE87" s="183" t="str" cm="1">
        <f t="array" ref="AE87">IF(Table261424[[#This Row],[6]]="","",Table261424[[#This Row],[Weight]:[Weight]]-(Table261424[[#This Row],[Weight]:[Weight]]*((_xlfn.XMATCH(Table261424[[#This Row],[6]],Table261424[[#This Row],[1]:[11]],0))-1)/(COUNTA(Table261424[[#This Row],[1]:[11]])-COUNTBLANK(Table261424[[#This Row],[1]:[11]])-1)))</f>
        <v/>
      </c>
      <c r="AF87" s="183" t="str" cm="1">
        <f t="array" ref="AF87">IF(Table261424[[#This Row],[7]]="","",Table261424[[#This Row],[Weight]:[Weight]]-(Table261424[[#This Row],[Weight]:[Weight]]*((_xlfn.XMATCH(Table261424[[#This Row],[7]],Table261424[[#This Row],[1]:[11]],0))-1)/(COUNTA(Table261424[[#This Row],[1]:[11]])-COUNTBLANK(Table261424[[#This Row],[1]:[11]])-1)))</f>
        <v/>
      </c>
      <c r="AG87" s="183" t="str" cm="1">
        <f t="array" ref="AG87">IF(Table261424[[#This Row],[8]]="","",Table261424[[#This Row],[Weight]:[Weight]]-(Table261424[[#This Row],[Weight]:[Weight]]*((_xlfn.XMATCH(Table261424[[#This Row],[8]],Table261424[[#This Row],[1]:[11]],0))-1)/(COUNTA(Table261424[[#This Row],[1]:[11]])-COUNTBLANK(Table261424[[#This Row],[1]:[11]])-1)))</f>
        <v/>
      </c>
      <c r="AH87" s="29" t="str" cm="1">
        <f t="array" ref="AH87">IF(Table261424[[#This Row],[9]]="","",Table261424[[#This Row],[Weight]:[Weight]]-(Table261424[[#This Row],[Weight]:[Weight]]*((_xlfn.XMATCH(Table261424[[#This Row],[9]],Table261424[[#This Row],[1]:[11]],0))-1)/(COUNTA(Table261424[[#This Row],[1]:[11]])-COUNTBLANK(Table261424[[#This Row],[1]:[11]])-1)))</f>
        <v/>
      </c>
      <c r="AI87" s="29" t="str" cm="1">
        <f t="array" ref="AI87">IF(Table261424[[#This Row],[10]]="","",Table261424[[#This Row],[Weight]:[Weight]]-(Table261424[[#This Row],[Weight]:[Weight]]*((_xlfn.XMATCH(Table261424[[#This Row],[10]],Table261424[[#This Row],[1]:[11]],0))-1)/(COUNTA(Table261424[[#This Row],[1]:[11]])-COUNTBLANK(Table261424[[#This Row],[1]:[11]])-1)))</f>
        <v/>
      </c>
      <c r="AJ87" s="29" t="str" cm="1">
        <f t="array" ref="AJ87">IF(Table261424[[#This Row],[11]]="","",Table261424[[#This Row],[Weight]:[Weight]]-(Table261424[[#This Row],[Weight]:[Weight]]*((_xlfn.XMATCH(Table261424[[#This Row],[11]],Table261424[[#This Row],[1]:[11]],0))-1)/(COUNTA(Table261424[[#This Row],[1]:[11]])-COUNTBLANK(Table261424[[#This Row],[1]:[11]])-1)))</f>
        <v/>
      </c>
    </row>
    <row r="88" spans="1:36" s="167" customFormat="1" ht="72" x14ac:dyDescent="0.2">
      <c r="A88" s="173">
        <v>76</v>
      </c>
      <c r="B88" s="21" t="s">
        <v>292</v>
      </c>
      <c r="C88" s="178" t="s">
        <v>215</v>
      </c>
      <c r="D88" s="179"/>
      <c r="E88" s="28"/>
      <c r="F88" s="28"/>
      <c r="G88" s="159" t="s">
        <v>60</v>
      </c>
      <c r="H88" s="155" cm="1">
        <f t="array" ref="H88">_xlfn.IFS(G88="","",G88="No interest",0,G88="Nice to have",1,G88="Useful",2,G88="Important",3,G88="Very important",4,G88="Critical",5,G88="Show stopper",6)</f>
        <v>6</v>
      </c>
      <c r="I88" s="156">
        <f t="shared" ref="I88:I113" si="9">(H88/$H$11)*$G$11</f>
        <v>4.0983606557377049E-4</v>
      </c>
      <c r="J88" s="157" t="s">
        <v>216</v>
      </c>
      <c r="K88" s="158" t="str" cm="1">
        <f t="array" ref="K88">_xlfn.TEXTJOIN(","&amp;CHAR(10),,TEXT(Table261424[[#This Row],[12]:[22]],"0,00%"))</f>
        <v>0,00%,
0,00%,
0,00%,
0,00%,
0,00%</v>
      </c>
      <c r="L88" s="175"/>
      <c r="M88" s="176" t="e">
        <f>I88-(I88*((MATCH(Table261424[[#This Row],[Evaluators Response (SELECT)]],Table261424[[#This Row],[1]:[11]],0)-1)/(COUNTA(Table261424[[#This Row],[1]:[11]])-COUNTBLANK(Table261424[[#This Row],[1]:[11]])-1)))</f>
        <v>#N/A</v>
      </c>
      <c r="N88" s="28"/>
      <c r="O88" s="39" t="str" cm="1">
        <f t="array" ref="O88">IFERROR(INDEX(_xlfn.UNIQUE(TRIM(_xlfn.TEXTSPLIT(Table261424[[#This Row],[Selection Options]:[Selection Options]],","))),,O$11),"")</f>
        <v>100%: Supported as delivered out of the box</v>
      </c>
      <c r="P88" s="39" t="str" cm="1">
        <f t="array" ref="P88">IFERROR(INDEX(_xlfn.UNIQUE(TRIM(_xlfn.TEXTSPLIT(Table261424[[#This Row],[Selection Options]:[Selection Options]],","))),,P$11),"")</f>
        <v xml:space="preserve">
75%: Supported via modifications (config)</v>
      </c>
      <c r="Q88" s="39" t="str" cm="1">
        <f t="array" ref="Q88">IFERROR(INDEX(_xlfn.UNIQUE(TRIM(_xlfn.TEXTSPLIT(Table261424[[#This Row],[Selection Options]:[Selection Options]],","))),,Q$11),"")</f>
        <v xml:space="preserve">
50%: Supported via a third party solution</v>
      </c>
      <c r="R88" s="39" t="str" cm="1">
        <f t="array" ref="R88">IFERROR(INDEX(_xlfn.UNIQUE(TRIM(_xlfn.TEXTSPLIT(Table261424[[#This Row],[Selection Options]:[Selection Options]],","))),,R$11),"")</f>
        <v xml:space="preserve">
25%: Supported via customisation (source code changes)</v>
      </c>
      <c r="S88" s="177" t="str" cm="1">
        <f t="array" ref="S88">IFERROR(INDEX(_xlfn.UNIQUE(TRIM(_xlfn.TEXTSPLIT(Table261424[[#This Row],[Selection Options]:[Selection Options]],","))),,S$11),"")</f>
        <v xml:space="preserve">
 0%: Not currently supported</v>
      </c>
      <c r="T88" s="39" t="str" cm="1">
        <f t="array" ref="T88">IFERROR(INDEX(_xlfn.UNIQUE(TRIM(_xlfn.TEXTSPLIT(Table261424[[#This Row],[Selection Options]:[Selection Options]],","))),,T$11),"")</f>
        <v/>
      </c>
      <c r="U88" s="39" t="str" cm="1">
        <f t="array" ref="U88">IFERROR(INDEX(_xlfn.UNIQUE(TRIM(_xlfn.TEXTSPLIT(Table261424[[#This Row],[Selection Options]:[Selection Options]],","))),,U$11),"")</f>
        <v/>
      </c>
      <c r="V88" s="39" t="str" cm="1">
        <f t="array" ref="V88">IFERROR(INDEX(_xlfn.UNIQUE(TRIM(_xlfn.TEXTSPLIT(Table261424[[#This Row],[Selection Options]:[Selection Options]],","))),,V$11),"")</f>
        <v/>
      </c>
      <c r="W88" s="39" t="str" cm="1">
        <f t="array" ref="W88">IFERROR(INDEX(_xlfn.UNIQUE(TRIM(_xlfn.TEXTSPLIT(Table261424[[#This Row],[Selection Options]:[Selection Options]],","))),,W$11),"")</f>
        <v/>
      </c>
      <c r="X88" s="39" t="str" cm="1">
        <f t="array" ref="X88">IFERROR(INDEX(_xlfn.UNIQUE(TRIM(_xlfn.TEXTSPLIT(Table261424[[#This Row],[Selection Options]:[Selection Options]],","))),,X$11),"")</f>
        <v/>
      </c>
      <c r="Y88" s="39" t="str" cm="1">
        <f t="array" ref="Y88">IFERROR(INDEX(_xlfn.UNIQUE(TRIM(_xlfn.TEXTSPLIT(Table261424[[#This Row],[Selection Options]:[Selection Options]],","))),,Y$11),"")</f>
        <v/>
      </c>
      <c r="Z88" s="30" cm="1">
        <f t="array" ref="Z88">IF(Table261424[[#This Row],[1]]="","",Table261424[[#This Row],[Weight]:[Weight]]-(Table261424[[#This Row],[Weight]:[Weight]]*((_xlfn.XMATCH(Table261424[[#This Row],[1]],Table261424[[#This Row],[1]:[11]],0))-1)/(COUNTA(Table261424[[#This Row],[1]:[11]])-COUNTBLANK(Table261424[[#This Row],[1]:[11]])-1)))</f>
        <v>4.0983606557377049E-4</v>
      </c>
      <c r="AA88" s="30" cm="1">
        <f t="array" ref="AA88">IF(Table261424[[#This Row],[2]]="","",Table261424[[#This Row],[Weight]:[Weight]]-(Table261424[[#This Row],[Weight]:[Weight]]*((_xlfn.XMATCH(Table261424[[#This Row],[2]],Table261424[[#This Row],[1]:[11]],0))-1)/(COUNTA(Table261424[[#This Row],[1]:[11]])-COUNTBLANK(Table261424[[#This Row],[1]:[11]])-1)))</f>
        <v>3.0737704918032784E-4</v>
      </c>
      <c r="AB88" s="30" cm="1">
        <f t="array" ref="AB88">IF(Table261424[[#This Row],[3]]="","",Table261424[[#This Row],[Weight]:[Weight]]-(Table261424[[#This Row],[Weight]:[Weight]]*((_xlfn.XMATCH(Table261424[[#This Row],[3]],Table261424[[#This Row],[1]:[11]],0))-1)/(COUNTA(Table261424[[#This Row],[1]:[11]])-COUNTBLANK(Table261424[[#This Row],[1]:[11]])-1)))</f>
        <v>2.0491803278688525E-4</v>
      </c>
      <c r="AC88" s="30" cm="1">
        <f t="array" ref="AC88">IF(Table261424[[#This Row],[4]]="","",Table261424[[#This Row],[Weight]:[Weight]]-(Table261424[[#This Row],[Weight]:[Weight]]*((_xlfn.XMATCH(Table261424[[#This Row],[4]],Table261424[[#This Row],[1]:[11]],0))-1)/(COUNTA(Table261424[[#This Row],[1]:[11]])-COUNTBLANK(Table261424[[#This Row],[1]:[11]])-1)))</f>
        <v>1.0245901639344265E-4</v>
      </c>
      <c r="AD88" s="30" cm="1">
        <f t="array" ref="AD88">IF(Table261424[[#This Row],[5]]="","",Table261424[[#This Row],[Weight]:[Weight]]-(Table261424[[#This Row],[Weight]:[Weight]]*((_xlfn.XMATCH(Table261424[[#This Row],[5]],Table261424[[#This Row],[1]:[11]],0))-1)/(COUNTA(Table261424[[#This Row],[1]:[11]])-COUNTBLANK(Table261424[[#This Row],[1]:[11]])-1)))</f>
        <v>0</v>
      </c>
      <c r="AE88" s="30" t="str" cm="1">
        <f t="array" ref="AE88">IF(Table261424[[#This Row],[6]]="","",Table261424[[#This Row],[Weight]:[Weight]]-(Table261424[[#This Row],[Weight]:[Weight]]*((_xlfn.XMATCH(Table261424[[#This Row],[6]],Table261424[[#This Row],[1]:[11]],0))-1)/(COUNTA(Table261424[[#This Row],[1]:[11]])-COUNTBLANK(Table261424[[#This Row],[1]:[11]])-1)))</f>
        <v/>
      </c>
      <c r="AF88" s="30" t="str" cm="1">
        <f t="array" ref="AF88">IF(Table261424[[#This Row],[7]]="","",Table261424[[#This Row],[Weight]:[Weight]]-(Table261424[[#This Row],[Weight]:[Weight]]*((_xlfn.XMATCH(Table261424[[#This Row],[7]],Table261424[[#This Row],[1]:[11]],0))-1)/(COUNTA(Table261424[[#This Row],[1]:[11]])-COUNTBLANK(Table261424[[#This Row],[1]:[11]])-1)))</f>
        <v/>
      </c>
      <c r="AG88" s="30" t="str" cm="1">
        <f t="array" ref="AG88">IF(Table261424[[#This Row],[8]]="","",Table261424[[#This Row],[Weight]:[Weight]]-(Table261424[[#This Row],[Weight]:[Weight]]*((_xlfn.XMATCH(Table261424[[#This Row],[8]],Table261424[[#This Row],[1]:[11]],0))-1)/(COUNTA(Table261424[[#This Row],[1]:[11]])-COUNTBLANK(Table261424[[#This Row],[1]:[11]])-1)))</f>
        <v/>
      </c>
      <c r="AH88" s="39" t="str" cm="1">
        <f t="array" ref="AH88">IF(Table261424[[#This Row],[9]]="","",Table261424[[#This Row],[Weight]:[Weight]]-(Table261424[[#This Row],[Weight]:[Weight]]*((_xlfn.XMATCH(Table261424[[#This Row],[9]],Table261424[[#This Row],[1]:[11]],0))-1)/(COUNTA(Table261424[[#This Row],[1]:[11]])-COUNTBLANK(Table261424[[#This Row],[1]:[11]])-1)))</f>
        <v/>
      </c>
      <c r="AI88" s="39" t="str" cm="1">
        <f t="array" ref="AI88">IF(Table261424[[#This Row],[10]]="","",Table261424[[#This Row],[Weight]:[Weight]]-(Table261424[[#This Row],[Weight]:[Weight]]*((_xlfn.XMATCH(Table261424[[#This Row],[10]],Table261424[[#This Row],[1]:[11]],0))-1)/(COUNTA(Table261424[[#This Row],[1]:[11]])-COUNTBLANK(Table261424[[#This Row],[1]:[11]])-1)))</f>
        <v/>
      </c>
      <c r="AJ88" s="39" t="str" cm="1">
        <f t="array" ref="AJ88">IF(Table261424[[#This Row],[11]]="","",Table261424[[#This Row],[Weight]:[Weight]]-(Table261424[[#This Row],[Weight]:[Weight]]*((_xlfn.XMATCH(Table261424[[#This Row],[11]],Table261424[[#This Row],[1]:[11]],0))-1)/(COUNTA(Table261424[[#This Row],[1]:[11]])-COUNTBLANK(Table261424[[#This Row],[1]:[11]])-1)))</f>
        <v/>
      </c>
    </row>
    <row r="89" spans="1:36" s="167" customFormat="1" ht="72" x14ac:dyDescent="0.2">
      <c r="A89" s="173">
        <v>77</v>
      </c>
      <c r="B89" s="21" t="s">
        <v>293</v>
      </c>
      <c r="C89" s="178" t="s">
        <v>215</v>
      </c>
      <c r="D89" s="179"/>
      <c r="E89" s="28"/>
      <c r="F89" s="28"/>
      <c r="G89" s="159" t="s">
        <v>60</v>
      </c>
      <c r="H89" s="155" cm="1">
        <f t="array" ref="H89">_xlfn.IFS(G89="","",G89="No interest",0,G89="Nice to have",1,G89="Useful",2,G89="Important",3,G89="Very important",4,G89="Critical",5,G89="Show stopper",6)</f>
        <v>6</v>
      </c>
      <c r="I89" s="156">
        <f t="shared" si="9"/>
        <v>4.0983606557377049E-4</v>
      </c>
      <c r="J89" s="157" t="s">
        <v>216</v>
      </c>
      <c r="K89" s="158" t="str" cm="1">
        <f t="array" ref="K89">_xlfn.TEXTJOIN(","&amp;CHAR(10),,TEXT(Table261424[[#This Row],[12]:[22]],"0,00%"))</f>
        <v>0,00%,
0,00%,
0,00%,
0,00%,
0,00%</v>
      </c>
      <c r="L89" s="175"/>
      <c r="M89" s="176" t="e">
        <f>I89-(I89*((MATCH(Table261424[[#This Row],[Evaluators Response (SELECT)]],Table261424[[#This Row],[1]:[11]],0)-1)/(COUNTA(Table261424[[#This Row],[1]:[11]])-COUNTBLANK(Table261424[[#This Row],[1]:[11]])-1)))</f>
        <v>#N/A</v>
      </c>
      <c r="N89" s="28"/>
      <c r="O89" s="39" t="str" cm="1">
        <f t="array" ref="O89">IFERROR(INDEX(_xlfn.UNIQUE(TRIM(_xlfn.TEXTSPLIT(Table261424[[#This Row],[Selection Options]:[Selection Options]],","))),,O$11),"")</f>
        <v>100%: Supported as delivered out of the box</v>
      </c>
      <c r="P89" s="39" t="str" cm="1">
        <f t="array" ref="P89">IFERROR(INDEX(_xlfn.UNIQUE(TRIM(_xlfn.TEXTSPLIT(Table261424[[#This Row],[Selection Options]:[Selection Options]],","))),,P$11),"")</f>
        <v xml:space="preserve">
75%: Supported via modifications (config)</v>
      </c>
      <c r="Q89" s="39" t="str" cm="1">
        <f t="array" ref="Q89">IFERROR(INDEX(_xlfn.UNIQUE(TRIM(_xlfn.TEXTSPLIT(Table261424[[#This Row],[Selection Options]:[Selection Options]],","))),,Q$11),"")</f>
        <v xml:space="preserve">
50%: Supported via a third party solution</v>
      </c>
      <c r="R89" s="39" t="str" cm="1">
        <f t="array" ref="R89">IFERROR(INDEX(_xlfn.UNIQUE(TRIM(_xlfn.TEXTSPLIT(Table261424[[#This Row],[Selection Options]:[Selection Options]],","))),,R$11),"")</f>
        <v xml:space="preserve">
25%: Supported via customisation (source code changes)</v>
      </c>
      <c r="S89" s="177" t="str" cm="1">
        <f t="array" ref="S89">IFERROR(INDEX(_xlfn.UNIQUE(TRIM(_xlfn.TEXTSPLIT(Table261424[[#This Row],[Selection Options]:[Selection Options]],","))),,S$11),"")</f>
        <v xml:space="preserve">
 0%: Not currently supported</v>
      </c>
      <c r="T89" s="39" t="str" cm="1">
        <f t="array" ref="T89">IFERROR(INDEX(_xlfn.UNIQUE(TRIM(_xlfn.TEXTSPLIT(Table261424[[#This Row],[Selection Options]:[Selection Options]],","))),,T$11),"")</f>
        <v/>
      </c>
      <c r="U89" s="39" t="str" cm="1">
        <f t="array" ref="U89">IFERROR(INDEX(_xlfn.UNIQUE(TRIM(_xlfn.TEXTSPLIT(Table261424[[#This Row],[Selection Options]:[Selection Options]],","))),,U$11),"")</f>
        <v/>
      </c>
      <c r="V89" s="39" t="str" cm="1">
        <f t="array" ref="V89">IFERROR(INDEX(_xlfn.UNIQUE(TRIM(_xlfn.TEXTSPLIT(Table261424[[#This Row],[Selection Options]:[Selection Options]],","))),,V$11),"")</f>
        <v/>
      </c>
      <c r="W89" s="39" t="str" cm="1">
        <f t="array" ref="W89">IFERROR(INDEX(_xlfn.UNIQUE(TRIM(_xlfn.TEXTSPLIT(Table261424[[#This Row],[Selection Options]:[Selection Options]],","))),,W$11),"")</f>
        <v/>
      </c>
      <c r="X89" s="39" t="str" cm="1">
        <f t="array" ref="X89">IFERROR(INDEX(_xlfn.UNIQUE(TRIM(_xlfn.TEXTSPLIT(Table261424[[#This Row],[Selection Options]:[Selection Options]],","))),,X$11),"")</f>
        <v/>
      </c>
      <c r="Y89" s="39" t="str" cm="1">
        <f t="array" ref="Y89">IFERROR(INDEX(_xlfn.UNIQUE(TRIM(_xlfn.TEXTSPLIT(Table261424[[#This Row],[Selection Options]:[Selection Options]],","))),,Y$11),"")</f>
        <v/>
      </c>
      <c r="Z89" s="30" cm="1">
        <f t="array" ref="Z89">IF(Table261424[[#This Row],[1]]="","",Table261424[[#This Row],[Weight]:[Weight]]-(Table261424[[#This Row],[Weight]:[Weight]]*((_xlfn.XMATCH(Table261424[[#This Row],[1]],Table261424[[#This Row],[1]:[11]],0))-1)/(COUNTA(Table261424[[#This Row],[1]:[11]])-COUNTBLANK(Table261424[[#This Row],[1]:[11]])-1)))</f>
        <v>4.0983606557377049E-4</v>
      </c>
      <c r="AA89" s="30" cm="1">
        <f t="array" ref="AA89">IF(Table261424[[#This Row],[2]]="","",Table261424[[#This Row],[Weight]:[Weight]]-(Table261424[[#This Row],[Weight]:[Weight]]*((_xlfn.XMATCH(Table261424[[#This Row],[2]],Table261424[[#This Row],[1]:[11]],0))-1)/(COUNTA(Table261424[[#This Row],[1]:[11]])-COUNTBLANK(Table261424[[#This Row],[1]:[11]])-1)))</f>
        <v>3.0737704918032784E-4</v>
      </c>
      <c r="AB89" s="30" cm="1">
        <f t="array" ref="AB89">IF(Table261424[[#This Row],[3]]="","",Table261424[[#This Row],[Weight]:[Weight]]-(Table261424[[#This Row],[Weight]:[Weight]]*((_xlfn.XMATCH(Table261424[[#This Row],[3]],Table261424[[#This Row],[1]:[11]],0))-1)/(COUNTA(Table261424[[#This Row],[1]:[11]])-COUNTBLANK(Table261424[[#This Row],[1]:[11]])-1)))</f>
        <v>2.0491803278688525E-4</v>
      </c>
      <c r="AC89" s="30" cm="1">
        <f t="array" ref="AC89">IF(Table261424[[#This Row],[4]]="","",Table261424[[#This Row],[Weight]:[Weight]]-(Table261424[[#This Row],[Weight]:[Weight]]*((_xlfn.XMATCH(Table261424[[#This Row],[4]],Table261424[[#This Row],[1]:[11]],0))-1)/(COUNTA(Table261424[[#This Row],[1]:[11]])-COUNTBLANK(Table261424[[#This Row],[1]:[11]])-1)))</f>
        <v>1.0245901639344265E-4</v>
      </c>
      <c r="AD89" s="30" cm="1">
        <f t="array" ref="AD89">IF(Table261424[[#This Row],[5]]="","",Table261424[[#This Row],[Weight]:[Weight]]-(Table261424[[#This Row],[Weight]:[Weight]]*((_xlfn.XMATCH(Table261424[[#This Row],[5]],Table261424[[#This Row],[1]:[11]],0))-1)/(COUNTA(Table261424[[#This Row],[1]:[11]])-COUNTBLANK(Table261424[[#This Row],[1]:[11]])-1)))</f>
        <v>0</v>
      </c>
      <c r="AE89" s="30" t="str" cm="1">
        <f t="array" ref="AE89">IF(Table261424[[#This Row],[6]]="","",Table261424[[#This Row],[Weight]:[Weight]]-(Table261424[[#This Row],[Weight]:[Weight]]*((_xlfn.XMATCH(Table261424[[#This Row],[6]],Table261424[[#This Row],[1]:[11]],0))-1)/(COUNTA(Table261424[[#This Row],[1]:[11]])-COUNTBLANK(Table261424[[#This Row],[1]:[11]])-1)))</f>
        <v/>
      </c>
      <c r="AF89" s="30" t="str" cm="1">
        <f t="array" ref="AF89">IF(Table261424[[#This Row],[7]]="","",Table261424[[#This Row],[Weight]:[Weight]]-(Table261424[[#This Row],[Weight]:[Weight]]*((_xlfn.XMATCH(Table261424[[#This Row],[7]],Table261424[[#This Row],[1]:[11]],0))-1)/(COUNTA(Table261424[[#This Row],[1]:[11]])-COUNTBLANK(Table261424[[#This Row],[1]:[11]])-1)))</f>
        <v/>
      </c>
      <c r="AG89" s="30" t="str" cm="1">
        <f t="array" ref="AG89">IF(Table261424[[#This Row],[8]]="","",Table261424[[#This Row],[Weight]:[Weight]]-(Table261424[[#This Row],[Weight]:[Weight]]*((_xlfn.XMATCH(Table261424[[#This Row],[8]],Table261424[[#This Row],[1]:[11]],0))-1)/(COUNTA(Table261424[[#This Row],[1]:[11]])-COUNTBLANK(Table261424[[#This Row],[1]:[11]])-1)))</f>
        <v/>
      </c>
      <c r="AH89" s="39" t="str" cm="1">
        <f t="array" ref="AH89">IF(Table261424[[#This Row],[9]]="","",Table261424[[#This Row],[Weight]:[Weight]]-(Table261424[[#This Row],[Weight]:[Weight]]*((_xlfn.XMATCH(Table261424[[#This Row],[9]],Table261424[[#This Row],[1]:[11]],0))-1)/(COUNTA(Table261424[[#This Row],[1]:[11]])-COUNTBLANK(Table261424[[#This Row],[1]:[11]])-1)))</f>
        <v/>
      </c>
      <c r="AI89" s="39" t="str" cm="1">
        <f t="array" ref="AI89">IF(Table261424[[#This Row],[10]]="","",Table261424[[#This Row],[Weight]:[Weight]]-(Table261424[[#This Row],[Weight]:[Weight]]*((_xlfn.XMATCH(Table261424[[#This Row],[10]],Table261424[[#This Row],[1]:[11]],0))-1)/(COUNTA(Table261424[[#This Row],[1]:[11]])-COUNTBLANK(Table261424[[#This Row],[1]:[11]])-1)))</f>
        <v/>
      </c>
      <c r="AJ89" s="39" t="str" cm="1">
        <f t="array" ref="AJ89">IF(Table261424[[#This Row],[11]]="","",Table261424[[#This Row],[Weight]:[Weight]]-(Table261424[[#This Row],[Weight]:[Weight]]*((_xlfn.XMATCH(Table261424[[#This Row],[11]],Table261424[[#This Row],[1]:[11]],0))-1)/(COUNTA(Table261424[[#This Row],[1]:[11]])-COUNTBLANK(Table261424[[#This Row],[1]:[11]])-1)))</f>
        <v/>
      </c>
    </row>
    <row r="90" spans="1:36" s="167" customFormat="1" ht="72" x14ac:dyDescent="0.2">
      <c r="A90" s="173">
        <v>78</v>
      </c>
      <c r="B90" s="21" t="s">
        <v>294</v>
      </c>
      <c r="C90" s="178" t="s">
        <v>215</v>
      </c>
      <c r="D90" s="179"/>
      <c r="E90" s="28"/>
      <c r="F90" s="28"/>
      <c r="G90" s="159" t="s">
        <v>188</v>
      </c>
      <c r="H90" s="155" cm="1">
        <f t="array" ref="H90">_xlfn.IFS(G90="","",G90="No interest",0,G90="Nice to have",1,G90="Useful",2,G90="Important",3,G90="Very important",4,G90="Critical",5,G90="Show stopper",6)</f>
        <v>5</v>
      </c>
      <c r="I90" s="156">
        <f t="shared" si="9"/>
        <v>3.4153005464480874E-4</v>
      </c>
      <c r="J90" s="157" t="s">
        <v>216</v>
      </c>
      <c r="K90" s="158" t="str" cm="1">
        <f t="array" ref="K90">_xlfn.TEXTJOIN(","&amp;CHAR(10),,TEXT(Table261424[[#This Row],[12]:[22]],"0,00%"))</f>
        <v>0,00%,
0,00%,
0,00%,
0,00%,
0,00%</v>
      </c>
      <c r="L90" s="175"/>
      <c r="M90" s="176" t="e">
        <f>I90-(I90*((MATCH(Table261424[[#This Row],[Evaluators Response (SELECT)]],Table261424[[#This Row],[1]:[11]],0)-1)/(COUNTA(Table261424[[#This Row],[1]:[11]])-COUNTBLANK(Table261424[[#This Row],[1]:[11]])-1)))</f>
        <v>#N/A</v>
      </c>
      <c r="N90" s="28"/>
      <c r="O90" s="39" t="str" cm="1">
        <f t="array" ref="O90">IFERROR(INDEX(_xlfn.UNIQUE(TRIM(_xlfn.TEXTSPLIT(Table261424[[#This Row],[Selection Options]:[Selection Options]],","))),,O$11),"")</f>
        <v>100%: Supported as delivered out of the box</v>
      </c>
      <c r="P90" s="39" t="str" cm="1">
        <f t="array" ref="P90">IFERROR(INDEX(_xlfn.UNIQUE(TRIM(_xlfn.TEXTSPLIT(Table261424[[#This Row],[Selection Options]:[Selection Options]],","))),,P$11),"")</f>
        <v xml:space="preserve">
75%: Supported via modifications (config)</v>
      </c>
      <c r="Q90" s="39" t="str" cm="1">
        <f t="array" ref="Q90">IFERROR(INDEX(_xlfn.UNIQUE(TRIM(_xlfn.TEXTSPLIT(Table261424[[#This Row],[Selection Options]:[Selection Options]],","))),,Q$11),"")</f>
        <v xml:space="preserve">
50%: Supported via a third party solution</v>
      </c>
      <c r="R90" s="39" t="str" cm="1">
        <f t="array" ref="R90">IFERROR(INDEX(_xlfn.UNIQUE(TRIM(_xlfn.TEXTSPLIT(Table261424[[#This Row],[Selection Options]:[Selection Options]],","))),,R$11),"")</f>
        <v xml:space="preserve">
25%: Supported via customisation (source code changes)</v>
      </c>
      <c r="S90" s="177" t="str" cm="1">
        <f t="array" ref="S90">IFERROR(INDEX(_xlfn.UNIQUE(TRIM(_xlfn.TEXTSPLIT(Table261424[[#This Row],[Selection Options]:[Selection Options]],","))),,S$11),"")</f>
        <v xml:space="preserve">
 0%: Not currently supported</v>
      </c>
      <c r="T90" s="39" t="str" cm="1">
        <f t="array" ref="T90">IFERROR(INDEX(_xlfn.UNIQUE(TRIM(_xlfn.TEXTSPLIT(Table261424[[#This Row],[Selection Options]:[Selection Options]],","))),,T$11),"")</f>
        <v/>
      </c>
      <c r="U90" s="39" t="str" cm="1">
        <f t="array" ref="U90">IFERROR(INDEX(_xlfn.UNIQUE(TRIM(_xlfn.TEXTSPLIT(Table261424[[#This Row],[Selection Options]:[Selection Options]],","))),,U$11),"")</f>
        <v/>
      </c>
      <c r="V90" s="39" t="str" cm="1">
        <f t="array" ref="V90">IFERROR(INDEX(_xlfn.UNIQUE(TRIM(_xlfn.TEXTSPLIT(Table261424[[#This Row],[Selection Options]:[Selection Options]],","))),,V$11),"")</f>
        <v/>
      </c>
      <c r="W90" s="39" t="str" cm="1">
        <f t="array" ref="W90">IFERROR(INDEX(_xlfn.UNIQUE(TRIM(_xlfn.TEXTSPLIT(Table261424[[#This Row],[Selection Options]:[Selection Options]],","))),,W$11),"")</f>
        <v/>
      </c>
      <c r="X90" s="39" t="str" cm="1">
        <f t="array" ref="X90">IFERROR(INDEX(_xlfn.UNIQUE(TRIM(_xlfn.TEXTSPLIT(Table261424[[#This Row],[Selection Options]:[Selection Options]],","))),,X$11),"")</f>
        <v/>
      </c>
      <c r="Y90" s="39" t="str" cm="1">
        <f t="array" ref="Y90">IFERROR(INDEX(_xlfn.UNIQUE(TRIM(_xlfn.TEXTSPLIT(Table261424[[#This Row],[Selection Options]:[Selection Options]],","))),,Y$11),"")</f>
        <v/>
      </c>
      <c r="Z90" s="30" cm="1">
        <f t="array" ref="Z90">IF(Table261424[[#This Row],[1]]="","",Table261424[[#This Row],[Weight]:[Weight]]-(Table261424[[#This Row],[Weight]:[Weight]]*((_xlfn.XMATCH(Table261424[[#This Row],[1]],Table261424[[#This Row],[1]:[11]],0))-1)/(COUNTA(Table261424[[#This Row],[1]:[11]])-COUNTBLANK(Table261424[[#This Row],[1]:[11]])-1)))</f>
        <v>3.4153005464480874E-4</v>
      </c>
      <c r="AA90" s="30" cm="1">
        <f t="array" ref="AA90">IF(Table261424[[#This Row],[2]]="","",Table261424[[#This Row],[Weight]:[Weight]]-(Table261424[[#This Row],[Weight]:[Weight]]*((_xlfn.XMATCH(Table261424[[#This Row],[2]],Table261424[[#This Row],[1]:[11]],0))-1)/(COUNTA(Table261424[[#This Row],[1]:[11]])-COUNTBLANK(Table261424[[#This Row],[1]:[11]])-1)))</f>
        <v>2.5614754098360657E-4</v>
      </c>
      <c r="AB90" s="30" cm="1">
        <f t="array" ref="AB90">IF(Table261424[[#This Row],[3]]="","",Table261424[[#This Row],[Weight]:[Weight]]-(Table261424[[#This Row],[Weight]:[Weight]]*((_xlfn.XMATCH(Table261424[[#This Row],[3]],Table261424[[#This Row],[1]:[11]],0))-1)/(COUNTA(Table261424[[#This Row],[1]:[11]])-COUNTBLANK(Table261424[[#This Row],[1]:[11]])-1)))</f>
        <v>1.7076502732240437E-4</v>
      </c>
      <c r="AC90" s="30" cm="1">
        <f t="array" ref="AC90">IF(Table261424[[#This Row],[4]]="","",Table261424[[#This Row],[Weight]:[Weight]]-(Table261424[[#This Row],[Weight]:[Weight]]*((_xlfn.XMATCH(Table261424[[#This Row],[4]],Table261424[[#This Row],[1]:[11]],0))-1)/(COUNTA(Table261424[[#This Row],[1]:[11]])-COUNTBLANK(Table261424[[#This Row],[1]:[11]])-1)))</f>
        <v>8.5382513661202172E-5</v>
      </c>
      <c r="AD90" s="30" cm="1">
        <f t="array" ref="AD90">IF(Table261424[[#This Row],[5]]="","",Table261424[[#This Row],[Weight]:[Weight]]-(Table261424[[#This Row],[Weight]:[Weight]]*((_xlfn.XMATCH(Table261424[[#This Row],[5]],Table261424[[#This Row],[1]:[11]],0))-1)/(COUNTA(Table261424[[#This Row],[1]:[11]])-COUNTBLANK(Table261424[[#This Row],[1]:[11]])-1)))</f>
        <v>0</v>
      </c>
      <c r="AE90" s="30" t="str" cm="1">
        <f t="array" ref="AE90">IF(Table261424[[#This Row],[6]]="","",Table261424[[#This Row],[Weight]:[Weight]]-(Table261424[[#This Row],[Weight]:[Weight]]*((_xlfn.XMATCH(Table261424[[#This Row],[6]],Table261424[[#This Row],[1]:[11]],0))-1)/(COUNTA(Table261424[[#This Row],[1]:[11]])-COUNTBLANK(Table261424[[#This Row],[1]:[11]])-1)))</f>
        <v/>
      </c>
      <c r="AF90" s="30" t="str" cm="1">
        <f t="array" ref="AF90">IF(Table261424[[#This Row],[7]]="","",Table261424[[#This Row],[Weight]:[Weight]]-(Table261424[[#This Row],[Weight]:[Weight]]*((_xlfn.XMATCH(Table261424[[#This Row],[7]],Table261424[[#This Row],[1]:[11]],0))-1)/(COUNTA(Table261424[[#This Row],[1]:[11]])-COUNTBLANK(Table261424[[#This Row],[1]:[11]])-1)))</f>
        <v/>
      </c>
      <c r="AG90" s="30" t="str" cm="1">
        <f t="array" ref="AG90">IF(Table261424[[#This Row],[8]]="","",Table261424[[#This Row],[Weight]:[Weight]]-(Table261424[[#This Row],[Weight]:[Weight]]*((_xlfn.XMATCH(Table261424[[#This Row],[8]],Table261424[[#This Row],[1]:[11]],0))-1)/(COUNTA(Table261424[[#This Row],[1]:[11]])-COUNTBLANK(Table261424[[#This Row],[1]:[11]])-1)))</f>
        <v/>
      </c>
      <c r="AH90" s="39" t="str" cm="1">
        <f t="array" ref="AH90">IF(Table261424[[#This Row],[9]]="","",Table261424[[#This Row],[Weight]:[Weight]]-(Table261424[[#This Row],[Weight]:[Weight]]*((_xlfn.XMATCH(Table261424[[#This Row],[9]],Table261424[[#This Row],[1]:[11]],0))-1)/(COUNTA(Table261424[[#This Row],[1]:[11]])-COUNTBLANK(Table261424[[#This Row],[1]:[11]])-1)))</f>
        <v/>
      </c>
      <c r="AI90" s="39" t="str" cm="1">
        <f t="array" ref="AI90">IF(Table261424[[#This Row],[10]]="","",Table261424[[#This Row],[Weight]:[Weight]]-(Table261424[[#This Row],[Weight]:[Weight]]*((_xlfn.XMATCH(Table261424[[#This Row],[10]],Table261424[[#This Row],[1]:[11]],0))-1)/(COUNTA(Table261424[[#This Row],[1]:[11]])-COUNTBLANK(Table261424[[#This Row],[1]:[11]])-1)))</f>
        <v/>
      </c>
      <c r="AJ90" s="39" t="str" cm="1">
        <f t="array" ref="AJ90">IF(Table261424[[#This Row],[11]]="","",Table261424[[#This Row],[Weight]:[Weight]]-(Table261424[[#This Row],[Weight]:[Weight]]*((_xlfn.XMATCH(Table261424[[#This Row],[11]],Table261424[[#This Row],[1]:[11]],0))-1)/(COUNTA(Table261424[[#This Row],[1]:[11]])-COUNTBLANK(Table261424[[#This Row],[1]:[11]])-1)))</f>
        <v/>
      </c>
    </row>
    <row r="91" spans="1:36" s="171" customFormat="1" ht="122.45" customHeight="1" x14ac:dyDescent="0.2">
      <c r="A91" s="173">
        <v>79</v>
      </c>
      <c r="B91" s="21" t="s">
        <v>295</v>
      </c>
      <c r="C91" s="178" t="s">
        <v>215</v>
      </c>
      <c r="D91" s="179"/>
      <c r="E91" s="28"/>
      <c r="F91" s="28"/>
      <c r="G91" s="159" t="s">
        <v>188</v>
      </c>
      <c r="H91" s="155" cm="1">
        <f t="array" ref="H91">_xlfn.IFS(G91="","",G91="No interest",0,G91="Nice to have",1,G91="Useful",2,G91="Important",3,G91="Very important",4,G91="Critical",5,G91="Show stopper",6)</f>
        <v>5</v>
      </c>
      <c r="I91" s="156">
        <f t="shared" si="9"/>
        <v>3.4153005464480874E-4</v>
      </c>
      <c r="J91" s="157" t="s">
        <v>216</v>
      </c>
      <c r="K91" s="158" t="str" cm="1">
        <f t="array" ref="K91">_xlfn.TEXTJOIN(","&amp;CHAR(10),,TEXT(Table261424[[#This Row],[12]:[22]],"0,00%"))</f>
        <v>0,00%,
0,00%,
0,00%,
0,00%,
0,00%</v>
      </c>
      <c r="L91" s="175"/>
      <c r="M91" s="176" t="e">
        <f>I91-(I91*((MATCH(Table261424[[#This Row],[Evaluators Response (SELECT)]],Table261424[[#This Row],[1]:[11]],0)-1)/(COUNTA(Table261424[[#This Row],[1]:[11]])-COUNTBLANK(Table261424[[#This Row],[1]:[11]])-1)))</f>
        <v>#N/A</v>
      </c>
      <c r="N91" s="28"/>
      <c r="O91" s="39" t="str" cm="1">
        <f t="array" ref="O91">IFERROR(INDEX(_xlfn.UNIQUE(TRIM(_xlfn.TEXTSPLIT(Table261424[[#This Row],[Selection Options]:[Selection Options]],","))),,O$11),"")</f>
        <v>100%: Supported as delivered out of the box</v>
      </c>
      <c r="P91" s="39" t="str" cm="1">
        <f t="array" ref="P91">IFERROR(INDEX(_xlfn.UNIQUE(TRIM(_xlfn.TEXTSPLIT(Table261424[[#This Row],[Selection Options]:[Selection Options]],","))),,P$11),"")</f>
        <v xml:space="preserve">
75%: Supported via modifications (config)</v>
      </c>
      <c r="Q91" s="39" t="str" cm="1">
        <f t="array" ref="Q91">IFERROR(INDEX(_xlfn.UNIQUE(TRIM(_xlfn.TEXTSPLIT(Table261424[[#This Row],[Selection Options]:[Selection Options]],","))),,Q$11),"")</f>
        <v xml:space="preserve">
50%: Supported via a third party solution</v>
      </c>
      <c r="R91" s="39" t="str" cm="1">
        <f t="array" ref="R91">IFERROR(INDEX(_xlfn.UNIQUE(TRIM(_xlfn.TEXTSPLIT(Table261424[[#This Row],[Selection Options]:[Selection Options]],","))),,R$11),"")</f>
        <v xml:space="preserve">
25%: Supported via customisation (source code changes)</v>
      </c>
      <c r="S91" s="177" t="str" cm="1">
        <f t="array" ref="S91">IFERROR(INDEX(_xlfn.UNIQUE(TRIM(_xlfn.TEXTSPLIT(Table261424[[#This Row],[Selection Options]:[Selection Options]],","))),,S$11),"")</f>
        <v xml:space="preserve">
 0%: Not currently supported</v>
      </c>
      <c r="T91" s="39" t="str" cm="1">
        <f t="array" ref="T91">IFERROR(INDEX(_xlfn.UNIQUE(TRIM(_xlfn.TEXTSPLIT(Table261424[[#This Row],[Selection Options]:[Selection Options]],","))),,T$11),"")</f>
        <v/>
      </c>
      <c r="U91" s="39" t="str" cm="1">
        <f t="array" ref="U91">IFERROR(INDEX(_xlfn.UNIQUE(TRIM(_xlfn.TEXTSPLIT(Table261424[[#This Row],[Selection Options]:[Selection Options]],","))),,U$11),"")</f>
        <v/>
      </c>
      <c r="V91" s="39" t="str" cm="1">
        <f t="array" ref="V91">IFERROR(INDEX(_xlfn.UNIQUE(TRIM(_xlfn.TEXTSPLIT(Table261424[[#This Row],[Selection Options]:[Selection Options]],","))),,V$11),"")</f>
        <v/>
      </c>
      <c r="W91" s="39" t="str" cm="1">
        <f t="array" ref="W91">IFERROR(INDEX(_xlfn.UNIQUE(TRIM(_xlfn.TEXTSPLIT(Table261424[[#This Row],[Selection Options]:[Selection Options]],","))),,W$11),"")</f>
        <v/>
      </c>
      <c r="X91" s="39" t="str" cm="1">
        <f t="array" ref="X91">IFERROR(INDEX(_xlfn.UNIQUE(TRIM(_xlfn.TEXTSPLIT(Table261424[[#This Row],[Selection Options]:[Selection Options]],","))),,X$11),"")</f>
        <v/>
      </c>
      <c r="Y91" s="39" t="str" cm="1">
        <f t="array" ref="Y91">IFERROR(INDEX(_xlfn.UNIQUE(TRIM(_xlfn.TEXTSPLIT(Table261424[[#This Row],[Selection Options]:[Selection Options]],","))),,Y$11),"")</f>
        <v/>
      </c>
      <c r="Z91" s="30" cm="1">
        <f t="array" ref="Z91">IF(Table261424[[#This Row],[1]]="","",Table261424[[#This Row],[Weight]:[Weight]]-(Table261424[[#This Row],[Weight]:[Weight]]*((_xlfn.XMATCH(Table261424[[#This Row],[1]],Table261424[[#This Row],[1]:[11]],0))-1)/(COUNTA(Table261424[[#This Row],[1]:[11]])-COUNTBLANK(Table261424[[#This Row],[1]:[11]])-1)))</f>
        <v>3.4153005464480874E-4</v>
      </c>
      <c r="AA91" s="30" cm="1">
        <f t="array" ref="AA91">IF(Table261424[[#This Row],[2]]="","",Table261424[[#This Row],[Weight]:[Weight]]-(Table261424[[#This Row],[Weight]:[Weight]]*((_xlfn.XMATCH(Table261424[[#This Row],[2]],Table261424[[#This Row],[1]:[11]],0))-1)/(COUNTA(Table261424[[#This Row],[1]:[11]])-COUNTBLANK(Table261424[[#This Row],[1]:[11]])-1)))</f>
        <v>2.5614754098360657E-4</v>
      </c>
      <c r="AB91" s="30" cm="1">
        <f t="array" ref="AB91">IF(Table261424[[#This Row],[3]]="","",Table261424[[#This Row],[Weight]:[Weight]]-(Table261424[[#This Row],[Weight]:[Weight]]*((_xlfn.XMATCH(Table261424[[#This Row],[3]],Table261424[[#This Row],[1]:[11]],0))-1)/(COUNTA(Table261424[[#This Row],[1]:[11]])-COUNTBLANK(Table261424[[#This Row],[1]:[11]])-1)))</f>
        <v>1.7076502732240437E-4</v>
      </c>
      <c r="AC91" s="30" cm="1">
        <f t="array" ref="AC91">IF(Table261424[[#This Row],[4]]="","",Table261424[[#This Row],[Weight]:[Weight]]-(Table261424[[#This Row],[Weight]:[Weight]]*((_xlfn.XMATCH(Table261424[[#This Row],[4]],Table261424[[#This Row],[1]:[11]],0))-1)/(COUNTA(Table261424[[#This Row],[1]:[11]])-COUNTBLANK(Table261424[[#This Row],[1]:[11]])-1)))</f>
        <v>8.5382513661202172E-5</v>
      </c>
      <c r="AD91" s="30" cm="1">
        <f t="array" ref="AD91">IF(Table261424[[#This Row],[5]]="","",Table261424[[#This Row],[Weight]:[Weight]]-(Table261424[[#This Row],[Weight]:[Weight]]*((_xlfn.XMATCH(Table261424[[#This Row],[5]],Table261424[[#This Row],[1]:[11]],0))-1)/(COUNTA(Table261424[[#This Row],[1]:[11]])-COUNTBLANK(Table261424[[#This Row],[1]:[11]])-1)))</f>
        <v>0</v>
      </c>
      <c r="AE91" s="30" t="str" cm="1">
        <f t="array" ref="AE91">IF(Table261424[[#This Row],[6]]="","",Table261424[[#This Row],[Weight]:[Weight]]-(Table261424[[#This Row],[Weight]:[Weight]]*((_xlfn.XMATCH(Table261424[[#This Row],[6]],Table261424[[#This Row],[1]:[11]],0))-1)/(COUNTA(Table261424[[#This Row],[1]:[11]])-COUNTBLANK(Table261424[[#This Row],[1]:[11]])-1)))</f>
        <v/>
      </c>
      <c r="AF91" s="30" t="str" cm="1">
        <f t="array" ref="AF91">IF(Table261424[[#This Row],[7]]="","",Table261424[[#This Row],[Weight]:[Weight]]-(Table261424[[#This Row],[Weight]:[Weight]]*((_xlfn.XMATCH(Table261424[[#This Row],[7]],Table261424[[#This Row],[1]:[11]],0))-1)/(COUNTA(Table261424[[#This Row],[1]:[11]])-COUNTBLANK(Table261424[[#This Row],[1]:[11]])-1)))</f>
        <v/>
      </c>
      <c r="AG91" s="30" t="str" cm="1">
        <f t="array" ref="AG91">IF(Table261424[[#This Row],[8]]="","",Table261424[[#This Row],[Weight]:[Weight]]-(Table261424[[#This Row],[Weight]:[Weight]]*((_xlfn.XMATCH(Table261424[[#This Row],[8]],Table261424[[#This Row],[1]:[11]],0))-1)/(COUNTA(Table261424[[#This Row],[1]:[11]])-COUNTBLANK(Table261424[[#This Row],[1]:[11]])-1)))</f>
        <v/>
      </c>
      <c r="AH91" s="39" t="str" cm="1">
        <f t="array" ref="AH91">IF(Table261424[[#This Row],[9]]="","",Table261424[[#This Row],[Weight]:[Weight]]-(Table261424[[#This Row],[Weight]:[Weight]]*((_xlfn.XMATCH(Table261424[[#This Row],[9]],Table261424[[#This Row],[1]:[11]],0))-1)/(COUNTA(Table261424[[#This Row],[1]:[11]])-COUNTBLANK(Table261424[[#This Row],[1]:[11]])-1)))</f>
        <v/>
      </c>
      <c r="AI91" s="39" t="str" cm="1">
        <f t="array" ref="AI91">IF(Table261424[[#This Row],[10]]="","",Table261424[[#This Row],[Weight]:[Weight]]-(Table261424[[#This Row],[Weight]:[Weight]]*((_xlfn.XMATCH(Table261424[[#This Row],[10]],Table261424[[#This Row],[1]:[11]],0))-1)/(COUNTA(Table261424[[#This Row],[1]:[11]])-COUNTBLANK(Table261424[[#This Row],[1]:[11]])-1)))</f>
        <v/>
      </c>
      <c r="AJ91" s="39" t="str" cm="1">
        <f t="array" ref="AJ91">IF(Table261424[[#This Row],[11]]="","",Table261424[[#This Row],[Weight]:[Weight]]-(Table261424[[#This Row],[Weight]:[Weight]]*((_xlfn.XMATCH(Table261424[[#This Row],[11]],Table261424[[#This Row],[1]:[11]],0))-1)/(COUNTA(Table261424[[#This Row],[1]:[11]])-COUNTBLANK(Table261424[[#This Row],[1]:[11]])-1)))</f>
        <v/>
      </c>
    </row>
    <row r="92" spans="1:36" s="167" customFormat="1" ht="120" x14ac:dyDescent="0.2">
      <c r="A92" s="173">
        <v>80</v>
      </c>
      <c r="B92" s="21" t="s">
        <v>296</v>
      </c>
      <c r="C92" s="178" t="s">
        <v>215</v>
      </c>
      <c r="D92" s="179"/>
      <c r="E92" s="28"/>
      <c r="F92" s="28"/>
      <c r="G92" s="159" t="s">
        <v>188</v>
      </c>
      <c r="H92" s="155" cm="1">
        <f t="array" ref="H92">_xlfn.IFS(G92="","",G92="No interest",0,G92="Nice to have",1,G92="Useful",2,G92="Important",3,G92="Very important",4,G92="Critical",5,G92="Show stopper",6)</f>
        <v>5</v>
      </c>
      <c r="I92" s="156">
        <f t="shared" si="9"/>
        <v>3.4153005464480874E-4</v>
      </c>
      <c r="J92" s="157" t="s">
        <v>216</v>
      </c>
      <c r="K92" s="158" t="str" cm="1">
        <f t="array" ref="K92">_xlfn.TEXTJOIN(","&amp;CHAR(10),,TEXT(Table261424[[#This Row],[12]:[22]],"0,00%"))</f>
        <v>0,00%,
0,00%,
0,00%,
0,00%,
0,00%</v>
      </c>
      <c r="L92" s="175"/>
      <c r="M92" s="176" t="e">
        <f>I92-(I92*((MATCH(Table261424[[#This Row],[Evaluators Response (SELECT)]],Table261424[[#This Row],[1]:[11]],0)-1)/(COUNTA(Table261424[[#This Row],[1]:[11]])-COUNTBLANK(Table261424[[#This Row],[1]:[11]])-1)))</f>
        <v>#N/A</v>
      </c>
      <c r="N92" s="28"/>
      <c r="O92" s="39" t="str" cm="1">
        <f t="array" ref="O92">IFERROR(INDEX(_xlfn.UNIQUE(TRIM(_xlfn.TEXTSPLIT(Table261424[[#This Row],[Selection Options]:[Selection Options]],","))),,O$11),"")</f>
        <v>100%: Supported as delivered out of the box</v>
      </c>
      <c r="P92" s="39" t="str" cm="1">
        <f t="array" ref="P92">IFERROR(INDEX(_xlfn.UNIQUE(TRIM(_xlfn.TEXTSPLIT(Table261424[[#This Row],[Selection Options]:[Selection Options]],","))),,P$11),"")</f>
        <v xml:space="preserve">
75%: Supported via modifications (config)</v>
      </c>
      <c r="Q92" s="39" t="str" cm="1">
        <f t="array" ref="Q92">IFERROR(INDEX(_xlfn.UNIQUE(TRIM(_xlfn.TEXTSPLIT(Table261424[[#This Row],[Selection Options]:[Selection Options]],","))),,Q$11),"")</f>
        <v xml:space="preserve">
50%: Supported via a third party solution</v>
      </c>
      <c r="R92" s="39" t="str" cm="1">
        <f t="array" ref="R92">IFERROR(INDEX(_xlfn.UNIQUE(TRIM(_xlfn.TEXTSPLIT(Table261424[[#This Row],[Selection Options]:[Selection Options]],","))),,R$11),"")</f>
        <v xml:space="preserve">
25%: Supported via customisation (source code changes)</v>
      </c>
      <c r="S92" s="177" t="str" cm="1">
        <f t="array" ref="S92">IFERROR(INDEX(_xlfn.UNIQUE(TRIM(_xlfn.TEXTSPLIT(Table261424[[#This Row],[Selection Options]:[Selection Options]],","))),,S$11),"")</f>
        <v xml:space="preserve">
 0%: Not currently supported</v>
      </c>
      <c r="T92" s="39" t="str" cm="1">
        <f t="array" ref="T92">IFERROR(INDEX(_xlfn.UNIQUE(TRIM(_xlfn.TEXTSPLIT(Table261424[[#This Row],[Selection Options]:[Selection Options]],","))),,T$11),"")</f>
        <v/>
      </c>
      <c r="U92" s="39" t="str" cm="1">
        <f t="array" ref="U92">IFERROR(INDEX(_xlfn.UNIQUE(TRIM(_xlfn.TEXTSPLIT(Table261424[[#This Row],[Selection Options]:[Selection Options]],","))),,U$11),"")</f>
        <v/>
      </c>
      <c r="V92" s="39" t="str" cm="1">
        <f t="array" ref="V92">IFERROR(INDEX(_xlfn.UNIQUE(TRIM(_xlfn.TEXTSPLIT(Table261424[[#This Row],[Selection Options]:[Selection Options]],","))),,V$11),"")</f>
        <v/>
      </c>
      <c r="W92" s="39" t="str" cm="1">
        <f t="array" ref="W92">IFERROR(INDEX(_xlfn.UNIQUE(TRIM(_xlfn.TEXTSPLIT(Table261424[[#This Row],[Selection Options]:[Selection Options]],","))),,W$11),"")</f>
        <v/>
      </c>
      <c r="X92" s="39" t="str" cm="1">
        <f t="array" ref="X92">IFERROR(INDEX(_xlfn.UNIQUE(TRIM(_xlfn.TEXTSPLIT(Table261424[[#This Row],[Selection Options]:[Selection Options]],","))),,X$11),"")</f>
        <v/>
      </c>
      <c r="Y92" s="39" t="str" cm="1">
        <f t="array" ref="Y92">IFERROR(INDEX(_xlfn.UNIQUE(TRIM(_xlfn.TEXTSPLIT(Table261424[[#This Row],[Selection Options]:[Selection Options]],","))),,Y$11),"")</f>
        <v/>
      </c>
      <c r="Z92" s="30" cm="1">
        <f t="array" ref="Z92">IF(Table261424[[#This Row],[1]]="","",Table261424[[#This Row],[Weight]:[Weight]]-(Table261424[[#This Row],[Weight]:[Weight]]*((_xlfn.XMATCH(Table261424[[#This Row],[1]],Table261424[[#This Row],[1]:[11]],0))-1)/(COUNTA(Table261424[[#This Row],[1]:[11]])-COUNTBLANK(Table261424[[#This Row],[1]:[11]])-1)))</f>
        <v>3.4153005464480874E-4</v>
      </c>
      <c r="AA92" s="30" cm="1">
        <f t="array" ref="AA92">IF(Table261424[[#This Row],[2]]="","",Table261424[[#This Row],[Weight]:[Weight]]-(Table261424[[#This Row],[Weight]:[Weight]]*((_xlfn.XMATCH(Table261424[[#This Row],[2]],Table261424[[#This Row],[1]:[11]],0))-1)/(COUNTA(Table261424[[#This Row],[1]:[11]])-COUNTBLANK(Table261424[[#This Row],[1]:[11]])-1)))</f>
        <v>2.5614754098360657E-4</v>
      </c>
      <c r="AB92" s="30" cm="1">
        <f t="array" ref="AB92">IF(Table261424[[#This Row],[3]]="","",Table261424[[#This Row],[Weight]:[Weight]]-(Table261424[[#This Row],[Weight]:[Weight]]*((_xlfn.XMATCH(Table261424[[#This Row],[3]],Table261424[[#This Row],[1]:[11]],0))-1)/(COUNTA(Table261424[[#This Row],[1]:[11]])-COUNTBLANK(Table261424[[#This Row],[1]:[11]])-1)))</f>
        <v>1.7076502732240437E-4</v>
      </c>
      <c r="AC92" s="30" cm="1">
        <f t="array" ref="AC92">IF(Table261424[[#This Row],[4]]="","",Table261424[[#This Row],[Weight]:[Weight]]-(Table261424[[#This Row],[Weight]:[Weight]]*((_xlfn.XMATCH(Table261424[[#This Row],[4]],Table261424[[#This Row],[1]:[11]],0))-1)/(COUNTA(Table261424[[#This Row],[1]:[11]])-COUNTBLANK(Table261424[[#This Row],[1]:[11]])-1)))</f>
        <v>8.5382513661202172E-5</v>
      </c>
      <c r="AD92" s="30" cm="1">
        <f t="array" ref="AD92">IF(Table261424[[#This Row],[5]]="","",Table261424[[#This Row],[Weight]:[Weight]]-(Table261424[[#This Row],[Weight]:[Weight]]*((_xlfn.XMATCH(Table261424[[#This Row],[5]],Table261424[[#This Row],[1]:[11]],0))-1)/(COUNTA(Table261424[[#This Row],[1]:[11]])-COUNTBLANK(Table261424[[#This Row],[1]:[11]])-1)))</f>
        <v>0</v>
      </c>
      <c r="AE92" s="30" t="str" cm="1">
        <f t="array" ref="AE92">IF(Table261424[[#This Row],[6]]="","",Table261424[[#This Row],[Weight]:[Weight]]-(Table261424[[#This Row],[Weight]:[Weight]]*((_xlfn.XMATCH(Table261424[[#This Row],[6]],Table261424[[#This Row],[1]:[11]],0))-1)/(COUNTA(Table261424[[#This Row],[1]:[11]])-COUNTBLANK(Table261424[[#This Row],[1]:[11]])-1)))</f>
        <v/>
      </c>
      <c r="AF92" s="30" t="str" cm="1">
        <f t="array" ref="AF92">IF(Table261424[[#This Row],[7]]="","",Table261424[[#This Row],[Weight]:[Weight]]-(Table261424[[#This Row],[Weight]:[Weight]]*((_xlfn.XMATCH(Table261424[[#This Row],[7]],Table261424[[#This Row],[1]:[11]],0))-1)/(COUNTA(Table261424[[#This Row],[1]:[11]])-COUNTBLANK(Table261424[[#This Row],[1]:[11]])-1)))</f>
        <v/>
      </c>
      <c r="AG92" s="30" t="str" cm="1">
        <f t="array" ref="AG92">IF(Table261424[[#This Row],[8]]="","",Table261424[[#This Row],[Weight]:[Weight]]-(Table261424[[#This Row],[Weight]:[Weight]]*((_xlfn.XMATCH(Table261424[[#This Row],[8]],Table261424[[#This Row],[1]:[11]],0))-1)/(COUNTA(Table261424[[#This Row],[1]:[11]])-COUNTBLANK(Table261424[[#This Row],[1]:[11]])-1)))</f>
        <v/>
      </c>
      <c r="AH92" s="39" t="str" cm="1">
        <f t="array" ref="AH92">IF(Table261424[[#This Row],[9]]="","",Table261424[[#This Row],[Weight]:[Weight]]-(Table261424[[#This Row],[Weight]:[Weight]]*((_xlfn.XMATCH(Table261424[[#This Row],[9]],Table261424[[#This Row],[1]:[11]],0))-1)/(COUNTA(Table261424[[#This Row],[1]:[11]])-COUNTBLANK(Table261424[[#This Row],[1]:[11]])-1)))</f>
        <v/>
      </c>
      <c r="AI92" s="39" t="str" cm="1">
        <f t="array" ref="AI92">IF(Table261424[[#This Row],[10]]="","",Table261424[[#This Row],[Weight]:[Weight]]-(Table261424[[#This Row],[Weight]:[Weight]]*((_xlfn.XMATCH(Table261424[[#This Row],[10]],Table261424[[#This Row],[1]:[11]],0))-1)/(COUNTA(Table261424[[#This Row],[1]:[11]])-COUNTBLANK(Table261424[[#This Row],[1]:[11]])-1)))</f>
        <v/>
      </c>
      <c r="AJ92" s="39" t="str" cm="1">
        <f t="array" ref="AJ92">IF(Table261424[[#This Row],[11]]="","",Table261424[[#This Row],[Weight]:[Weight]]-(Table261424[[#This Row],[Weight]:[Weight]]*((_xlfn.XMATCH(Table261424[[#This Row],[11]],Table261424[[#This Row],[1]:[11]],0))-1)/(COUNTA(Table261424[[#This Row],[1]:[11]])-COUNTBLANK(Table261424[[#This Row],[1]:[11]])-1)))</f>
        <v/>
      </c>
    </row>
    <row r="93" spans="1:36" s="167" customFormat="1" ht="135.6" customHeight="1" x14ac:dyDescent="0.2">
      <c r="A93" s="173">
        <v>81</v>
      </c>
      <c r="B93" s="21" t="s">
        <v>297</v>
      </c>
      <c r="C93" s="178" t="s">
        <v>215</v>
      </c>
      <c r="D93" s="179"/>
      <c r="E93" s="28"/>
      <c r="F93" s="28"/>
      <c r="G93" s="159" t="s">
        <v>188</v>
      </c>
      <c r="H93" s="155" cm="1">
        <f t="array" ref="H93">_xlfn.IFS(G93="","",G93="No interest",0,G93="Nice to have",1,G93="Useful",2,G93="Important",3,G93="Very important",4,G93="Critical",5,G93="Show stopper",6)</f>
        <v>5</v>
      </c>
      <c r="I93" s="156">
        <f t="shared" si="9"/>
        <v>3.4153005464480874E-4</v>
      </c>
      <c r="J93" s="157" t="s">
        <v>216</v>
      </c>
      <c r="K93" s="158" t="str" cm="1">
        <f t="array" ref="K93">_xlfn.TEXTJOIN(","&amp;CHAR(10),,TEXT(Table261424[[#This Row],[12]:[22]],"0,00%"))</f>
        <v>0,00%,
0,00%,
0,00%,
0,00%,
0,00%</v>
      </c>
      <c r="L93" s="175"/>
      <c r="M93" s="176" t="e">
        <f>I93-(I93*((MATCH(Table261424[[#This Row],[Evaluators Response (SELECT)]],Table261424[[#This Row],[1]:[11]],0)-1)/(COUNTA(Table261424[[#This Row],[1]:[11]])-COUNTBLANK(Table261424[[#This Row],[1]:[11]])-1)))</f>
        <v>#N/A</v>
      </c>
      <c r="N93" s="28"/>
      <c r="O93" s="39" t="str" cm="1">
        <f t="array" ref="O93">IFERROR(INDEX(_xlfn.UNIQUE(TRIM(_xlfn.TEXTSPLIT(Table261424[[#This Row],[Selection Options]:[Selection Options]],","))),,O$11),"")</f>
        <v>100%: Supported as delivered out of the box</v>
      </c>
      <c r="P93" s="39" t="str" cm="1">
        <f t="array" ref="P93">IFERROR(INDEX(_xlfn.UNIQUE(TRIM(_xlfn.TEXTSPLIT(Table261424[[#This Row],[Selection Options]:[Selection Options]],","))),,P$11),"")</f>
        <v xml:space="preserve">
75%: Supported via modifications (config)</v>
      </c>
      <c r="Q93" s="39" t="str" cm="1">
        <f t="array" ref="Q93">IFERROR(INDEX(_xlfn.UNIQUE(TRIM(_xlfn.TEXTSPLIT(Table261424[[#This Row],[Selection Options]:[Selection Options]],","))),,Q$11),"")</f>
        <v xml:space="preserve">
50%: Supported via a third party solution</v>
      </c>
      <c r="R93" s="39" t="str" cm="1">
        <f t="array" ref="R93">IFERROR(INDEX(_xlfn.UNIQUE(TRIM(_xlfn.TEXTSPLIT(Table261424[[#This Row],[Selection Options]:[Selection Options]],","))),,R$11),"")</f>
        <v xml:space="preserve">
25%: Supported via customisation (source code changes)</v>
      </c>
      <c r="S93" s="177" t="str" cm="1">
        <f t="array" ref="S93">IFERROR(INDEX(_xlfn.UNIQUE(TRIM(_xlfn.TEXTSPLIT(Table261424[[#This Row],[Selection Options]:[Selection Options]],","))),,S$11),"")</f>
        <v xml:space="preserve">
 0%: Not currently supported</v>
      </c>
      <c r="T93" s="39" t="str" cm="1">
        <f t="array" ref="T93">IFERROR(INDEX(_xlfn.UNIQUE(TRIM(_xlfn.TEXTSPLIT(Table261424[[#This Row],[Selection Options]:[Selection Options]],","))),,T$11),"")</f>
        <v/>
      </c>
      <c r="U93" s="39" t="str" cm="1">
        <f t="array" ref="U93">IFERROR(INDEX(_xlfn.UNIQUE(TRIM(_xlfn.TEXTSPLIT(Table261424[[#This Row],[Selection Options]:[Selection Options]],","))),,U$11),"")</f>
        <v/>
      </c>
      <c r="V93" s="39" t="str" cm="1">
        <f t="array" ref="V93">IFERROR(INDEX(_xlfn.UNIQUE(TRIM(_xlfn.TEXTSPLIT(Table261424[[#This Row],[Selection Options]:[Selection Options]],","))),,V$11),"")</f>
        <v/>
      </c>
      <c r="W93" s="39" t="str" cm="1">
        <f t="array" ref="W93">IFERROR(INDEX(_xlfn.UNIQUE(TRIM(_xlfn.TEXTSPLIT(Table261424[[#This Row],[Selection Options]:[Selection Options]],","))),,W$11),"")</f>
        <v/>
      </c>
      <c r="X93" s="39" t="str" cm="1">
        <f t="array" ref="X93">IFERROR(INDEX(_xlfn.UNIQUE(TRIM(_xlfn.TEXTSPLIT(Table261424[[#This Row],[Selection Options]:[Selection Options]],","))),,X$11),"")</f>
        <v/>
      </c>
      <c r="Y93" s="39" t="str" cm="1">
        <f t="array" ref="Y93">IFERROR(INDEX(_xlfn.UNIQUE(TRIM(_xlfn.TEXTSPLIT(Table261424[[#This Row],[Selection Options]:[Selection Options]],","))),,Y$11),"")</f>
        <v/>
      </c>
      <c r="Z93" s="30" cm="1">
        <f t="array" ref="Z93">IF(Table261424[[#This Row],[1]]="","",Table261424[[#This Row],[Weight]:[Weight]]-(Table261424[[#This Row],[Weight]:[Weight]]*((_xlfn.XMATCH(Table261424[[#This Row],[1]],Table261424[[#This Row],[1]:[11]],0))-1)/(COUNTA(Table261424[[#This Row],[1]:[11]])-COUNTBLANK(Table261424[[#This Row],[1]:[11]])-1)))</f>
        <v>3.4153005464480874E-4</v>
      </c>
      <c r="AA93" s="30" cm="1">
        <f t="array" ref="AA93">IF(Table261424[[#This Row],[2]]="","",Table261424[[#This Row],[Weight]:[Weight]]-(Table261424[[#This Row],[Weight]:[Weight]]*((_xlfn.XMATCH(Table261424[[#This Row],[2]],Table261424[[#This Row],[1]:[11]],0))-1)/(COUNTA(Table261424[[#This Row],[1]:[11]])-COUNTBLANK(Table261424[[#This Row],[1]:[11]])-1)))</f>
        <v>2.5614754098360657E-4</v>
      </c>
      <c r="AB93" s="30" cm="1">
        <f t="array" ref="AB93">IF(Table261424[[#This Row],[3]]="","",Table261424[[#This Row],[Weight]:[Weight]]-(Table261424[[#This Row],[Weight]:[Weight]]*((_xlfn.XMATCH(Table261424[[#This Row],[3]],Table261424[[#This Row],[1]:[11]],0))-1)/(COUNTA(Table261424[[#This Row],[1]:[11]])-COUNTBLANK(Table261424[[#This Row],[1]:[11]])-1)))</f>
        <v>1.7076502732240437E-4</v>
      </c>
      <c r="AC93" s="30" cm="1">
        <f t="array" ref="AC93">IF(Table261424[[#This Row],[4]]="","",Table261424[[#This Row],[Weight]:[Weight]]-(Table261424[[#This Row],[Weight]:[Weight]]*((_xlfn.XMATCH(Table261424[[#This Row],[4]],Table261424[[#This Row],[1]:[11]],0))-1)/(COUNTA(Table261424[[#This Row],[1]:[11]])-COUNTBLANK(Table261424[[#This Row],[1]:[11]])-1)))</f>
        <v>8.5382513661202172E-5</v>
      </c>
      <c r="AD93" s="30" cm="1">
        <f t="array" ref="AD93">IF(Table261424[[#This Row],[5]]="","",Table261424[[#This Row],[Weight]:[Weight]]-(Table261424[[#This Row],[Weight]:[Weight]]*((_xlfn.XMATCH(Table261424[[#This Row],[5]],Table261424[[#This Row],[1]:[11]],0))-1)/(COUNTA(Table261424[[#This Row],[1]:[11]])-COUNTBLANK(Table261424[[#This Row],[1]:[11]])-1)))</f>
        <v>0</v>
      </c>
      <c r="AE93" s="30" t="str" cm="1">
        <f t="array" ref="AE93">IF(Table261424[[#This Row],[6]]="","",Table261424[[#This Row],[Weight]:[Weight]]-(Table261424[[#This Row],[Weight]:[Weight]]*((_xlfn.XMATCH(Table261424[[#This Row],[6]],Table261424[[#This Row],[1]:[11]],0))-1)/(COUNTA(Table261424[[#This Row],[1]:[11]])-COUNTBLANK(Table261424[[#This Row],[1]:[11]])-1)))</f>
        <v/>
      </c>
      <c r="AF93" s="30" t="str" cm="1">
        <f t="array" ref="AF93">IF(Table261424[[#This Row],[7]]="","",Table261424[[#This Row],[Weight]:[Weight]]-(Table261424[[#This Row],[Weight]:[Weight]]*((_xlfn.XMATCH(Table261424[[#This Row],[7]],Table261424[[#This Row],[1]:[11]],0))-1)/(COUNTA(Table261424[[#This Row],[1]:[11]])-COUNTBLANK(Table261424[[#This Row],[1]:[11]])-1)))</f>
        <v/>
      </c>
      <c r="AG93" s="30" t="str" cm="1">
        <f t="array" ref="AG93">IF(Table261424[[#This Row],[8]]="","",Table261424[[#This Row],[Weight]:[Weight]]-(Table261424[[#This Row],[Weight]:[Weight]]*((_xlfn.XMATCH(Table261424[[#This Row],[8]],Table261424[[#This Row],[1]:[11]],0))-1)/(COUNTA(Table261424[[#This Row],[1]:[11]])-COUNTBLANK(Table261424[[#This Row],[1]:[11]])-1)))</f>
        <v/>
      </c>
      <c r="AH93" s="39" t="str" cm="1">
        <f t="array" ref="AH93">IF(Table261424[[#This Row],[9]]="","",Table261424[[#This Row],[Weight]:[Weight]]-(Table261424[[#This Row],[Weight]:[Weight]]*((_xlfn.XMATCH(Table261424[[#This Row],[9]],Table261424[[#This Row],[1]:[11]],0))-1)/(COUNTA(Table261424[[#This Row],[1]:[11]])-COUNTBLANK(Table261424[[#This Row],[1]:[11]])-1)))</f>
        <v/>
      </c>
      <c r="AI93" s="39" t="str" cm="1">
        <f t="array" ref="AI93">IF(Table261424[[#This Row],[10]]="","",Table261424[[#This Row],[Weight]:[Weight]]-(Table261424[[#This Row],[Weight]:[Weight]]*((_xlfn.XMATCH(Table261424[[#This Row],[10]],Table261424[[#This Row],[1]:[11]],0))-1)/(COUNTA(Table261424[[#This Row],[1]:[11]])-COUNTBLANK(Table261424[[#This Row],[1]:[11]])-1)))</f>
        <v/>
      </c>
      <c r="AJ93" s="39" t="str" cm="1">
        <f t="array" ref="AJ93">IF(Table261424[[#This Row],[11]]="","",Table261424[[#This Row],[Weight]:[Weight]]-(Table261424[[#This Row],[Weight]:[Weight]]*((_xlfn.XMATCH(Table261424[[#This Row],[11]],Table261424[[#This Row],[1]:[11]],0))-1)/(COUNTA(Table261424[[#This Row],[1]:[11]])-COUNTBLANK(Table261424[[#This Row],[1]:[11]])-1)))</f>
        <v/>
      </c>
    </row>
    <row r="94" spans="1:36" s="167" customFormat="1" ht="143.1" customHeight="1" x14ac:dyDescent="0.2">
      <c r="A94" s="173">
        <v>82</v>
      </c>
      <c r="B94" s="21" t="s">
        <v>298</v>
      </c>
      <c r="C94" s="178" t="s">
        <v>215</v>
      </c>
      <c r="D94" s="179"/>
      <c r="E94" s="28"/>
      <c r="F94" s="28"/>
      <c r="G94" s="159" t="s">
        <v>188</v>
      </c>
      <c r="H94" s="155" cm="1">
        <f t="array" ref="H94">_xlfn.IFS(G94="","",G94="No interest",0,G94="Nice to have",1,G94="Useful",2,G94="Important",3,G94="Very important",4,G94="Critical",5,G94="Show stopper",6)</f>
        <v>5</v>
      </c>
      <c r="I94" s="156">
        <f t="shared" si="9"/>
        <v>3.4153005464480874E-4</v>
      </c>
      <c r="J94" s="157" t="s">
        <v>216</v>
      </c>
      <c r="K94" s="158" t="str" cm="1">
        <f t="array" ref="K94">_xlfn.TEXTJOIN(","&amp;CHAR(10),,TEXT(Table261424[[#This Row],[12]:[22]],"0,00%"))</f>
        <v>0,00%,
0,00%,
0,00%,
0,00%,
0,00%</v>
      </c>
      <c r="L94" s="175"/>
      <c r="M94" s="176" t="e">
        <f>I94-(I94*((MATCH(Table261424[[#This Row],[Evaluators Response (SELECT)]],Table261424[[#This Row],[1]:[11]],0)-1)/(COUNTA(Table261424[[#This Row],[1]:[11]])-COUNTBLANK(Table261424[[#This Row],[1]:[11]])-1)))</f>
        <v>#N/A</v>
      </c>
      <c r="N94" s="28"/>
      <c r="O94" s="39" t="str" cm="1">
        <f t="array" ref="O94">IFERROR(INDEX(_xlfn.UNIQUE(TRIM(_xlfn.TEXTSPLIT(Table261424[[#This Row],[Selection Options]:[Selection Options]],","))),,O$11),"")</f>
        <v>100%: Supported as delivered out of the box</v>
      </c>
      <c r="P94" s="39" t="str" cm="1">
        <f t="array" ref="P94">IFERROR(INDEX(_xlfn.UNIQUE(TRIM(_xlfn.TEXTSPLIT(Table261424[[#This Row],[Selection Options]:[Selection Options]],","))),,P$11),"")</f>
        <v xml:space="preserve">
75%: Supported via modifications (config)</v>
      </c>
      <c r="Q94" s="39" t="str" cm="1">
        <f t="array" ref="Q94">IFERROR(INDEX(_xlfn.UNIQUE(TRIM(_xlfn.TEXTSPLIT(Table261424[[#This Row],[Selection Options]:[Selection Options]],","))),,Q$11),"")</f>
        <v xml:space="preserve">
50%: Supported via a third party solution</v>
      </c>
      <c r="R94" s="39" t="str" cm="1">
        <f t="array" ref="R94">IFERROR(INDEX(_xlfn.UNIQUE(TRIM(_xlfn.TEXTSPLIT(Table261424[[#This Row],[Selection Options]:[Selection Options]],","))),,R$11),"")</f>
        <v xml:space="preserve">
25%: Supported via customisation (source code changes)</v>
      </c>
      <c r="S94" s="177" t="str" cm="1">
        <f t="array" ref="S94">IFERROR(INDEX(_xlfn.UNIQUE(TRIM(_xlfn.TEXTSPLIT(Table261424[[#This Row],[Selection Options]:[Selection Options]],","))),,S$11),"")</f>
        <v xml:space="preserve">
 0%: Not currently supported</v>
      </c>
      <c r="T94" s="39" t="str" cm="1">
        <f t="array" ref="T94">IFERROR(INDEX(_xlfn.UNIQUE(TRIM(_xlfn.TEXTSPLIT(Table261424[[#This Row],[Selection Options]:[Selection Options]],","))),,T$11),"")</f>
        <v/>
      </c>
      <c r="U94" s="39" t="str" cm="1">
        <f t="array" ref="U94">IFERROR(INDEX(_xlfn.UNIQUE(TRIM(_xlfn.TEXTSPLIT(Table261424[[#This Row],[Selection Options]:[Selection Options]],","))),,U$11),"")</f>
        <v/>
      </c>
      <c r="V94" s="39" t="str" cm="1">
        <f t="array" ref="V94">IFERROR(INDEX(_xlfn.UNIQUE(TRIM(_xlfn.TEXTSPLIT(Table261424[[#This Row],[Selection Options]:[Selection Options]],","))),,V$11),"")</f>
        <v/>
      </c>
      <c r="W94" s="39" t="str" cm="1">
        <f t="array" ref="W94">IFERROR(INDEX(_xlfn.UNIQUE(TRIM(_xlfn.TEXTSPLIT(Table261424[[#This Row],[Selection Options]:[Selection Options]],","))),,W$11),"")</f>
        <v/>
      </c>
      <c r="X94" s="39" t="str" cm="1">
        <f t="array" ref="X94">IFERROR(INDEX(_xlfn.UNIQUE(TRIM(_xlfn.TEXTSPLIT(Table261424[[#This Row],[Selection Options]:[Selection Options]],","))),,X$11),"")</f>
        <v/>
      </c>
      <c r="Y94" s="39" t="str" cm="1">
        <f t="array" ref="Y94">IFERROR(INDEX(_xlfn.UNIQUE(TRIM(_xlfn.TEXTSPLIT(Table261424[[#This Row],[Selection Options]:[Selection Options]],","))),,Y$11),"")</f>
        <v/>
      </c>
      <c r="Z94" s="30" cm="1">
        <f t="array" ref="Z94">IF(Table261424[[#This Row],[1]]="","",Table261424[[#This Row],[Weight]:[Weight]]-(Table261424[[#This Row],[Weight]:[Weight]]*((_xlfn.XMATCH(Table261424[[#This Row],[1]],Table261424[[#This Row],[1]:[11]],0))-1)/(COUNTA(Table261424[[#This Row],[1]:[11]])-COUNTBLANK(Table261424[[#This Row],[1]:[11]])-1)))</f>
        <v>3.4153005464480874E-4</v>
      </c>
      <c r="AA94" s="30" cm="1">
        <f t="array" ref="AA94">IF(Table261424[[#This Row],[2]]="","",Table261424[[#This Row],[Weight]:[Weight]]-(Table261424[[#This Row],[Weight]:[Weight]]*((_xlfn.XMATCH(Table261424[[#This Row],[2]],Table261424[[#This Row],[1]:[11]],0))-1)/(COUNTA(Table261424[[#This Row],[1]:[11]])-COUNTBLANK(Table261424[[#This Row],[1]:[11]])-1)))</f>
        <v>2.5614754098360657E-4</v>
      </c>
      <c r="AB94" s="30" cm="1">
        <f t="array" ref="AB94">IF(Table261424[[#This Row],[3]]="","",Table261424[[#This Row],[Weight]:[Weight]]-(Table261424[[#This Row],[Weight]:[Weight]]*((_xlfn.XMATCH(Table261424[[#This Row],[3]],Table261424[[#This Row],[1]:[11]],0))-1)/(COUNTA(Table261424[[#This Row],[1]:[11]])-COUNTBLANK(Table261424[[#This Row],[1]:[11]])-1)))</f>
        <v>1.7076502732240437E-4</v>
      </c>
      <c r="AC94" s="30" cm="1">
        <f t="array" ref="AC94">IF(Table261424[[#This Row],[4]]="","",Table261424[[#This Row],[Weight]:[Weight]]-(Table261424[[#This Row],[Weight]:[Weight]]*((_xlfn.XMATCH(Table261424[[#This Row],[4]],Table261424[[#This Row],[1]:[11]],0))-1)/(COUNTA(Table261424[[#This Row],[1]:[11]])-COUNTBLANK(Table261424[[#This Row],[1]:[11]])-1)))</f>
        <v>8.5382513661202172E-5</v>
      </c>
      <c r="AD94" s="30" cm="1">
        <f t="array" ref="AD94">IF(Table261424[[#This Row],[5]]="","",Table261424[[#This Row],[Weight]:[Weight]]-(Table261424[[#This Row],[Weight]:[Weight]]*((_xlfn.XMATCH(Table261424[[#This Row],[5]],Table261424[[#This Row],[1]:[11]],0))-1)/(COUNTA(Table261424[[#This Row],[1]:[11]])-COUNTBLANK(Table261424[[#This Row],[1]:[11]])-1)))</f>
        <v>0</v>
      </c>
      <c r="AE94" s="30" t="str" cm="1">
        <f t="array" ref="AE94">IF(Table261424[[#This Row],[6]]="","",Table261424[[#This Row],[Weight]:[Weight]]-(Table261424[[#This Row],[Weight]:[Weight]]*((_xlfn.XMATCH(Table261424[[#This Row],[6]],Table261424[[#This Row],[1]:[11]],0))-1)/(COUNTA(Table261424[[#This Row],[1]:[11]])-COUNTBLANK(Table261424[[#This Row],[1]:[11]])-1)))</f>
        <v/>
      </c>
      <c r="AF94" s="30" t="str" cm="1">
        <f t="array" ref="AF94">IF(Table261424[[#This Row],[7]]="","",Table261424[[#This Row],[Weight]:[Weight]]-(Table261424[[#This Row],[Weight]:[Weight]]*((_xlfn.XMATCH(Table261424[[#This Row],[7]],Table261424[[#This Row],[1]:[11]],0))-1)/(COUNTA(Table261424[[#This Row],[1]:[11]])-COUNTBLANK(Table261424[[#This Row],[1]:[11]])-1)))</f>
        <v/>
      </c>
      <c r="AG94" s="30" t="str" cm="1">
        <f t="array" ref="AG94">IF(Table261424[[#This Row],[8]]="","",Table261424[[#This Row],[Weight]:[Weight]]-(Table261424[[#This Row],[Weight]:[Weight]]*((_xlfn.XMATCH(Table261424[[#This Row],[8]],Table261424[[#This Row],[1]:[11]],0))-1)/(COUNTA(Table261424[[#This Row],[1]:[11]])-COUNTBLANK(Table261424[[#This Row],[1]:[11]])-1)))</f>
        <v/>
      </c>
      <c r="AH94" s="39" t="str" cm="1">
        <f t="array" ref="AH94">IF(Table261424[[#This Row],[9]]="","",Table261424[[#This Row],[Weight]:[Weight]]-(Table261424[[#This Row],[Weight]:[Weight]]*((_xlfn.XMATCH(Table261424[[#This Row],[9]],Table261424[[#This Row],[1]:[11]],0))-1)/(COUNTA(Table261424[[#This Row],[1]:[11]])-COUNTBLANK(Table261424[[#This Row],[1]:[11]])-1)))</f>
        <v/>
      </c>
      <c r="AI94" s="39" t="str" cm="1">
        <f t="array" ref="AI94">IF(Table261424[[#This Row],[10]]="","",Table261424[[#This Row],[Weight]:[Weight]]-(Table261424[[#This Row],[Weight]:[Weight]]*((_xlfn.XMATCH(Table261424[[#This Row],[10]],Table261424[[#This Row],[1]:[11]],0))-1)/(COUNTA(Table261424[[#This Row],[1]:[11]])-COUNTBLANK(Table261424[[#This Row],[1]:[11]])-1)))</f>
        <v/>
      </c>
      <c r="AJ94" s="39" t="str" cm="1">
        <f t="array" ref="AJ94">IF(Table261424[[#This Row],[11]]="","",Table261424[[#This Row],[Weight]:[Weight]]-(Table261424[[#This Row],[Weight]:[Weight]]*((_xlfn.XMATCH(Table261424[[#This Row],[11]],Table261424[[#This Row],[1]:[11]],0))-1)/(COUNTA(Table261424[[#This Row],[1]:[11]])-COUNTBLANK(Table261424[[#This Row],[1]:[11]])-1)))</f>
        <v/>
      </c>
    </row>
    <row r="95" spans="1:36" s="167" customFormat="1" ht="131.1" customHeight="1" x14ac:dyDescent="0.2">
      <c r="A95" s="173">
        <v>83</v>
      </c>
      <c r="B95" s="21" t="s">
        <v>299</v>
      </c>
      <c r="C95" s="178" t="s">
        <v>215</v>
      </c>
      <c r="D95" s="179"/>
      <c r="E95" s="28"/>
      <c r="F95" s="28"/>
      <c r="G95" s="159" t="s">
        <v>60</v>
      </c>
      <c r="H95" s="155" cm="1">
        <f t="array" ref="H95">_xlfn.IFS(G95="","",G95="No interest",0,G95="Nice to have",1,G95="Useful",2,G95="Important",3,G95="Very important",4,G95="Critical",5,G95="Show stopper",6)</f>
        <v>6</v>
      </c>
      <c r="I95" s="156">
        <f t="shared" si="9"/>
        <v>4.0983606557377049E-4</v>
      </c>
      <c r="J95" s="157" t="s">
        <v>216</v>
      </c>
      <c r="K95" s="158" t="str" cm="1">
        <f t="array" ref="K95">_xlfn.TEXTJOIN(","&amp;CHAR(10),,TEXT(Table261424[[#This Row],[12]:[22]],"0,00%"))</f>
        <v>0,00%,
0,00%,
0,00%,
0,00%,
0,00%</v>
      </c>
      <c r="L95" s="175"/>
      <c r="M95" s="176" t="e">
        <f>I95-(I95*((MATCH(Table261424[[#This Row],[Evaluators Response (SELECT)]],Table261424[[#This Row],[1]:[11]],0)-1)/(COUNTA(Table261424[[#This Row],[1]:[11]])-COUNTBLANK(Table261424[[#This Row],[1]:[11]])-1)))</f>
        <v>#N/A</v>
      </c>
      <c r="N95" s="28"/>
      <c r="O95" s="39" t="str" cm="1">
        <f t="array" ref="O95">IFERROR(INDEX(_xlfn.UNIQUE(TRIM(_xlfn.TEXTSPLIT(Table261424[[#This Row],[Selection Options]:[Selection Options]],","))),,O$11),"")</f>
        <v>100%: Supported as delivered out of the box</v>
      </c>
      <c r="P95" s="39" t="str" cm="1">
        <f t="array" ref="P95">IFERROR(INDEX(_xlfn.UNIQUE(TRIM(_xlfn.TEXTSPLIT(Table261424[[#This Row],[Selection Options]:[Selection Options]],","))),,P$11),"")</f>
        <v xml:space="preserve">
75%: Supported via modifications (config)</v>
      </c>
      <c r="Q95" s="39" t="str" cm="1">
        <f t="array" ref="Q95">IFERROR(INDEX(_xlfn.UNIQUE(TRIM(_xlfn.TEXTSPLIT(Table261424[[#This Row],[Selection Options]:[Selection Options]],","))),,Q$11),"")</f>
        <v xml:space="preserve">
50%: Supported via a third party solution</v>
      </c>
      <c r="R95" s="39" t="str" cm="1">
        <f t="array" ref="R95">IFERROR(INDEX(_xlfn.UNIQUE(TRIM(_xlfn.TEXTSPLIT(Table261424[[#This Row],[Selection Options]:[Selection Options]],","))),,R$11),"")</f>
        <v xml:space="preserve">
25%: Supported via customisation (source code changes)</v>
      </c>
      <c r="S95" s="177" t="str" cm="1">
        <f t="array" ref="S95">IFERROR(INDEX(_xlfn.UNIQUE(TRIM(_xlfn.TEXTSPLIT(Table261424[[#This Row],[Selection Options]:[Selection Options]],","))),,S$11),"")</f>
        <v xml:space="preserve">
 0%: Not currently supported</v>
      </c>
      <c r="T95" s="39" t="str" cm="1">
        <f t="array" ref="T95">IFERROR(INDEX(_xlfn.UNIQUE(TRIM(_xlfn.TEXTSPLIT(Table261424[[#This Row],[Selection Options]:[Selection Options]],","))),,T$11),"")</f>
        <v/>
      </c>
      <c r="U95" s="39" t="str" cm="1">
        <f t="array" ref="U95">IFERROR(INDEX(_xlfn.UNIQUE(TRIM(_xlfn.TEXTSPLIT(Table261424[[#This Row],[Selection Options]:[Selection Options]],","))),,U$11),"")</f>
        <v/>
      </c>
      <c r="V95" s="39" t="str" cm="1">
        <f t="array" ref="V95">IFERROR(INDEX(_xlfn.UNIQUE(TRIM(_xlfn.TEXTSPLIT(Table261424[[#This Row],[Selection Options]:[Selection Options]],","))),,V$11),"")</f>
        <v/>
      </c>
      <c r="W95" s="39" t="str" cm="1">
        <f t="array" ref="W95">IFERROR(INDEX(_xlfn.UNIQUE(TRIM(_xlfn.TEXTSPLIT(Table261424[[#This Row],[Selection Options]:[Selection Options]],","))),,W$11),"")</f>
        <v/>
      </c>
      <c r="X95" s="39" t="str" cm="1">
        <f t="array" ref="X95">IFERROR(INDEX(_xlfn.UNIQUE(TRIM(_xlfn.TEXTSPLIT(Table261424[[#This Row],[Selection Options]:[Selection Options]],","))),,X$11),"")</f>
        <v/>
      </c>
      <c r="Y95" s="39" t="str" cm="1">
        <f t="array" ref="Y95">IFERROR(INDEX(_xlfn.UNIQUE(TRIM(_xlfn.TEXTSPLIT(Table261424[[#This Row],[Selection Options]:[Selection Options]],","))),,Y$11),"")</f>
        <v/>
      </c>
      <c r="Z95" s="30" cm="1">
        <f t="array" ref="Z95">IF(Table261424[[#This Row],[1]]="","",Table261424[[#This Row],[Weight]:[Weight]]-(Table261424[[#This Row],[Weight]:[Weight]]*((_xlfn.XMATCH(Table261424[[#This Row],[1]],Table261424[[#This Row],[1]:[11]],0))-1)/(COUNTA(Table261424[[#This Row],[1]:[11]])-COUNTBLANK(Table261424[[#This Row],[1]:[11]])-1)))</f>
        <v>4.0983606557377049E-4</v>
      </c>
      <c r="AA95" s="30" cm="1">
        <f t="array" ref="AA95">IF(Table261424[[#This Row],[2]]="","",Table261424[[#This Row],[Weight]:[Weight]]-(Table261424[[#This Row],[Weight]:[Weight]]*((_xlfn.XMATCH(Table261424[[#This Row],[2]],Table261424[[#This Row],[1]:[11]],0))-1)/(COUNTA(Table261424[[#This Row],[1]:[11]])-COUNTBLANK(Table261424[[#This Row],[1]:[11]])-1)))</f>
        <v>3.0737704918032784E-4</v>
      </c>
      <c r="AB95" s="30" cm="1">
        <f t="array" ref="AB95">IF(Table261424[[#This Row],[3]]="","",Table261424[[#This Row],[Weight]:[Weight]]-(Table261424[[#This Row],[Weight]:[Weight]]*((_xlfn.XMATCH(Table261424[[#This Row],[3]],Table261424[[#This Row],[1]:[11]],0))-1)/(COUNTA(Table261424[[#This Row],[1]:[11]])-COUNTBLANK(Table261424[[#This Row],[1]:[11]])-1)))</f>
        <v>2.0491803278688525E-4</v>
      </c>
      <c r="AC95" s="30" cm="1">
        <f t="array" ref="AC95">IF(Table261424[[#This Row],[4]]="","",Table261424[[#This Row],[Weight]:[Weight]]-(Table261424[[#This Row],[Weight]:[Weight]]*((_xlfn.XMATCH(Table261424[[#This Row],[4]],Table261424[[#This Row],[1]:[11]],0))-1)/(COUNTA(Table261424[[#This Row],[1]:[11]])-COUNTBLANK(Table261424[[#This Row],[1]:[11]])-1)))</f>
        <v>1.0245901639344265E-4</v>
      </c>
      <c r="AD95" s="30" cm="1">
        <f t="array" ref="AD95">IF(Table261424[[#This Row],[5]]="","",Table261424[[#This Row],[Weight]:[Weight]]-(Table261424[[#This Row],[Weight]:[Weight]]*((_xlfn.XMATCH(Table261424[[#This Row],[5]],Table261424[[#This Row],[1]:[11]],0))-1)/(COUNTA(Table261424[[#This Row],[1]:[11]])-COUNTBLANK(Table261424[[#This Row],[1]:[11]])-1)))</f>
        <v>0</v>
      </c>
      <c r="AE95" s="30" t="str" cm="1">
        <f t="array" ref="AE95">IF(Table261424[[#This Row],[6]]="","",Table261424[[#This Row],[Weight]:[Weight]]-(Table261424[[#This Row],[Weight]:[Weight]]*((_xlfn.XMATCH(Table261424[[#This Row],[6]],Table261424[[#This Row],[1]:[11]],0))-1)/(COUNTA(Table261424[[#This Row],[1]:[11]])-COUNTBLANK(Table261424[[#This Row],[1]:[11]])-1)))</f>
        <v/>
      </c>
      <c r="AF95" s="30" t="str" cm="1">
        <f t="array" ref="AF95">IF(Table261424[[#This Row],[7]]="","",Table261424[[#This Row],[Weight]:[Weight]]-(Table261424[[#This Row],[Weight]:[Weight]]*((_xlfn.XMATCH(Table261424[[#This Row],[7]],Table261424[[#This Row],[1]:[11]],0))-1)/(COUNTA(Table261424[[#This Row],[1]:[11]])-COUNTBLANK(Table261424[[#This Row],[1]:[11]])-1)))</f>
        <v/>
      </c>
      <c r="AG95" s="30" t="str" cm="1">
        <f t="array" ref="AG95">IF(Table261424[[#This Row],[8]]="","",Table261424[[#This Row],[Weight]:[Weight]]-(Table261424[[#This Row],[Weight]:[Weight]]*((_xlfn.XMATCH(Table261424[[#This Row],[8]],Table261424[[#This Row],[1]:[11]],0))-1)/(COUNTA(Table261424[[#This Row],[1]:[11]])-COUNTBLANK(Table261424[[#This Row],[1]:[11]])-1)))</f>
        <v/>
      </c>
      <c r="AH95" s="39" t="str" cm="1">
        <f t="array" ref="AH95">IF(Table261424[[#This Row],[9]]="","",Table261424[[#This Row],[Weight]:[Weight]]-(Table261424[[#This Row],[Weight]:[Weight]]*((_xlfn.XMATCH(Table261424[[#This Row],[9]],Table261424[[#This Row],[1]:[11]],0))-1)/(COUNTA(Table261424[[#This Row],[1]:[11]])-COUNTBLANK(Table261424[[#This Row],[1]:[11]])-1)))</f>
        <v/>
      </c>
      <c r="AI95" s="39" t="str" cm="1">
        <f t="array" ref="AI95">IF(Table261424[[#This Row],[10]]="","",Table261424[[#This Row],[Weight]:[Weight]]-(Table261424[[#This Row],[Weight]:[Weight]]*((_xlfn.XMATCH(Table261424[[#This Row],[10]],Table261424[[#This Row],[1]:[11]],0))-1)/(COUNTA(Table261424[[#This Row],[1]:[11]])-COUNTBLANK(Table261424[[#This Row],[1]:[11]])-1)))</f>
        <v/>
      </c>
      <c r="AJ95" s="39" t="str" cm="1">
        <f t="array" ref="AJ95">IF(Table261424[[#This Row],[11]]="","",Table261424[[#This Row],[Weight]:[Weight]]-(Table261424[[#This Row],[Weight]:[Weight]]*((_xlfn.XMATCH(Table261424[[#This Row],[11]],Table261424[[#This Row],[1]:[11]],0))-1)/(COUNTA(Table261424[[#This Row],[1]:[11]])-COUNTBLANK(Table261424[[#This Row],[1]:[11]])-1)))</f>
        <v/>
      </c>
    </row>
    <row r="96" spans="1:36" s="167" customFormat="1" ht="101.45" customHeight="1" x14ac:dyDescent="0.2">
      <c r="A96" s="173">
        <v>84</v>
      </c>
      <c r="B96" s="21" t="s">
        <v>300</v>
      </c>
      <c r="C96" s="178" t="s">
        <v>215</v>
      </c>
      <c r="D96" s="179"/>
      <c r="E96" s="28"/>
      <c r="F96" s="28"/>
      <c r="G96" s="159" t="s">
        <v>60</v>
      </c>
      <c r="H96" s="155" cm="1">
        <f t="array" ref="H96">_xlfn.IFS(G96="","",G96="No interest",0,G96="Nice to have",1,G96="Useful",2,G96="Important",3,G96="Very important",4,G96="Critical",5,G96="Show stopper",6)</f>
        <v>6</v>
      </c>
      <c r="I96" s="156">
        <f t="shared" si="9"/>
        <v>4.0983606557377049E-4</v>
      </c>
      <c r="J96" s="157" t="s">
        <v>216</v>
      </c>
      <c r="K96" s="158" t="str" cm="1">
        <f t="array" ref="K96">_xlfn.TEXTJOIN(","&amp;CHAR(10),,TEXT(Table261424[[#This Row],[12]:[22]],"0,00%"))</f>
        <v>0,00%,
0,00%,
0,00%,
0,00%,
0,00%</v>
      </c>
      <c r="L96" s="175"/>
      <c r="M96" s="176" t="e">
        <f>I96-(I96*((MATCH(Table261424[[#This Row],[Evaluators Response (SELECT)]],Table261424[[#This Row],[1]:[11]],0)-1)/(COUNTA(Table261424[[#This Row],[1]:[11]])-COUNTBLANK(Table261424[[#This Row],[1]:[11]])-1)))</f>
        <v>#N/A</v>
      </c>
      <c r="N96" s="28"/>
      <c r="O96" s="39" t="str" cm="1">
        <f t="array" ref="O96">IFERROR(INDEX(_xlfn.UNIQUE(TRIM(_xlfn.TEXTSPLIT(Table261424[[#This Row],[Selection Options]:[Selection Options]],","))),,O$11),"")</f>
        <v>100%: Supported as delivered out of the box</v>
      </c>
      <c r="P96" s="39" t="str" cm="1">
        <f t="array" ref="P96">IFERROR(INDEX(_xlfn.UNIQUE(TRIM(_xlfn.TEXTSPLIT(Table261424[[#This Row],[Selection Options]:[Selection Options]],","))),,P$11),"")</f>
        <v xml:space="preserve">
75%: Supported via modifications (config)</v>
      </c>
      <c r="Q96" s="39" t="str" cm="1">
        <f t="array" ref="Q96">IFERROR(INDEX(_xlfn.UNIQUE(TRIM(_xlfn.TEXTSPLIT(Table261424[[#This Row],[Selection Options]:[Selection Options]],","))),,Q$11),"")</f>
        <v xml:space="preserve">
50%: Supported via a third party solution</v>
      </c>
      <c r="R96" s="39" t="str" cm="1">
        <f t="array" ref="R96">IFERROR(INDEX(_xlfn.UNIQUE(TRIM(_xlfn.TEXTSPLIT(Table261424[[#This Row],[Selection Options]:[Selection Options]],","))),,R$11),"")</f>
        <v xml:space="preserve">
25%: Supported via customisation (source code changes)</v>
      </c>
      <c r="S96" s="177" t="str" cm="1">
        <f t="array" ref="S96">IFERROR(INDEX(_xlfn.UNIQUE(TRIM(_xlfn.TEXTSPLIT(Table261424[[#This Row],[Selection Options]:[Selection Options]],","))),,S$11),"")</f>
        <v xml:space="preserve">
 0%: Not currently supported</v>
      </c>
      <c r="T96" s="39" t="str" cm="1">
        <f t="array" ref="T96">IFERROR(INDEX(_xlfn.UNIQUE(TRIM(_xlfn.TEXTSPLIT(Table261424[[#This Row],[Selection Options]:[Selection Options]],","))),,T$11),"")</f>
        <v/>
      </c>
      <c r="U96" s="39" t="str" cm="1">
        <f t="array" ref="U96">IFERROR(INDEX(_xlfn.UNIQUE(TRIM(_xlfn.TEXTSPLIT(Table261424[[#This Row],[Selection Options]:[Selection Options]],","))),,U$11),"")</f>
        <v/>
      </c>
      <c r="V96" s="39" t="str" cm="1">
        <f t="array" ref="V96">IFERROR(INDEX(_xlfn.UNIQUE(TRIM(_xlfn.TEXTSPLIT(Table261424[[#This Row],[Selection Options]:[Selection Options]],","))),,V$11),"")</f>
        <v/>
      </c>
      <c r="W96" s="39" t="str" cm="1">
        <f t="array" ref="W96">IFERROR(INDEX(_xlfn.UNIQUE(TRIM(_xlfn.TEXTSPLIT(Table261424[[#This Row],[Selection Options]:[Selection Options]],","))),,W$11),"")</f>
        <v/>
      </c>
      <c r="X96" s="39" t="str" cm="1">
        <f t="array" ref="X96">IFERROR(INDEX(_xlfn.UNIQUE(TRIM(_xlfn.TEXTSPLIT(Table261424[[#This Row],[Selection Options]:[Selection Options]],","))),,X$11),"")</f>
        <v/>
      </c>
      <c r="Y96" s="39" t="str" cm="1">
        <f t="array" ref="Y96">IFERROR(INDEX(_xlfn.UNIQUE(TRIM(_xlfn.TEXTSPLIT(Table261424[[#This Row],[Selection Options]:[Selection Options]],","))),,Y$11),"")</f>
        <v/>
      </c>
      <c r="Z96" s="30" cm="1">
        <f t="array" ref="Z96">IF(Table261424[[#This Row],[1]]="","",Table261424[[#This Row],[Weight]:[Weight]]-(Table261424[[#This Row],[Weight]:[Weight]]*((_xlfn.XMATCH(Table261424[[#This Row],[1]],Table261424[[#This Row],[1]:[11]],0))-1)/(COUNTA(Table261424[[#This Row],[1]:[11]])-COUNTBLANK(Table261424[[#This Row],[1]:[11]])-1)))</f>
        <v>4.0983606557377049E-4</v>
      </c>
      <c r="AA96" s="30" cm="1">
        <f t="array" ref="AA96">IF(Table261424[[#This Row],[2]]="","",Table261424[[#This Row],[Weight]:[Weight]]-(Table261424[[#This Row],[Weight]:[Weight]]*((_xlfn.XMATCH(Table261424[[#This Row],[2]],Table261424[[#This Row],[1]:[11]],0))-1)/(COUNTA(Table261424[[#This Row],[1]:[11]])-COUNTBLANK(Table261424[[#This Row],[1]:[11]])-1)))</f>
        <v>3.0737704918032784E-4</v>
      </c>
      <c r="AB96" s="30" cm="1">
        <f t="array" ref="AB96">IF(Table261424[[#This Row],[3]]="","",Table261424[[#This Row],[Weight]:[Weight]]-(Table261424[[#This Row],[Weight]:[Weight]]*((_xlfn.XMATCH(Table261424[[#This Row],[3]],Table261424[[#This Row],[1]:[11]],0))-1)/(COUNTA(Table261424[[#This Row],[1]:[11]])-COUNTBLANK(Table261424[[#This Row],[1]:[11]])-1)))</f>
        <v>2.0491803278688525E-4</v>
      </c>
      <c r="AC96" s="30" cm="1">
        <f t="array" ref="AC96">IF(Table261424[[#This Row],[4]]="","",Table261424[[#This Row],[Weight]:[Weight]]-(Table261424[[#This Row],[Weight]:[Weight]]*((_xlfn.XMATCH(Table261424[[#This Row],[4]],Table261424[[#This Row],[1]:[11]],0))-1)/(COUNTA(Table261424[[#This Row],[1]:[11]])-COUNTBLANK(Table261424[[#This Row],[1]:[11]])-1)))</f>
        <v>1.0245901639344265E-4</v>
      </c>
      <c r="AD96" s="30" cm="1">
        <f t="array" ref="AD96">IF(Table261424[[#This Row],[5]]="","",Table261424[[#This Row],[Weight]:[Weight]]-(Table261424[[#This Row],[Weight]:[Weight]]*((_xlfn.XMATCH(Table261424[[#This Row],[5]],Table261424[[#This Row],[1]:[11]],0))-1)/(COUNTA(Table261424[[#This Row],[1]:[11]])-COUNTBLANK(Table261424[[#This Row],[1]:[11]])-1)))</f>
        <v>0</v>
      </c>
      <c r="AE96" s="30" t="str" cm="1">
        <f t="array" ref="AE96">IF(Table261424[[#This Row],[6]]="","",Table261424[[#This Row],[Weight]:[Weight]]-(Table261424[[#This Row],[Weight]:[Weight]]*((_xlfn.XMATCH(Table261424[[#This Row],[6]],Table261424[[#This Row],[1]:[11]],0))-1)/(COUNTA(Table261424[[#This Row],[1]:[11]])-COUNTBLANK(Table261424[[#This Row],[1]:[11]])-1)))</f>
        <v/>
      </c>
      <c r="AF96" s="30" t="str" cm="1">
        <f t="array" ref="AF96">IF(Table261424[[#This Row],[7]]="","",Table261424[[#This Row],[Weight]:[Weight]]-(Table261424[[#This Row],[Weight]:[Weight]]*((_xlfn.XMATCH(Table261424[[#This Row],[7]],Table261424[[#This Row],[1]:[11]],0))-1)/(COUNTA(Table261424[[#This Row],[1]:[11]])-COUNTBLANK(Table261424[[#This Row],[1]:[11]])-1)))</f>
        <v/>
      </c>
      <c r="AG96" s="30" t="str" cm="1">
        <f t="array" ref="AG96">IF(Table261424[[#This Row],[8]]="","",Table261424[[#This Row],[Weight]:[Weight]]-(Table261424[[#This Row],[Weight]:[Weight]]*((_xlfn.XMATCH(Table261424[[#This Row],[8]],Table261424[[#This Row],[1]:[11]],0))-1)/(COUNTA(Table261424[[#This Row],[1]:[11]])-COUNTBLANK(Table261424[[#This Row],[1]:[11]])-1)))</f>
        <v/>
      </c>
      <c r="AH96" s="39" t="str" cm="1">
        <f t="array" ref="AH96">IF(Table261424[[#This Row],[9]]="","",Table261424[[#This Row],[Weight]:[Weight]]-(Table261424[[#This Row],[Weight]:[Weight]]*((_xlfn.XMATCH(Table261424[[#This Row],[9]],Table261424[[#This Row],[1]:[11]],0))-1)/(COUNTA(Table261424[[#This Row],[1]:[11]])-COUNTBLANK(Table261424[[#This Row],[1]:[11]])-1)))</f>
        <v/>
      </c>
      <c r="AI96" s="39" t="str" cm="1">
        <f t="array" ref="AI96">IF(Table261424[[#This Row],[10]]="","",Table261424[[#This Row],[Weight]:[Weight]]-(Table261424[[#This Row],[Weight]:[Weight]]*((_xlfn.XMATCH(Table261424[[#This Row],[10]],Table261424[[#This Row],[1]:[11]],0))-1)/(COUNTA(Table261424[[#This Row],[1]:[11]])-COUNTBLANK(Table261424[[#This Row],[1]:[11]])-1)))</f>
        <v/>
      </c>
      <c r="AJ96" s="39" t="str" cm="1">
        <f t="array" ref="AJ96">IF(Table261424[[#This Row],[11]]="","",Table261424[[#This Row],[Weight]:[Weight]]-(Table261424[[#This Row],[Weight]:[Weight]]*((_xlfn.XMATCH(Table261424[[#This Row],[11]],Table261424[[#This Row],[1]:[11]],0))-1)/(COUNTA(Table261424[[#This Row],[1]:[11]])-COUNTBLANK(Table261424[[#This Row],[1]:[11]])-1)))</f>
        <v/>
      </c>
    </row>
    <row r="97" spans="1:36" s="167" customFormat="1" ht="76.5" customHeight="1" x14ac:dyDescent="0.2">
      <c r="A97" s="173">
        <v>85</v>
      </c>
      <c r="B97" s="21" t="s">
        <v>301</v>
      </c>
      <c r="C97" s="178" t="s">
        <v>215</v>
      </c>
      <c r="D97" s="179"/>
      <c r="E97" s="28"/>
      <c r="F97" s="28"/>
      <c r="G97" s="159" t="s">
        <v>60</v>
      </c>
      <c r="H97" s="155" cm="1">
        <f t="array" ref="H97">_xlfn.IFS(G97="","",G97="No interest",0,G97="Nice to have",1,G97="Useful",2,G97="Important",3,G97="Very important",4,G97="Critical",5,G97="Show stopper",6)</f>
        <v>6</v>
      </c>
      <c r="I97" s="156">
        <f t="shared" si="9"/>
        <v>4.0983606557377049E-4</v>
      </c>
      <c r="J97" s="157" t="s">
        <v>216</v>
      </c>
      <c r="K97" s="158" t="str" cm="1">
        <f t="array" ref="K97">_xlfn.TEXTJOIN(","&amp;CHAR(10),,TEXT(Table261424[[#This Row],[12]:[22]],"0,00%"))</f>
        <v>0,00%,
0,00%,
0,00%,
0,00%,
0,00%</v>
      </c>
      <c r="L97" s="175"/>
      <c r="M97" s="176" t="e">
        <f>I97-(I97*((MATCH(Table261424[[#This Row],[Evaluators Response (SELECT)]],Table261424[[#This Row],[1]:[11]],0)-1)/(COUNTA(Table261424[[#This Row],[1]:[11]])-COUNTBLANK(Table261424[[#This Row],[1]:[11]])-1)))</f>
        <v>#N/A</v>
      </c>
      <c r="N97" s="28"/>
      <c r="O97" s="39" t="str" cm="1">
        <f t="array" ref="O97">IFERROR(INDEX(_xlfn.UNIQUE(TRIM(_xlfn.TEXTSPLIT(Table261424[[#This Row],[Selection Options]:[Selection Options]],","))),,O$11),"")</f>
        <v>100%: Supported as delivered out of the box</v>
      </c>
      <c r="P97" s="39" t="str" cm="1">
        <f t="array" ref="P97">IFERROR(INDEX(_xlfn.UNIQUE(TRIM(_xlfn.TEXTSPLIT(Table261424[[#This Row],[Selection Options]:[Selection Options]],","))),,P$11),"")</f>
        <v xml:space="preserve">
75%: Supported via modifications (config)</v>
      </c>
      <c r="Q97" s="39" t="str" cm="1">
        <f t="array" ref="Q97">IFERROR(INDEX(_xlfn.UNIQUE(TRIM(_xlfn.TEXTSPLIT(Table261424[[#This Row],[Selection Options]:[Selection Options]],","))),,Q$11),"")</f>
        <v xml:space="preserve">
50%: Supported via a third party solution</v>
      </c>
      <c r="R97" s="39" t="str" cm="1">
        <f t="array" ref="R97">IFERROR(INDEX(_xlfn.UNIQUE(TRIM(_xlfn.TEXTSPLIT(Table261424[[#This Row],[Selection Options]:[Selection Options]],","))),,R$11),"")</f>
        <v xml:space="preserve">
25%: Supported via customisation (source code changes)</v>
      </c>
      <c r="S97" s="177" t="str" cm="1">
        <f t="array" ref="S97">IFERROR(INDEX(_xlfn.UNIQUE(TRIM(_xlfn.TEXTSPLIT(Table261424[[#This Row],[Selection Options]:[Selection Options]],","))),,S$11),"")</f>
        <v xml:space="preserve">
 0%: Not currently supported</v>
      </c>
      <c r="T97" s="39" t="str" cm="1">
        <f t="array" ref="T97">IFERROR(INDEX(_xlfn.UNIQUE(TRIM(_xlfn.TEXTSPLIT(Table261424[[#This Row],[Selection Options]:[Selection Options]],","))),,T$11),"")</f>
        <v/>
      </c>
      <c r="U97" s="39" t="str" cm="1">
        <f t="array" ref="U97">IFERROR(INDEX(_xlfn.UNIQUE(TRIM(_xlfn.TEXTSPLIT(Table261424[[#This Row],[Selection Options]:[Selection Options]],","))),,U$11),"")</f>
        <v/>
      </c>
      <c r="V97" s="39" t="str" cm="1">
        <f t="array" ref="V97">IFERROR(INDEX(_xlfn.UNIQUE(TRIM(_xlfn.TEXTSPLIT(Table261424[[#This Row],[Selection Options]:[Selection Options]],","))),,V$11),"")</f>
        <v/>
      </c>
      <c r="W97" s="39" t="str" cm="1">
        <f t="array" ref="W97">IFERROR(INDEX(_xlfn.UNIQUE(TRIM(_xlfn.TEXTSPLIT(Table261424[[#This Row],[Selection Options]:[Selection Options]],","))),,W$11),"")</f>
        <v/>
      </c>
      <c r="X97" s="39" t="str" cm="1">
        <f t="array" ref="X97">IFERROR(INDEX(_xlfn.UNIQUE(TRIM(_xlfn.TEXTSPLIT(Table261424[[#This Row],[Selection Options]:[Selection Options]],","))),,X$11),"")</f>
        <v/>
      </c>
      <c r="Y97" s="39" t="str" cm="1">
        <f t="array" ref="Y97">IFERROR(INDEX(_xlfn.UNIQUE(TRIM(_xlfn.TEXTSPLIT(Table261424[[#This Row],[Selection Options]:[Selection Options]],","))),,Y$11),"")</f>
        <v/>
      </c>
      <c r="Z97" s="30" cm="1">
        <f t="array" ref="Z97">IF(Table261424[[#This Row],[1]]="","",Table261424[[#This Row],[Weight]:[Weight]]-(Table261424[[#This Row],[Weight]:[Weight]]*((_xlfn.XMATCH(Table261424[[#This Row],[1]],Table261424[[#This Row],[1]:[11]],0))-1)/(COUNTA(Table261424[[#This Row],[1]:[11]])-COUNTBLANK(Table261424[[#This Row],[1]:[11]])-1)))</f>
        <v>4.0983606557377049E-4</v>
      </c>
      <c r="AA97" s="30" cm="1">
        <f t="array" ref="AA97">IF(Table261424[[#This Row],[2]]="","",Table261424[[#This Row],[Weight]:[Weight]]-(Table261424[[#This Row],[Weight]:[Weight]]*((_xlfn.XMATCH(Table261424[[#This Row],[2]],Table261424[[#This Row],[1]:[11]],0))-1)/(COUNTA(Table261424[[#This Row],[1]:[11]])-COUNTBLANK(Table261424[[#This Row],[1]:[11]])-1)))</f>
        <v>3.0737704918032784E-4</v>
      </c>
      <c r="AB97" s="30" cm="1">
        <f t="array" ref="AB97">IF(Table261424[[#This Row],[3]]="","",Table261424[[#This Row],[Weight]:[Weight]]-(Table261424[[#This Row],[Weight]:[Weight]]*((_xlfn.XMATCH(Table261424[[#This Row],[3]],Table261424[[#This Row],[1]:[11]],0))-1)/(COUNTA(Table261424[[#This Row],[1]:[11]])-COUNTBLANK(Table261424[[#This Row],[1]:[11]])-1)))</f>
        <v>2.0491803278688525E-4</v>
      </c>
      <c r="AC97" s="30" cm="1">
        <f t="array" ref="AC97">IF(Table261424[[#This Row],[4]]="","",Table261424[[#This Row],[Weight]:[Weight]]-(Table261424[[#This Row],[Weight]:[Weight]]*((_xlfn.XMATCH(Table261424[[#This Row],[4]],Table261424[[#This Row],[1]:[11]],0))-1)/(COUNTA(Table261424[[#This Row],[1]:[11]])-COUNTBLANK(Table261424[[#This Row],[1]:[11]])-1)))</f>
        <v>1.0245901639344265E-4</v>
      </c>
      <c r="AD97" s="30" cm="1">
        <f t="array" ref="AD97">IF(Table261424[[#This Row],[5]]="","",Table261424[[#This Row],[Weight]:[Weight]]-(Table261424[[#This Row],[Weight]:[Weight]]*((_xlfn.XMATCH(Table261424[[#This Row],[5]],Table261424[[#This Row],[1]:[11]],0))-1)/(COUNTA(Table261424[[#This Row],[1]:[11]])-COUNTBLANK(Table261424[[#This Row],[1]:[11]])-1)))</f>
        <v>0</v>
      </c>
      <c r="AE97" s="30" t="str" cm="1">
        <f t="array" ref="AE97">IF(Table261424[[#This Row],[6]]="","",Table261424[[#This Row],[Weight]:[Weight]]-(Table261424[[#This Row],[Weight]:[Weight]]*((_xlfn.XMATCH(Table261424[[#This Row],[6]],Table261424[[#This Row],[1]:[11]],0))-1)/(COUNTA(Table261424[[#This Row],[1]:[11]])-COUNTBLANK(Table261424[[#This Row],[1]:[11]])-1)))</f>
        <v/>
      </c>
      <c r="AF97" s="30" t="str" cm="1">
        <f t="array" ref="AF97">IF(Table261424[[#This Row],[7]]="","",Table261424[[#This Row],[Weight]:[Weight]]-(Table261424[[#This Row],[Weight]:[Weight]]*((_xlfn.XMATCH(Table261424[[#This Row],[7]],Table261424[[#This Row],[1]:[11]],0))-1)/(COUNTA(Table261424[[#This Row],[1]:[11]])-COUNTBLANK(Table261424[[#This Row],[1]:[11]])-1)))</f>
        <v/>
      </c>
      <c r="AG97" s="30" t="str" cm="1">
        <f t="array" ref="AG97">IF(Table261424[[#This Row],[8]]="","",Table261424[[#This Row],[Weight]:[Weight]]-(Table261424[[#This Row],[Weight]:[Weight]]*((_xlfn.XMATCH(Table261424[[#This Row],[8]],Table261424[[#This Row],[1]:[11]],0))-1)/(COUNTA(Table261424[[#This Row],[1]:[11]])-COUNTBLANK(Table261424[[#This Row],[1]:[11]])-1)))</f>
        <v/>
      </c>
      <c r="AH97" s="39" t="str" cm="1">
        <f t="array" ref="AH97">IF(Table261424[[#This Row],[9]]="","",Table261424[[#This Row],[Weight]:[Weight]]-(Table261424[[#This Row],[Weight]:[Weight]]*((_xlfn.XMATCH(Table261424[[#This Row],[9]],Table261424[[#This Row],[1]:[11]],0))-1)/(COUNTA(Table261424[[#This Row],[1]:[11]])-COUNTBLANK(Table261424[[#This Row],[1]:[11]])-1)))</f>
        <v/>
      </c>
      <c r="AI97" s="39" t="str" cm="1">
        <f t="array" ref="AI97">IF(Table261424[[#This Row],[10]]="","",Table261424[[#This Row],[Weight]:[Weight]]-(Table261424[[#This Row],[Weight]:[Weight]]*((_xlfn.XMATCH(Table261424[[#This Row],[10]],Table261424[[#This Row],[1]:[11]],0))-1)/(COUNTA(Table261424[[#This Row],[1]:[11]])-COUNTBLANK(Table261424[[#This Row],[1]:[11]])-1)))</f>
        <v/>
      </c>
      <c r="AJ97" s="39" t="str" cm="1">
        <f t="array" ref="AJ97">IF(Table261424[[#This Row],[11]]="","",Table261424[[#This Row],[Weight]:[Weight]]-(Table261424[[#This Row],[Weight]:[Weight]]*((_xlfn.XMATCH(Table261424[[#This Row],[11]],Table261424[[#This Row],[1]:[11]],0))-1)/(COUNTA(Table261424[[#This Row],[1]:[11]])-COUNTBLANK(Table261424[[#This Row],[1]:[11]])-1)))</f>
        <v/>
      </c>
    </row>
    <row r="98" spans="1:36" s="167" customFormat="1" ht="99" customHeight="1" x14ac:dyDescent="0.2">
      <c r="A98" s="173">
        <v>86</v>
      </c>
      <c r="B98" s="21" t="s">
        <v>302</v>
      </c>
      <c r="C98" s="178" t="s">
        <v>215</v>
      </c>
      <c r="D98" s="179"/>
      <c r="E98" s="28"/>
      <c r="F98" s="28"/>
      <c r="G98" s="159" t="s">
        <v>188</v>
      </c>
      <c r="H98" s="155" cm="1">
        <f t="array" ref="H98">_xlfn.IFS(G98="","",G98="No interest",0,G98="Nice to have",1,G98="Useful",2,G98="Important",3,G98="Very important",4,G98="Critical",5,G98="Show stopper",6)</f>
        <v>5</v>
      </c>
      <c r="I98" s="156">
        <f t="shared" si="9"/>
        <v>3.4153005464480874E-4</v>
      </c>
      <c r="J98" s="157" t="s">
        <v>216</v>
      </c>
      <c r="K98" s="158" t="str" cm="1">
        <f t="array" ref="K98">_xlfn.TEXTJOIN(","&amp;CHAR(10),,TEXT(Table261424[[#This Row],[12]:[22]],"0,00%"))</f>
        <v>0,00%,
0,00%,
0,00%,
0,00%,
0,00%</v>
      </c>
      <c r="L98" s="175"/>
      <c r="M98" s="176" t="e">
        <f>I98-(I98*((MATCH(Table261424[[#This Row],[Evaluators Response (SELECT)]],Table261424[[#This Row],[1]:[11]],0)-1)/(COUNTA(Table261424[[#This Row],[1]:[11]])-COUNTBLANK(Table261424[[#This Row],[1]:[11]])-1)))</f>
        <v>#N/A</v>
      </c>
      <c r="N98" s="28"/>
      <c r="O98" s="39" t="str" cm="1">
        <f t="array" ref="O98">IFERROR(INDEX(_xlfn.UNIQUE(TRIM(_xlfn.TEXTSPLIT(Table261424[[#This Row],[Selection Options]:[Selection Options]],","))),,O$11),"")</f>
        <v>100%: Supported as delivered out of the box</v>
      </c>
      <c r="P98" s="39" t="str" cm="1">
        <f t="array" ref="P98">IFERROR(INDEX(_xlfn.UNIQUE(TRIM(_xlfn.TEXTSPLIT(Table261424[[#This Row],[Selection Options]:[Selection Options]],","))),,P$11),"")</f>
        <v xml:space="preserve">
75%: Supported via modifications (config)</v>
      </c>
      <c r="Q98" s="39" t="str" cm="1">
        <f t="array" ref="Q98">IFERROR(INDEX(_xlfn.UNIQUE(TRIM(_xlfn.TEXTSPLIT(Table261424[[#This Row],[Selection Options]:[Selection Options]],","))),,Q$11),"")</f>
        <v xml:space="preserve">
50%: Supported via a third party solution</v>
      </c>
      <c r="R98" s="39" t="str" cm="1">
        <f t="array" ref="R98">IFERROR(INDEX(_xlfn.UNIQUE(TRIM(_xlfn.TEXTSPLIT(Table261424[[#This Row],[Selection Options]:[Selection Options]],","))),,R$11),"")</f>
        <v xml:space="preserve">
25%: Supported via customisation (source code changes)</v>
      </c>
      <c r="S98" s="177" t="str" cm="1">
        <f t="array" ref="S98">IFERROR(INDEX(_xlfn.UNIQUE(TRIM(_xlfn.TEXTSPLIT(Table261424[[#This Row],[Selection Options]:[Selection Options]],","))),,S$11),"")</f>
        <v xml:space="preserve">
 0%: Not currently supported</v>
      </c>
      <c r="T98" s="39" t="str" cm="1">
        <f t="array" ref="T98">IFERROR(INDEX(_xlfn.UNIQUE(TRIM(_xlfn.TEXTSPLIT(Table261424[[#This Row],[Selection Options]:[Selection Options]],","))),,T$11),"")</f>
        <v/>
      </c>
      <c r="U98" s="39" t="str" cm="1">
        <f t="array" ref="U98">IFERROR(INDEX(_xlfn.UNIQUE(TRIM(_xlfn.TEXTSPLIT(Table261424[[#This Row],[Selection Options]:[Selection Options]],","))),,U$11),"")</f>
        <v/>
      </c>
      <c r="V98" s="39" t="str" cm="1">
        <f t="array" ref="V98">IFERROR(INDEX(_xlfn.UNIQUE(TRIM(_xlfn.TEXTSPLIT(Table261424[[#This Row],[Selection Options]:[Selection Options]],","))),,V$11),"")</f>
        <v/>
      </c>
      <c r="W98" s="39" t="str" cm="1">
        <f t="array" ref="W98">IFERROR(INDEX(_xlfn.UNIQUE(TRIM(_xlfn.TEXTSPLIT(Table261424[[#This Row],[Selection Options]:[Selection Options]],","))),,W$11),"")</f>
        <v/>
      </c>
      <c r="X98" s="39" t="str" cm="1">
        <f t="array" ref="X98">IFERROR(INDEX(_xlfn.UNIQUE(TRIM(_xlfn.TEXTSPLIT(Table261424[[#This Row],[Selection Options]:[Selection Options]],","))),,X$11),"")</f>
        <v/>
      </c>
      <c r="Y98" s="39" t="str" cm="1">
        <f t="array" ref="Y98">IFERROR(INDEX(_xlfn.UNIQUE(TRIM(_xlfn.TEXTSPLIT(Table261424[[#This Row],[Selection Options]:[Selection Options]],","))),,Y$11),"")</f>
        <v/>
      </c>
      <c r="Z98" s="30" cm="1">
        <f t="array" ref="Z98">IF(Table261424[[#This Row],[1]]="","",Table261424[[#This Row],[Weight]:[Weight]]-(Table261424[[#This Row],[Weight]:[Weight]]*((_xlfn.XMATCH(Table261424[[#This Row],[1]],Table261424[[#This Row],[1]:[11]],0))-1)/(COUNTA(Table261424[[#This Row],[1]:[11]])-COUNTBLANK(Table261424[[#This Row],[1]:[11]])-1)))</f>
        <v>3.4153005464480874E-4</v>
      </c>
      <c r="AA98" s="30" cm="1">
        <f t="array" ref="AA98">IF(Table261424[[#This Row],[2]]="","",Table261424[[#This Row],[Weight]:[Weight]]-(Table261424[[#This Row],[Weight]:[Weight]]*((_xlfn.XMATCH(Table261424[[#This Row],[2]],Table261424[[#This Row],[1]:[11]],0))-1)/(COUNTA(Table261424[[#This Row],[1]:[11]])-COUNTBLANK(Table261424[[#This Row],[1]:[11]])-1)))</f>
        <v>2.5614754098360657E-4</v>
      </c>
      <c r="AB98" s="30" cm="1">
        <f t="array" ref="AB98">IF(Table261424[[#This Row],[3]]="","",Table261424[[#This Row],[Weight]:[Weight]]-(Table261424[[#This Row],[Weight]:[Weight]]*((_xlfn.XMATCH(Table261424[[#This Row],[3]],Table261424[[#This Row],[1]:[11]],0))-1)/(COUNTA(Table261424[[#This Row],[1]:[11]])-COUNTBLANK(Table261424[[#This Row],[1]:[11]])-1)))</f>
        <v>1.7076502732240437E-4</v>
      </c>
      <c r="AC98" s="30" cm="1">
        <f t="array" ref="AC98">IF(Table261424[[#This Row],[4]]="","",Table261424[[#This Row],[Weight]:[Weight]]-(Table261424[[#This Row],[Weight]:[Weight]]*((_xlfn.XMATCH(Table261424[[#This Row],[4]],Table261424[[#This Row],[1]:[11]],0))-1)/(COUNTA(Table261424[[#This Row],[1]:[11]])-COUNTBLANK(Table261424[[#This Row],[1]:[11]])-1)))</f>
        <v>8.5382513661202172E-5</v>
      </c>
      <c r="AD98" s="30" cm="1">
        <f t="array" ref="AD98">IF(Table261424[[#This Row],[5]]="","",Table261424[[#This Row],[Weight]:[Weight]]-(Table261424[[#This Row],[Weight]:[Weight]]*((_xlfn.XMATCH(Table261424[[#This Row],[5]],Table261424[[#This Row],[1]:[11]],0))-1)/(COUNTA(Table261424[[#This Row],[1]:[11]])-COUNTBLANK(Table261424[[#This Row],[1]:[11]])-1)))</f>
        <v>0</v>
      </c>
      <c r="AE98" s="30" t="str" cm="1">
        <f t="array" ref="AE98">IF(Table261424[[#This Row],[6]]="","",Table261424[[#This Row],[Weight]:[Weight]]-(Table261424[[#This Row],[Weight]:[Weight]]*((_xlfn.XMATCH(Table261424[[#This Row],[6]],Table261424[[#This Row],[1]:[11]],0))-1)/(COUNTA(Table261424[[#This Row],[1]:[11]])-COUNTBLANK(Table261424[[#This Row],[1]:[11]])-1)))</f>
        <v/>
      </c>
      <c r="AF98" s="30" t="str" cm="1">
        <f t="array" ref="AF98">IF(Table261424[[#This Row],[7]]="","",Table261424[[#This Row],[Weight]:[Weight]]-(Table261424[[#This Row],[Weight]:[Weight]]*((_xlfn.XMATCH(Table261424[[#This Row],[7]],Table261424[[#This Row],[1]:[11]],0))-1)/(COUNTA(Table261424[[#This Row],[1]:[11]])-COUNTBLANK(Table261424[[#This Row],[1]:[11]])-1)))</f>
        <v/>
      </c>
      <c r="AG98" s="30" t="str" cm="1">
        <f t="array" ref="AG98">IF(Table261424[[#This Row],[8]]="","",Table261424[[#This Row],[Weight]:[Weight]]-(Table261424[[#This Row],[Weight]:[Weight]]*((_xlfn.XMATCH(Table261424[[#This Row],[8]],Table261424[[#This Row],[1]:[11]],0))-1)/(COUNTA(Table261424[[#This Row],[1]:[11]])-COUNTBLANK(Table261424[[#This Row],[1]:[11]])-1)))</f>
        <v/>
      </c>
      <c r="AH98" s="39" t="str" cm="1">
        <f t="array" ref="AH98">IF(Table261424[[#This Row],[9]]="","",Table261424[[#This Row],[Weight]:[Weight]]-(Table261424[[#This Row],[Weight]:[Weight]]*((_xlfn.XMATCH(Table261424[[#This Row],[9]],Table261424[[#This Row],[1]:[11]],0))-1)/(COUNTA(Table261424[[#This Row],[1]:[11]])-COUNTBLANK(Table261424[[#This Row],[1]:[11]])-1)))</f>
        <v/>
      </c>
      <c r="AI98" s="39" t="str" cm="1">
        <f t="array" ref="AI98">IF(Table261424[[#This Row],[10]]="","",Table261424[[#This Row],[Weight]:[Weight]]-(Table261424[[#This Row],[Weight]:[Weight]]*((_xlfn.XMATCH(Table261424[[#This Row],[10]],Table261424[[#This Row],[1]:[11]],0))-1)/(COUNTA(Table261424[[#This Row],[1]:[11]])-COUNTBLANK(Table261424[[#This Row],[1]:[11]])-1)))</f>
        <v/>
      </c>
      <c r="AJ98" s="39" t="str" cm="1">
        <f t="array" ref="AJ98">IF(Table261424[[#This Row],[11]]="","",Table261424[[#This Row],[Weight]:[Weight]]-(Table261424[[#This Row],[Weight]:[Weight]]*((_xlfn.XMATCH(Table261424[[#This Row],[11]],Table261424[[#This Row],[1]:[11]],0))-1)/(COUNTA(Table261424[[#This Row],[1]:[11]])-COUNTBLANK(Table261424[[#This Row],[1]:[11]])-1)))</f>
        <v/>
      </c>
    </row>
    <row r="99" spans="1:36" s="167" customFormat="1" ht="102.6" customHeight="1" x14ac:dyDescent="0.2">
      <c r="A99" s="173">
        <v>87</v>
      </c>
      <c r="B99" s="21" t="s">
        <v>303</v>
      </c>
      <c r="C99" s="178" t="s">
        <v>215</v>
      </c>
      <c r="D99" s="179"/>
      <c r="E99" s="28"/>
      <c r="F99" s="28"/>
      <c r="G99" s="159" t="s">
        <v>188</v>
      </c>
      <c r="H99" s="155" cm="1">
        <f t="array" ref="H99">_xlfn.IFS(G99="","",G99="No interest",0,G99="Nice to have",1,G99="Useful",2,G99="Important",3,G99="Very important",4,G99="Critical",5,G99="Show stopper",6)</f>
        <v>5</v>
      </c>
      <c r="I99" s="156">
        <f t="shared" si="9"/>
        <v>3.4153005464480874E-4</v>
      </c>
      <c r="J99" s="157" t="s">
        <v>216</v>
      </c>
      <c r="K99" s="158" t="str" cm="1">
        <f t="array" ref="K99">_xlfn.TEXTJOIN(","&amp;CHAR(10),,TEXT(Table261424[[#This Row],[12]:[22]],"0,00%"))</f>
        <v>0,00%,
0,00%,
0,00%,
0,00%,
0,00%</v>
      </c>
      <c r="L99" s="175"/>
      <c r="M99" s="176" t="e">
        <f>I99-(I99*((MATCH(Table261424[[#This Row],[Evaluators Response (SELECT)]],Table261424[[#This Row],[1]:[11]],0)-1)/(COUNTA(Table261424[[#This Row],[1]:[11]])-COUNTBLANK(Table261424[[#This Row],[1]:[11]])-1)))</f>
        <v>#N/A</v>
      </c>
      <c r="N99" s="28"/>
      <c r="O99" s="39" t="str" cm="1">
        <f t="array" ref="O99">IFERROR(INDEX(_xlfn.UNIQUE(TRIM(_xlfn.TEXTSPLIT(Table261424[[#This Row],[Selection Options]:[Selection Options]],","))),,O$11),"")</f>
        <v>100%: Supported as delivered out of the box</v>
      </c>
      <c r="P99" s="39" t="str" cm="1">
        <f t="array" ref="P99">IFERROR(INDEX(_xlfn.UNIQUE(TRIM(_xlfn.TEXTSPLIT(Table261424[[#This Row],[Selection Options]:[Selection Options]],","))),,P$11),"")</f>
        <v xml:space="preserve">
75%: Supported via modifications (config)</v>
      </c>
      <c r="Q99" s="39" t="str" cm="1">
        <f t="array" ref="Q99">IFERROR(INDEX(_xlfn.UNIQUE(TRIM(_xlfn.TEXTSPLIT(Table261424[[#This Row],[Selection Options]:[Selection Options]],","))),,Q$11),"")</f>
        <v xml:space="preserve">
50%: Supported via a third party solution</v>
      </c>
      <c r="R99" s="39" t="str" cm="1">
        <f t="array" ref="R99">IFERROR(INDEX(_xlfn.UNIQUE(TRIM(_xlfn.TEXTSPLIT(Table261424[[#This Row],[Selection Options]:[Selection Options]],","))),,R$11),"")</f>
        <v xml:space="preserve">
25%: Supported via customisation (source code changes)</v>
      </c>
      <c r="S99" s="177" t="str" cm="1">
        <f t="array" ref="S99">IFERROR(INDEX(_xlfn.UNIQUE(TRIM(_xlfn.TEXTSPLIT(Table261424[[#This Row],[Selection Options]:[Selection Options]],","))),,S$11),"")</f>
        <v xml:space="preserve">
 0%: Not currently supported</v>
      </c>
      <c r="T99" s="39" t="str" cm="1">
        <f t="array" ref="T99">IFERROR(INDEX(_xlfn.UNIQUE(TRIM(_xlfn.TEXTSPLIT(Table261424[[#This Row],[Selection Options]:[Selection Options]],","))),,T$11),"")</f>
        <v/>
      </c>
      <c r="U99" s="39" t="str" cm="1">
        <f t="array" ref="U99">IFERROR(INDEX(_xlfn.UNIQUE(TRIM(_xlfn.TEXTSPLIT(Table261424[[#This Row],[Selection Options]:[Selection Options]],","))),,U$11),"")</f>
        <v/>
      </c>
      <c r="V99" s="39" t="str" cm="1">
        <f t="array" ref="V99">IFERROR(INDEX(_xlfn.UNIQUE(TRIM(_xlfn.TEXTSPLIT(Table261424[[#This Row],[Selection Options]:[Selection Options]],","))),,V$11),"")</f>
        <v/>
      </c>
      <c r="W99" s="39" t="str" cm="1">
        <f t="array" ref="W99">IFERROR(INDEX(_xlfn.UNIQUE(TRIM(_xlfn.TEXTSPLIT(Table261424[[#This Row],[Selection Options]:[Selection Options]],","))),,W$11),"")</f>
        <v/>
      </c>
      <c r="X99" s="39" t="str" cm="1">
        <f t="array" ref="X99">IFERROR(INDEX(_xlfn.UNIQUE(TRIM(_xlfn.TEXTSPLIT(Table261424[[#This Row],[Selection Options]:[Selection Options]],","))),,X$11),"")</f>
        <v/>
      </c>
      <c r="Y99" s="39" t="str" cm="1">
        <f t="array" ref="Y99">IFERROR(INDEX(_xlfn.UNIQUE(TRIM(_xlfn.TEXTSPLIT(Table261424[[#This Row],[Selection Options]:[Selection Options]],","))),,Y$11),"")</f>
        <v/>
      </c>
      <c r="Z99" s="30" cm="1">
        <f t="array" ref="Z99">IF(Table261424[[#This Row],[1]]="","",Table261424[[#This Row],[Weight]:[Weight]]-(Table261424[[#This Row],[Weight]:[Weight]]*((_xlfn.XMATCH(Table261424[[#This Row],[1]],Table261424[[#This Row],[1]:[11]],0))-1)/(COUNTA(Table261424[[#This Row],[1]:[11]])-COUNTBLANK(Table261424[[#This Row],[1]:[11]])-1)))</f>
        <v>3.4153005464480874E-4</v>
      </c>
      <c r="AA99" s="30" cm="1">
        <f t="array" ref="AA99">IF(Table261424[[#This Row],[2]]="","",Table261424[[#This Row],[Weight]:[Weight]]-(Table261424[[#This Row],[Weight]:[Weight]]*((_xlfn.XMATCH(Table261424[[#This Row],[2]],Table261424[[#This Row],[1]:[11]],0))-1)/(COUNTA(Table261424[[#This Row],[1]:[11]])-COUNTBLANK(Table261424[[#This Row],[1]:[11]])-1)))</f>
        <v>2.5614754098360657E-4</v>
      </c>
      <c r="AB99" s="30" cm="1">
        <f t="array" ref="AB99">IF(Table261424[[#This Row],[3]]="","",Table261424[[#This Row],[Weight]:[Weight]]-(Table261424[[#This Row],[Weight]:[Weight]]*((_xlfn.XMATCH(Table261424[[#This Row],[3]],Table261424[[#This Row],[1]:[11]],0))-1)/(COUNTA(Table261424[[#This Row],[1]:[11]])-COUNTBLANK(Table261424[[#This Row],[1]:[11]])-1)))</f>
        <v>1.7076502732240437E-4</v>
      </c>
      <c r="AC99" s="30" cm="1">
        <f t="array" ref="AC99">IF(Table261424[[#This Row],[4]]="","",Table261424[[#This Row],[Weight]:[Weight]]-(Table261424[[#This Row],[Weight]:[Weight]]*((_xlfn.XMATCH(Table261424[[#This Row],[4]],Table261424[[#This Row],[1]:[11]],0))-1)/(COUNTA(Table261424[[#This Row],[1]:[11]])-COUNTBLANK(Table261424[[#This Row],[1]:[11]])-1)))</f>
        <v>8.5382513661202172E-5</v>
      </c>
      <c r="AD99" s="30" cm="1">
        <f t="array" ref="AD99">IF(Table261424[[#This Row],[5]]="","",Table261424[[#This Row],[Weight]:[Weight]]-(Table261424[[#This Row],[Weight]:[Weight]]*((_xlfn.XMATCH(Table261424[[#This Row],[5]],Table261424[[#This Row],[1]:[11]],0))-1)/(COUNTA(Table261424[[#This Row],[1]:[11]])-COUNTBLANK(Table261424[[#This Row],[1]:[11]])-1)))</f>
        <v>0</v>
      </c>
      <c r="AE99" s="30" t="str" cm="1">
        <f t="array" ref="AE99">IF(Table261424[[#This Row],[6]]="","",Table261424[[#This Row],[Weight]:[Weight]]-(Table261424[[#This Row],[Weight]:[Weight]]*((_xlfn.XMATCH(Table261424[[#This Row],[6]],Table261424[[#This Row],[1]:[11]],0))-1)/(COUNTA(Table261424[[#This Row],[1]:[11]])-COUNTBLANK(Table261424[[#This Row],[1]:[11]])-1)))</f>
        <v/>
      </c>
      <c r="AF99" s="30" t="str" cm="1">
        <f t="array" ref="AF99">IF(Table261424[[#This Row],[7]]="","",Table261424[[#This Row],[Weight]:[Weight]]-(Table261424[[#This Row],[Weight]:[Weight]]*((_xlfn.XMATCH(Table261424[[#This Row],[7]],Table261424[[#This Row],[1]:[11]],0))-1)/(COUNTA(Table261424[[#This Row],[1]:[11]])-COUNTBLANK(Table261424[[#This Row],[1]:[11]])-1)))</f>
        <v/>
      </c>
      <c r="AG99" s="30" t="str" cm="1">
        <f t="array" ref="AG99">IF(Table261424[[#This Row],[8]]="","",Table261424[[#This Row],[Weight]:[Weight]]-(Table261424[[#This Row],[Weight]:[Weight]]*((_xlfn.XMATCH(Table261424[[#This Row],[8]],Table261424[[#This Row],[1]:[11]],0))-1)/(COUNTA(Table261424[[#This Row],[1]:[11]])-COUNTBLANK(Table261424[[#This Row],[1]:[11]])-1)))</f>
        <v/>
      </c>
      <c r="AH99" s="39" t="str" cm="1">
        <f t="array" ref="AH99">IF(Table261424[[#This Row],[9]]="","",Table261424[[#This Row],[Weight]:[Weight]]-(Table261424[[#This Row],[Weight]:[Weight]]*((_xlfn.XMATCH(Table261424[[#This Row],[9]],Table261424[[#This Row],[1]:[11]],0))-1)/(COUNTA(Table261424[[#This Row],[1]:[11]])-COUNTBLANK(Table261424[[#This Row],[1]:[11]])-1)))</f>
        <v/>
      </c>
      <c r="AI99" s="39" t="str" cm="1">
        <f t="array" ref="AI99">IF(Table261424[[#This Row],[10]]="","",Table261424[[#This Row],[Weight]:[Weight]]-(Table261424[[#This Row],[Weight]:[Weight]]*((_xlfn.XMATCH(Table261424[[#This Row],[10]],Table261424[[#This Row],[1]:[11]],0))-1)/(COUNTA(Table261424[[#This Row],[1]:[11]])-COUNTBLANK(Table261424[[#This Row],[1]:[11]])-1)))</f>
        <v/>
      </c>
      <c r="AJ99" s="39" t="str" cm="1">
        <f t="array" ref="AJ99">IF(Table261424[[#This Row],[11]]="","",Table261424[[#This Row],[Weight]:[Weight]]-(Table261424[[#This Row],[Weight]:[Weight]]*((_xlfn.XMATCH(Table261424[[#This Row],[11]],Table261424[[#This Row],[1]:[11]],0))-1)/(COUNTA(Table261424[[#This Row],[1]:[11]])-COUNTBLANK(Table261424[[#This Row],[1]:[11]])-1)))</f>
        <v/>
      </c>
    </row>
    <row r="100" spans="1:36" s="167" customFormat="1" ht="72" x14ac:dyDescent="0.2">
      <c r="A100" s="173">
        <v>88</v>
      </c>
      <c r="B100" s="21" t="s">
        <v>304</v>
      </c>
      <c r="C100" s="178" t="s">
        <v>215</v>
      </c>
      <c r="D100" s="179"/>
      <c r="E100" s="28"/>
      <c r="F100" s="28"/>
      <c r="G100" s="159" t="s">
        <v>188</v>
      </c>
      <c r="H100" s="155" cm="1">
        <f t="array" ref="H100">_xlfn.IFS(G100="","",G100="No interest",0,G100="Nice to have",1,G100="Useful",2,G100="Important",3,G100="Very important",4,G100="Critical",5,G100="Show stopper",6)</f>
        <v>5</v>
      </c>
      <c r="I100" s="156">
        <f t="shared" si="9"/>
        <v>3.4153005464480874E-4</v>
      </c>
      <c r="J100" s="157" t="s">
        <v>216</v>
      </c>
      <c r="K100" s="158" t="str" cm="1">
        <f t="array" ref="K100">_xlfn.TEXTJOIN(","&amp;CHAR(10),,TEXT(Table261424[[#This Row],[12]:[22]],"0,00%"))</f>
        <v>0,00%,
0,00%,
0,00%,
0,00%,
0,00%</v>
      </c>
      <c r="L100" s="175"/>
      <c r="M100" s="176" t="e">
        <f>I100-(I100*((MATCH(Table261424[[#This Row],[Evaluators Response (SELECT)]],Table261424[[#This Row],[1]:[11]],0)-1)/(COUNTA(Table261424[[#This Row],[1]:[11]])-COUNTBLANK(Table261424[[#This Row],[1]:[11]])-1)))</f>
        <v>#N/A</v>
      </c>
      <c r="N100" s="28"/>
      <c r="O100" s="39" t="str" cm="1">
        <f t="array" ref="O100">IFERROR(INDEX(_xlfn.UNIQUE(TRIM(_xlfn.TEXTSPLIT(Table261424[[#This Row],[Selection Options]:[Selection Options]],","))),,O$11),"")</f>
        <v>100%: Supported as delivered out of the box</v>
      </c>
      <c r="P100" s="39" t="str" cm="1">
        <f t="array" ref="P100">IFERROR(INDEX(_xlfn.UNIQUE(TRIM(_xlfn.TEXTSPLIT(Table261424[[#This Row],[Selection Options]:[Selection Options]],","))),,P$11),"")</f>
        <v xml:space="preserve">
75%: Supported via modifications (config)</v>
      </c>
      <c r="Q100" s="39" t="str" cm="1">
        <f t="array" ref="Q100">IFERROR(INDEX(_xlfn.UNIQUE(TRIM(_xlfn.TEXTSPLIT(Table261424[[#This Row],[Selection Options]:[Selection Options]],","))),,Q$11),"")</f>
        <v xml:space="preserve">
50%: Supported via a third party solution</v>
      </c>
      <c r="R100" s="39" t="str" cm="1">
        <f t="array" ref="R100">IFERROR(INDEX(_xlfn.UNIQUE(TRIM(_xlfn.TEXTSPLIT(Table261424[[#This Row],[Selection Options]:[Selection Options]],","))),,R$11),"")</f>
        <v xml:space="preserve">
25%: Supported via customisation (source code changes)</v>
      </c>
      <c r="S100" s="177" t="str" cm="1">
        <f t="array" ref="S100">IFERROR(INDEX(_xlfn.UNIQUE(TRIM(_xlfn.TEXTSPLIT(Table261424[[#This Row],[Selection Options]:[Selection Options]],","))),,S$11),"")</f>
        <v xml:space="preserve">
 0%: Not currently supported</v>
      </c>
      <c r="T100" s="39" t="str" cm="1">
        <f t="array" ref="T100">IFERROR(INDEX(_xlfn.UNIQUE(TRIM(_xlfn.TEXTSPLIT(Table261424[[#This Row],[Selection Options]:[Selection Options]],","))),,T$11),"")</f>
        <v/>
      </c>
      <c r="U100" s="39" t="str" cm="1">
        <f t="array" ref="U100">IFERROR(INDEX(_xlfn.UNIQUE(TRIM(_xlfn.TEXTSPLIT(Table261424[[#This Row],[Selection Options]:[Selection Options]],","))),,U$11),"")</f>
        <v/>
      </c>
      <c r="V100" s="39" t="str" cm="1">
        <f t="array" ref="V100">IFERROR(INDEX(_xlfn.UNIQUE(TRIM(_xlfn.TEXTSPLIT(Table261424[[#This Row],[Selection Options]:[Selection Options]],","))),,V$11),"")</f>
        <v/>
      </c>
      <c r="W100" s="39" t="str" cm="1">
        <f t="array" ref="W100">IFERROR(INDEX(_xlfn.UNIQUE(TRIM(_xlfn.TEXTSPLIT(Table261424[[#This Row],[Selection Options]:[Selection Options]],","))),,W$11),"")</f>
        <v/>
      </c>
      <c r="X100" s="39" t="str" cm="1">
        <f t="array" ref="X100">IFERROR(INDEX(_xlfn.UNIQUE(TRIM(_xlfn.TEXTSPLIT(Table261424[[#This Row],[Selection Options]:[Selection Options]],","))),,X$11),"")</f>
        <v/>
      </c>
      <c r="Y100" s="39" t="str" cm="1">
        <f t="array" ref="Y100">IFERROR(INDEX(_xlfn.UNIQUE(TRIM(_xlfn.TEXTSPLIT(Table261424[[#This Row],[Selection Options]:[Selection Options]],","))),,Y$11),"")</f>
        <v/>
      </c>
      <c r="Z100" s="30" cm="1">
        <f t="array" ref="Z100">IF(Table261424[[#This Row],[1]]="","",Table261424[[#This Row],[Weight]:[Weight]]-(Table261424[[#This Row],[Weight]:[Weight]]*((_xlfn.XMATCH(Table261424[[#This Row],[1]],Table261424[[#This Row],[1]:[11]],0))-1)/(COUNTA(Table261424[[#This Row],[1]:[11]])-COUNTBLANK(Table261424[[#This Row],[1]:[11]])-1)))</f>
        <v>3.4153005464480874E-4</v>
      </c>
      <c r="AA100" s="30" cm="1">
        <f t="array" ref="AA100">IF(Table261424[[#This Row],[2]]="","",Table261424[[#This Row],[Weight]:[Weight]]-(Table261424[[#This Row],[Weight]:[Weight]]*((_xlfn.XMATCH(Table261424[[#This Row],[2]],Table261424[[#This Row],[1]:[11]],0))-1)/(COUNTA(Table261424[[#This Row],[1]:[11]])-COUNTBLANK(Table261424[[#This Row],[1]:[11]])-1)))</f>
        <v>2.5614754098360657E-4</v>
      </c>
      <c r="AB100" s="30" cm="1">
        <f t="array" ref="AB100">IF(Table261424[[#This Row],[3]]="","",Table261424[[#This Row],[Weight]:[Weight]]-(Table261424[[#This Row],[Weight]:[Weight]]*((_xlfn.XMATCH(Table261424[[#This Row],[3]],Table261424[[#This Row],[1]:[11]],0))-1)/(COUNTA(Table261424[[#This Row],[1]:[11]])-COUNTBLANK(Table261424[[#This Row],[1]:[11]])-1)))</f>
        <v>1.7076502732240437E-4</v>
      </c>
      <c r="AC100" s="30" cm="1">
        <f t="array" ref="AC100">IF(Table261424[[#This Row],[4]]="","",Table261424[[#This Row],[Weight]:[Weight]]-(Table261424[[#This Row],[Weight]:[Weight]]*((_xlfn.XMATCH(Table261424[[#This Row],[4]],Table261424[[#This Row],[1]:[11]],0))-1)/(COUNTA(Table261424[[#This Row],[1]:[11]])-COUNTBLANK(Table261424[[#This Row],[1]:[11]])-1)))</f>
        <v>8.5382513661202172E-5</v>
      </c>
      <c r="AD100" s="30" cm="1">
        <f t="array" ref="AD100">IF(Table261424[[#This Row],[5]]="","",Table261424[[#This Row],[Weight]:[Weight]]-(Table261424[[#This Row],[Weight]:[Weight]]*((_xlfn.XMATCH(Table261424[[#This Row],[5]],Table261424[[#This Row],[1]:[11]],0))-1)/(COUNTA(Table261424[[#This Row],[1]:[11]])-COUNTBLANK(Table261424[[#This Row],[1]:[11]])-1)))</f>
        <v>0</v>
      </c>
      <c r="AE100" s="30" t="str" cm="1">
        <f t="array" ref="AE100">IF(Table261424[[#This Row],[6]]="","",Table261424[[#This Row],[Weight]:[Weight]]-(Table261424[[#This Row],[Weight]:[Weight]]*((_xlfn.XMATCH(Table261424[[#This Row],[6]],Table261424[[#This Row],[1]:[11]],0))-1)/(COUNTA(Table261424[[#This Row],[1]:[11]])-COUNTBLANK(Table261424[[#This Row],[1]:[11]])-1)))</f>
        <v/>
      </c>
      <c r="AF100" s="30" t="str" cm="1">
        <f t="array" ref="AF100">IF(Table261424[[#This Row],[7]]="","",Table261424[[#This Row],[Weight]:[Weight]]-(Table261424[[#This Row],[Weight]:[Weight]]*((_xlfn.XMATCH(Table261424[[#This Row],[7]],Table261424[[#This Row],[1]:[11]],0))-1)/(COUNTA(Table261424[[#This Row],[1]:[11]])-COUNTBLANK(Table261424[[#This Row],[1]:[11]])-1)))</f>
        <v/>
      </c>
      <c r="AG100" s="30" t="str" cm="1">
        <f t="array" ref="AG100">IF(Table261424[[#This Row],[8]]="","",Table261424[[#This Row],[Weight]:[Weight]]-(Table261424[[#This Row],[Weight]:[Weight]]*((_xlfn.XMATCH(Table261424[[#This Row],[8]],Table261424[[#This Row],[1]:[11]],0))-1)/(COUNTA(Table261424[[#This Row],[1]:[11]])-COUNTBLANK(Table261424[[#This Row],[1]:[11]])-1)))</f>
        <v/>
      </c>
      <c r="AH100" s="39" t="str" cm="1">
        <f t="array" ref="AH100">IF(Table261424[[#This Row],[9]]="","",Table261424[[#This Row],[Weight]:[Weight]]-(Table261424[[#This Row],[Weight]:[Weight]]*((_xlfn.XMATCH(Table261424[[#This Row],[9]],Table261424[[#This Row],[1]:[11]],0))-1)/(COUNTA(Table261424[[#This Row],[1]:[11]])-COUNTBLANK(Table261424[[#This Row],[1]:[11]])-1)))</f>
        <v/>
      </c>
      <c r="AI100" s="39" t="str" cm="1">
        <f t="array" ref="AI100">IF(Table261424[[#This Row],[10]]="","",Table261424[[#This Row],[Weight]:[Weight]]-(Table261424[[#This Row],[Weight]:[Weight]]*((_xlfn.XMATCH(Table261424[[#This Row],[10]],Table261424[[#This Row],[1]:[11]],0))-1)/(COUNTA(Table261424[[#This Row],[1]:[11]])-COUNTBLANK(Table261424[[#This Row],[1]:[11]])-1)))</f>
        <v/>
      </c>
      <c r="AJ100" s="39" t="str" cm="1">
        <f t="array" ref="AJ100">IF(Table261424[[#This Row],[11]]="","",Table261424[[#This Row],[Weight]:[Weight]]-(Table261424[[#This Row],[Weight]:[Weight]]*((_xlfn.XMATCH(Table261424[[#This Row],[11]],Table261424[[#This Row],[1]:[11]],0))-1)/(COUNTA(Table261424[[#This Row],[1]:[11]])-COUNTBLANK(Table261424[[#This Row],[1]:[11]])-1)))</f>
        <v/>
      </c>
    </row>
    <row r="101" spans="1:36" s="167" customFormat="1" ht="72" x14ac:dyDescent="0.2">
      <c r="A101" s="173">
        <v>89</v>
      </c>
      <c r="B101" s="21" t="s">
        <v>305</v>
      </c>
      <c r="C101" s="178" t="s">
        <v>215</v>
      </c>
      <c r="D101" s="179"/>
      <c r="E101" s="28"/>
      <c r="F101" s="28"/>
      <c r="G101" s="159" t="s">
        <v>188</v>
      </c>
      <c r="H101" s="155" cm="1">
        <f t="array" ref="H101">_xlfn.IFS(G101="","",G101="No interest",0,G101="Nice to have",1,G101="Useful",2,G101="Important",3,G101="Very important",4,G101="Critical",5,G101="Show stopper",6)</f>
        <v>5</v>
      </c>
      <c r="I101" s="156">
        <f t="shared" si="9"/>
        <v>3.4153005464480874E-4</v>
      </c>
      <c r="J101" s="157" t="s">
        <v>216</v>
      </c>
      <c r="K101" s="158" t="str" cm="1">
        <f t="array" ref="K101">_xlfn.TEXTJOIN(","&amp;CHAR(10),,TEXT(Table261424[[#This Row],[12]:[22]],"0,00%"))</f>
        <v>0,00%,
0,00%,
0,00%,
0,00%,
0,00%</v>
      </c>
      <c r="L101" s="175"/>
      <c r="M101" s="176" t="e">
        <f>I101-(I101*((MATCH(Table261424[[#This Row],[Evaluators Response (SELECT)]],Table261424[[#This Row],[1]:[11]],0)-1)/(COUNTA(Table261424[[#This Row],[1]:[11]])-COUNTBLANK(Table261424[[#This Row],[1]:[11]])-1)))</f>
        <v>#N/A</v>
      </c>
      <c r="N101" s="28"/>
      <c r="O101" s="39" t="str" cm="1">
        <f t="array" ref="O101">IFERROR(INDEX(_xlfn.UNIQUE(TRIM(_xlfn.TEXTSPLIT(Table261424[[#This Row],[Selection Options]:[Selection Options]],","))),,O$11),"")</f>
        <v>100%: Supported as delivered out of the box</v>
      </c>
      <c r="P101" s="39" t="str" cm="1">
        <f t="array" ref="P101">IFERROR(INDEX(_xlfn.UNIQUE(TRIM(_xlfn.TEXTSPLIT(Table261424[[#This Row],[Selection Options]:[Selection Options]],","))),,P$11),"")</f>
        <v xml:space="preserve">
75%: Supported via modifications (config)</v>
      </c>
      <c r="Q101" s="39" t="str" cm="1">
        <f t="array" ref="Q101">IFERROR(INDEX(_xlfn.UNIQUE(TRIM(_xlfn.TEXTSPLIT(Table261424[[#This Row],[Selection Options]:[Selection Options]],","))),,Q$11),"")</f>
        <v xml:space="preserve">
50%: Supported via a third party solution</v>
      </c>
      <c r="R101" s="39" t="str" cm="1">
        <f t="array" ref="R101">IFERROR(INDEX(_xlfn.UNIQUE(TRIM(_xlfn.TEXTSPLIT(Table261424[[#This Row],[Selection Options]:[Selection Options]],","))),,R$11),"")</f>
        <v xml:space="preserve">
25%: Supported via customisation (source code changes)</v>
      </c>
      <c r="S101" s="177" t="str" cm="1">
        <f t="array" ref="S101">IFERROR(INDEX(_xlfn.UNIQUE(TRIM(_xlfn.TEXTSPLIT(Table261424[[#This Row],[Selection Options]:[Selection Options]],","))),,S$11),"")</f>
        <v xml:space="preserve">
 0%: Not currently supported</v>
      </c>
      <c r="T101" s="39" t="str" cm="1">
        <f t="array" ref="T101">IFERROR(INDEX(_xlfn.UNIQUE(TRIM(_xlfn.TEXTSPLIT(Table261424[[#This Row],[Selection Options]:[Selection Options]],","))),,T$11),"")</f>
        <v/>
      </c>
      <c r="U101" s="39" t="str" cm="1">
        <f t="array" ref="U101">IFERROR(INDEX(_xlfn.UNIQUE(TRIM(_xlfn.TEXTSPLIT(Table261424[[#This Row],[Selection Options]:[Selection Options]],","))),,U$11),"")</f>
        <v/>
      </c>
      <c r="V101" s="39" t="str" cm="1">
        <f t="array" ref="V101">IFERROR(INDEX(_xlfn.UNIQUE(TRIM(_xlfn.TEXTSPLIT(Table261424[[#This Row],[Selection Options]:[Selection Options]],","))),,V$11),"")</f>
        <v/>
      </c>
      <c r="W101" s="39" t="str" cm="1">
        <f t="array" ref="W101">IFERROR(INDEX(_xlfn.UNIQUE(TRIM(_xlfn.TEXTSPLIT(Table261424[[#This Row],[Selection Options]:[Selection Options]],","))),,W$11),"")</f>
        <v/>
      </c>
      <c r="X101" s="39" t="str" cm="1">
        <f t="array" ref="X101">IFERROR(INDEX(_xlfn.UNIQUE(TRIM(_xlfn.TEXTSPLIT(Table261424[[#This Row],[Selection Options]:[Selection Options]],","))),,X$11),"")</f>
        <v/>
      </c>
      <c r="Y101" s="39" t="str" cm="1">
        <f t="array" ref="Y101">IFERROR(INDEX(_xlfn.UNIQUE(TRIM(_xlfn.TEXTSPLIT(Table261424[[#This Row],[Selection Options]:[Selection Options]],","))),,Y$11),"")</f>
        <v/>
      </c>
      <c r="Z101" s="30" cm="1">
        <f t="array" ref="Z101">IF(Table261424[[#This Row],[1]]="","",Table261424[[#This Row],[Weight]:[Weight]]-(Table261424[[#This Row],[Weight]:[Weight]]*((_xlfn.XMATCH(Table261424[[#This Row],[1]],Table261424[[#This Row],[1]:[11]],0))-1)/(COUNTA(Table261424[[#This Row],[1]:[11]])-COUNTBLANK(Table261424[[#This Row],[1]:[11]])-1)))</f>
        <v>3.4153005464480874E-4</v>
      </c>
      <c r="AA101" s="30" cm="1">
        <f t="array" ref="AA101">IF(Table261424[[#This Row],[2]]="","",Table261424[[#This Row],[Weight]:[Weight]]-(Table261424[[#This Row],[Weight]:[Weight]]*((_xlfn.XMATCH(Table261424[[#This Row],[2]],Table261424[[#This Row],[1]:[11]],0))-1)/(COUNTA(Table261424[[#This Row],[1]:[11]])-COUNTBLANK(Table261424[[#This Row],[1]:[11]])-1)))</f>
        <v>2.5614754098360657E-4</v>
      </c>
      <c r="AB101" s="30" cm="1">
        <f t="array" ref="AB101">IF(Table261424[[#This Row],[3]]="","",Table261424[[#This Row],[Weight]:[Weight]]-(Table261424[[#This Row],[Weight]:[Weight]]*((_xlfn.XMATCH(Table261424[[#This Row],[3]],Table261424[[#This Row],[1]:[11]],0))-1)/(COUNTA(Table261424[[#This Row],[1]:[11]])-COUNTBLANK(Table261424[[#This Row],[1]:[11]])-1)))</f>
        <v>1.7076502732240437E-4</v>
      </c>
      <c r="AC101" s="30" cm="1">
        <f t="array" ref="AC101">IF(Table261424[[#This Row],[4]]="","",Table261424[[#This Row],[Weight]:[Weight]]-(Table261424[[#This Row],[Weight]:[Weight]]*((_xlfn.XMATCH(Table261424[[#This Row],[4]],Table261424[[#This Row],[1]:[11]],0))-1)/(COUNTA(Table261424[[#This Row],[1]:[11]])-COUNTBLANK(Table261424[[#This Row],[1]:[11]])-1)))</f>
        <v>8.5382513661202172E-5</v>
      </c>
      <c r="AD101" s="30" cm="1">
        <f t="array" ref="AD101">IF(Table261424[[#This Row],[5]]="","",Table261424[[#This Row],[Weight]:[Weight]]-(Table261424[[#This Row],[Weight]:[Weight]]*((_xlfn.XMATCH(Table261424[[#This Row],[5]],Table261424[[#This Row],[1]:[11]],0))-1)/(COUNTA(Table261424[[#This Row],[1]:[11]])-COUNTBLANK(Table261424[[#This Row],[1]:[11]])-1)))</f>
        <v>0</v>
      </c>
      <c r="AE101" s="30" t="str" cm="1">
        <f t="array" ref="AE101">IF(Table261424[[#This Row],[6]]="","",Table261424[[#This Row],[Weight]:[Weight]]-(Table261424[[#This Row],[Weight]:[Weight]]*((_xlfn.XMATCH(Table261424[[#This Row],[6]],Table261424[[#This Row],[1]:[11]],0))-1)/(COUNTA(Table261424[[#This Row],[1]:[11]])-COUNTBLANK(Table261424[[#This Row],[1]:[11]])-1)))</f>
        <v/>
      </c>
      <c r="AF101" s="30" t="str" cm="1">
        <f t="array" ref="AF101">IF(Table261424[[#This Row],[7]]="","",Table261424[[#This Row],[Weight]:[Weight]]-(Table261424[[#This Row],[Weight]:[Weight]]*((_xlfn.XMATCH(Table261424[[#This Row],[7]],Table261424[[#This Row],[1]:[11]],0))-1)/(COUNTA(Table261424[[#This Row],[1]:[11]])-COUNTBLANK(Table261424[[#This Row],[1]:[11]])-1)))</f>
        <v/>
      </c>
      <c r="AG101" s="30" t="str" cm="1">
        <f t="array" ref="AG101">IF(Table261424[[#This Row],[8]]="","",Table261424[[#This Row],[Weight]:[Weight]]-(Table261424[[#This Row],[Weight]:[Weight]]*((_xlfn.XMATCH(Table261424[[#This Row],[8]],Table261424[[#This Row],[1]:[11]],0))-1)/(COUNTA(Table261424[[#This Row],[1]:[11]])-COUNTBLANK(Table261424[[#This Row],[1]:[11]])-1)))</f>
        <v/>
      </c>
      <c r="AH101" s="39" t="str" cm="1">
        <f t="array" ref="AH101">IF(Table261424[[#This Row],[9]]="","",Table261424[[#This Row],[Weight]:[Weight]]-(Table261424[[#This Row],[Weight]:[Weight]]*((_xlfn.XMATCH(Table261424[[#This Row],[9]],Table261424[[#This Row],[1]:[11]],0))-1)/(COUNTA(Table261424[[#This Row],[1]:[11]])-COUNTBLANK(Table261424[[#This Row],[1]:[11]])-1)))</f>
        <v/>
      </c>
      <c r="AI101" s="39" t="str" cm="1">
        <f t="array" ref="AI101">IF(Table261424[[#This Row],[10]]="","",Table261424[[#This Row],[Weight]:[Weight]]-(Table261424[[#This Row],[Weight]:[Weight]]*((_xlfn.XMATCH(Table261424[[#This Row],[10]],Table261424[[#This Row],[1]:[11]],0))-1)/(COUNTA(Table261424[[#This Row],[1]:[11]])-COUNTBLANK(Table261424[[#This Row],[1]:[11]])-1)))</f>
        <v/>
      </c>
      <c r="AJ101" s="39" t="str" cm="1">
        <f t="array" ref="AJ101">IF(Table261424[[#This Row],[11]]="","",Table261424[[#This Row],[Weight]:[Weight]]-(Table261424[[#This Row],[Weight]:[Weight]]*((_xlfn.XMATCH(Table261424[[#This Row],[11]],Table261424[[#This Row],[1]:[11]],0))-1)/(COUNTA(Table261424[[#This Row],[1]:[11]])-COUNTBLANK(Table261424[[#This Row],[1]:[11]])-1)))</f>
        <v/>
      </c>
    </row>
    <row r="102" spans="1:36" s="167" customFormat="1" ht="72" x14ac:dyDescent="0.2">
      <c r="A102" s="173">
        <v>90</v>
      </c>
      <c r="B102" s="21" t="s">
        <v>306</v>
      </c>
      <c r="C102" s="178" t="s">
        <v>215</v>
      </c>
      <c r="D102" s="179"/>
      <c r="E102" s="28"/>
      <c r="F102" s="28"/>
      <c r="G102" s="159" t="s">
        <v>183</v>
      </c>
      <c r="H102" s="155" cm="1">
        <f t="array" ref="H102">_xlfn.IFS(G102="","",G102="No interest",0,G102="Nice to have",1,G102="Useful",2,G102="Important",3,G102="Very important",4,G102="Critical",5,G102="Show stopper",6)</f>
        <v>4</v>
      </c>
      <c r="I102" s="156">
        <f t="shared" si="9"/>
        <v>2.7322404371584699E-4</v>
      </c>
      <c r="J102" s="157" t="s">
        <v>216</v>
      </c>
      <c r="K102" s="158" t="str" cm="1">
        <f t="array" ref="K102">_xlfn.TEXTJOIN(","&amp;CHAR(10),,TEXT(Table261424[[#This Row],[12]:[22]],"0,00%"))</f>
        <v>0,00%,
0,00%,
0,00%,
0,00%,
0,00%</v>
      </c>
      <c r="L102" s="175"/>
      <c r="M102" s="176" t="e">
        <f>I102-(I102*((MATCH(Table261424[[#This Row],[Evaluators Response (SELECT)]],Table261424[[#This Row],[1]:[11]],0)-1)/(COUNTA(Table261424[[#This Row],[1]:[11]])-COUNTBLANK(Table261424[[#This Row],[1]:[11]])-1)))</f>
        <v>#N/A</v>
      </c>
      <c r="N102" s="28"/>
      <c r="O102" s="39" t="str" cm="1">
        <f t="array" ref="O102">IFERROR(INDEX(_xlfn.UNIQUE(TRIM(_xlfn.TEXTSPLIT(Table261424[[#This Row],[Selection Options]:[Selection Options]],","))),,O$11),"")</f>
        <v>100%: Supported as delivered out of the box</v>
      </c>
      <c r="P102" s="39" t="str" cm="1">
        <f t="array" ref="P102">IFERROR(INDEX(_xlfn.UNIQUE(TRIM(_xlfn.TEXTSPLIT(Table261424[[#This Row],[Selection Options]:[Selection Options]],","))),,P$11),"")</f>
        <v xml:space="preserve">
75%: Supported via modifications (config)</v>
      </c>
      <c r="Q102" s="39" t="str" cm="1">
        <f t="array" ref="Q102">IFERROR(INDEX(_xlfn.UNIQUE(TRIM(_xlfn.TEXTSPLIT(Table261424[[#This Row],[Selection Options]:[Selection Options]],","))),,Q$11),"")</f>
        <v xml:space="preserve">
50%: Supported via a third party solution</v>
      </c>
      <c r="R102" s="39" t="str" cm="1">
        <f t="array" ref="R102">IFERROR(INDEX(_xlfn.UNIQUE(TRIM(_xlfn.TEXTSPLIT(Table261424[[#This Row],[Selection Options]:[Selection Options]],","))),,R$11),"")</f>
        <v xml:space="preserve">
25%: Supported via customisation (source code changes)</v>
      </c>
      <c r="S102" s="177" t="str" cm="1">
        <f t="array" ref="S102">IFERROR(INDEX(_xlfn.UNIQUE(TRIM(_xlfn.TEXTSPLIT(Table261424[[#This Row],[Selection Options]:[Selection Options]],","))),,S$11),"")</f>
        <v xml:space="preserve">
 0%: Not currently supported</v>
      </c>
      <c r="T102" s="39" t="str" cm="1">
        <f t="array" ref="T102">IFERROR(INDEX(_xlfn.UNIQUE(TRIM(_xlfn.TEXTSPLIT(Table261424[[#This Row],[Selection Options]:[Selection Options]],","))),,T$11),"")</f>
        <v/>
      </c>
      <c r="U102" s="39" t="str" cm="1">
        <f t="array" ref="U102">IFERROR(INDEX(_xlfn.UNIQUE(TRIM(_xlfn.TEXTSPLIT(Table261424[[#This Row],[Selection Options]:[Selection Options]],","))),,U$11),"")</f>
        <v/>
      </c>
      <c r="V102" s="39" t="str" cm="1">
        <f t="array" ref="V102">IFERROR(INDEX(_xlfn.UNIQUE(TRIM(_xlfn.TEXTSPLIT(Table261424[[#This Row],[Selection Options]:[Selection Options]],","))),,V$11),"")</f>
        <v/>
      </c>
      <c r="W102" s="39" t="str" cm="1">
        <f t="array" ref="W102">IFERROR(INDEX(_xlfn.UNIQUE(TRIM(_xlfn.TEXTSPLIT(Table261424[[#This Row],[Selection Options]:[Selection Options]],","))),,W$11),"")</f>
        <v/>
      </c>
      <c r="X102" s="39" t="str" cm="1">
        <f t="array" ref="X102">IFERROR(INDEX(_xlfn.UNIQUE(TRIM(_xlfn.TEXTSPLIT(Table261424[[#This Row],[Selection Options]:[Selection Options]],","))),,X$11),"")</f>
        <v/>
      </c>
      <c r="Y102" s="39" t="str" cm="1">
        <f t="array" ref="Y102">IFERROR(INDEX(_xlfn.UNIQUE(TRIM(_xlfn.TEXTSPLIT(Table261424[[#This Row],[Selection Options]:[Selection Options]],","))),,Y$11),"")</f>
        <v/>
      </c>
      <c r="Z102" s="30" cm="1">
        <f t="array" ref="Z102">IF(Table261424[[#This Row],[1]]="","",Table261424[[#This Row],[Weight]:[Weight]]-(Table261424[[#This Row],[Weight]:[Weight]]*((_xlfn.XMATCH(Table261424[[#This Row],[1]],Table261424[[#This Row],[1]:[11]],0))-1)/(COUNTA(Table261424[[#This Row],[1]:[11]])-COUNTBLANK(Table261424[[#This Row],[1]:[11]])-1)))</f>
        <v>2.7322404371584699E-4</v>
      </c>
      <c r="AA102" s="30" cm="1">
        <f t="array" ref="AA102">IF(Table261424[[#This Row],[2]]="","",Table261424[[#This Row],[Weight]:[Weight]]-(Table261424[[#This Row],[Weight]:[Weight]]*((_xlfn.XMATCH(Table261424[[#This Row],[2]],Table261424[[#This Row],[1]:[11]],0))-1)/(COUNTA(Table261424[[#This Row],[1]:[11]])-COUNTBLANK(Table261424[[#This Row],[1]:[11]])-1)))</f>
        <v>2.0491803278688525E-4</v>
      </c>
      <c r="AB102" s="30" cm="1">
        <f t="array" ref="AB102">IF(Table261424[[#This Row],[3]]="","",Table261424[[#This Row],[Weight]:[Weight]]-(Table261424[[#This Row],[Weight]:[Weight]]*((_xlfn.XMATCH(Table261424[[#This Row],[3]],Table261424[[#This Row],[1]:[11]],0))-1)/(COUNTA(Table261424[[#This Row],[1]:[11]])-COUNTBLANK(Table261424[[#This Row],[1]:[11]])-1)))</f>
        <v>1.366120218579235E-4</v>
      </c>
      <c r="AC102" s="30" cm="1">
        <f t="array" ref="AC102">IF(Table261424[[#This Row],[4]]="","",Table261424[[#This Row],[Weight]:[Weight]]-(Table261424[[#This Row],[Weight]:[Weight]]*((_xlfn.XMATCH(Table261424[[#This Row],[4]],Table261424[[#This Row],[1]:[11]],0))-1)/(COUNTA(Table261424[[#This Row],[1]:[11]])-COUNTBLANK(Table261424[[#This Row],[1]:[11]])-1)))</f>
        <v>6.8306010928961749E-5</v>
      </c>
      <c r="AD102" s="30" cm="1">
        <f t="array" ref="AD102">IF(Table261424[[#This Row],[5]]="","",Table261424[[#This Row],[Weight]:[Weight]]-(Table261424[[#This Row],[Weight]:[Weight]]*((_xlfn.XMATCH(Table261424[[#This Row],[5]],Table261424[[#This Row],[1]:[11]],0))-1)/(COUNTA(Table261424[[#This Row],[1]:[11]])-COUNTBLANK(Table261424[[#This Row],[1]:[11]])-1)))</f>
        <v>0</v>
      </c>
      <c r="AE102" s="30" t="str" cm="1">
        <f t="array" ref="AE102">IF(Table261424[[#This Row],[6]]="","",Table261424[[#This Row],[Weight]:[Weight]]-(Table261424[[#This Row],[Weight]:[Weight]]*((_xlfn.XMATCH(Table261424[[#This Row],[6]],Table261424[[#This Row],[1]:[11]],0))-1)/(COUNTA(Table261424[[#This Row],[1]:[11]])-COUNTBLANK(Table261424[[#This Row],[1]:[11]])-1)))</f>
        <v/>
      </c>
      <c r="AF102" s="30" t="str" cm="1">
        <f t="array" ref="AF102">IF(Table261424[[#This Row],[7]]="","",Table261424[[#This Row],[Weight]:[Weight]]-(Table261424[[#This Row],[Weight]:[Weight]]*((_xlfn.XMATCH(Table261424[[#This Row],[7]],Table261424[[#This Row],[1]:[11]],0))-1)/(COUNTA(Table261424[[#This Row],[1]:[11]])-COUNTBLANK(Table261424[[#This Row],[1]:[11]])-1)))</f>
        <v/>
      </c>
      <c r="AG102" s="30" t="str" cm="1">
        <f t="array" ref="AG102">IF(Table261424[[#This Row],[8]]="","",Table261424[[#This Row],[Weight]:[Weight]]-(Table261424[[#This Row],[Weight]:[Weight]]*((_xlfn.XMATCH(Table261424[[#This Row],[8]],Table261424[[#This Row],[1]:[11]],0))-1)/(COUNTA(Table261424[[#This Row],[1]:[11]])-COUNTBLANK(Table261424[[#This Row],[1]:[11]])-1)))</f>
        <v/>
      </c>
      <c r="AH102" s="39" t="str" cm="1">
        <f t="array" ref="AH102">IF(Table261424[[#This Row],[9]]="","",Table261424[[#This Row],[Weight]:[Weight]]-(Table261424[[#This Row],[Weight]:[Weight]]*((_xlfn.XMATCH(Table261424[[#This Row],[9]],Table261424[[#This Row],[1]:[11]],0))-1)/(COUNTA(Table261424[[#This Row],[1]:[11]])-COUNTBLANK(Table261424[[#This Row],[1]:[11]])-1)))</f>
        <v/>
      </c>
      <c r="AI102" s="39" t="str" cm="1">
        <f t="array" ref="AI102">IF(Table261424[[#This Row],[10]]="","",Table261424[[#This Row],[Weight]:[Weight]]-(Table261424[[#This Row],[Weight]:[Weight]]*((_xlfn.XMATCH(Table261424[[#This Row],[10]],Table261424[[#This Row],[1]:[11]],0))-1)/(COUNTA(Table261424[[#This Row],[1]:[11]])-COUNTBLANK(Table261424[[#This Row],[1]:[11]])-1)))</f>
        <v/>
      </c>
      <c r="AJ102" s="39" t="str" cm="1">
        <f t="array" ref="AJ102">IF(Table261424[[#This Row],[11]]="","",Table261424[[#This Row],[Weight]:[Weight]]-(Table261424[[#This Row],[Weight]:[Weight]]*((_xlfn.XMATCH(Table261424[[#This Row],[11]],Table261424[[#This Row],[1]:[11]],0))-1)/(COUNTA(Table261424[[#This Row],[1]:[11]])-COUNTBLANK(Table261424[[#This Row],[1]:[11]])-1)))</f>
        <v/>
      </c>
    </row>
    <row r="103" spans="1:36" s="167" customFormat="1" ht="72" x14ac:dyDescent="0.2">
      <c r="A103" s="173">
        <v>91</v>
      </c>
      <c r="B103" s="21" t="s">
        <v>307</v>
      </c>
      <c r="C103" s="178" t="s">
        <v>215</v>
      </c>
      <c r="D103" s="179"/>
      <c r="E103" s="28"/>
      <c r="F103" s="28"/>
      <c r="G103" s="159" t="s">
        <v>60</v>
      </c>
      <c r="H103" s="155" cm="1">
        <f t="array" ref="H103">_xlfn.IFS(G103="","",G103="No interest",0,G103="Nice to have",1,G103="Useful",2,G103="Important",3,G103="Very important",4,G103="Critical",5,G103="Show stopper",6)</f>
        <v>6</v>
      </c>
      <c r="I103" s="156">
        <f t="shared" si="9"/>
        <v>4.0983606557377049E-4</v>
      </c>
      <c r="J103" s="157" t="s">
        <v>216</v>
      </c>
      <c r="K103" s="158" t="str" cm="1">
        <f t="array" ref="K103">_xlfn.TEXTJOIN(","&amp;CHAR(10),,TEXT(Table261424[[#This Row],[12]:[22]],"0,00%"))</f>
        <v>0,00%,
0,00%,
0,00%,
0,00%,
0,00%</v>
      </c>
      <c r="L103" s="175"/>
      <c r="M103" s="176" t="e">
        <f>I103-(I103*((MATCH(Table261424[[#This Row],[Evaluators Response (SELECT)]],Table261424[[#This Row],[1]:[11]],0)-1)/(COUNTA(Table261424[[#This Row],[1]:[11]])-COUNTBLANK(Table261424[[#This Row],[1]:[11]])-1)))</f>
        <v>#N/A</v>
      </c>
      <c r="N103" s="28"/>
      <c r="O103" s="39" t="str" cm="1">
        <f t="array" ref="O103">IFERROR(INDEX(_xlfn.UNIQUE(TRIM(_xlfn.TEXTSPLIT(Table261424[[#This Row],[Selection Options]:[Selection Options]],","))),,O$11),"")</f>
        <v>100%: Supported as delivered out of the box</v>
      </c>
      <c r="P103" s="39" t="str" cm="1">
        <f t="array" ref="P103">IFERROR(INDEX(_xlfn.UNIQUE(TRIM(_xlfn.TEXTSPLIT(Table261424[[#This Row],[Selection Options]:[Selection Options]],","))),,P$11),"")</f>
        <v xml:space="preserve">
75%: Supported via modifications (config)</v>
      </c>
      <c r="Q103" s="39" t="str" cm="1">
        <f t="array" ref="Q103">IFERROR(INDEX(_xlfn.UNIQUE(TRIM(_xlfn.TEXTSPLIT(Table261424[[#This Row],[Selection Options]:[Selection Options]],","))),,Q$11),"")</f>
        <v xml:space="preserve">
50%: Supported via a third party solution</v>
      </c>
      <c r="R103" s="39" t="str" cm="1">
        <f t="array" ref="R103">IFERROR(INDEX(_xlfn.UNIQUE(TRIM(_xlfn.TEXTSPLIT(Table261424[[#This Row],[Selection Options]:[Selection Options]],","))),,R$11),"")</f>
        <v xml:space="preserve">
25%: Supported via customisation (source code changes)</v>
      </c>
      <c r="S103" s="177" t="str" cm="1">
        <f t="array" ref="S103">IFERROR(INDEX(_xlfn.UNIQUE(TRIM(_xlfn.TEXTSPLIT(Table261424[[#This Row],[Selection Options]:[Selection Options]],","))),,S$11),"")</f>
        <v xml:space="preserve">
 0%: Not currently supported</v>
      </c>
      <c r="T103" s="39" t="str" cm="1">
        <f t="array" ref="T103">IFERROR(INDEX(_xlfn.UNIQUE(TRIM(_xlfn.TEXTSPLIT(Table261424[[#This Row],[Selection Options]:[Selection Options]],","))),,T$11),"")</f>
        <v/>
      </c>
      <c r="U103" s="39" t="str" cm="1">
        <f t="array" ref="U103">IFERROR(INDEX(_xlfn.UNIQUE(TRIM(_xlfn.TEXTSPLIT(Table261424[[#This Row],[Selection Options]:[Selection Options]],","))),,U$11),"")</f>
        <v/>
      </c>
      <c r="V103" s="39" t="str" cm="1">
        <f t="array" ref="V103">IFERROR(INDEX(_xlfn.UNIQUE(TRIM(_xlfn.TEXTSPLIT(Table261424[[#This Row],[Selection Options]:[Selection Options]],","))),,V$11),"")</f>
        <v/>
      </c>
      <c r="W103" s="39" t="str" cm="1">
        <f t="array" ref="W103">IFERROR(INDEX(_xlfn.UNIQUE(TRIM(_xlfn.TEXTSPLIT(Table261424[[#This Row],[Selection Options]:[Selection Options]],","))),,W$11),"")</f>
        <v/>
      </c>
      <c r="X103" s="39" t="str" cm="1">
        <f t="array" ref="X103">IFERROR(INDEX(_xlfn.UNIQUE(TRIM(_xlfn.TEXTSPLIT(Table261424[[#This Row],[Selection Options]:[Selection Options]],","))),,X$11),"")</f>
        <v/>
      </c>
      <c r="Y103" s="39" t="str" cm="1">
        <f t="array" ref="Y103">IFERROR(INDEX(_xlfn.UNIQUE(TRIM(_xlfn.TEXTSPLIT(Table261424[[#This Row],[Selection Options]:[Selection Options]],","))),,Y$11),"")</f>
        <v/>
      </c>
      <c r="Z103" s="30" cm="1">
        <f t="array" ref="Z103">IF(Table261424[[#This Row],[1]]="","",Table261424[[#This Row],[Weight]:[Weight]]-(Table261424[[#This Row],[Weight]:[Weight]]*((_xlfn.XMATCH(Table261424[[#This Row],[1]],Table261424[[#This Row],[1]:[11]],0))-1)/(COUNTA(Table261424[[#This Row],[1]:[11]])-COUNTBLANK(Table261424[[#This Row],[1]:[11]])-1)))</f>
        <v>4.0983606557377049E-4</v>
      </c>
      <c r="AA103" s="30" cm="1">
        <f t="array" ref="AA103">IF(Table261424[[#This Row],[2]]="","",Table261424[[#This Row],[Weight]:[Weight]]-(Table261424[[#This Row],[Weight]:[Weight]]*((_xlfn.XMATCH(Table261424[[#This Row],[2]],Table261424[[#This Row],[1]:[11]],0))-1)/(COUNTA(Table261424[[#This Row],[1]:[11]])-COUNTBLANK(Table261424[[#This Row],[1]:[11]])-1)))</f>
        <v>3.0737704918032784E-4</v>
      </c>
      <c r="AB103" s="30" cm="1">
        <f t="array" ref="AB103">IF(Table261424[[#This Row],[3]]="","",Table261424[[#This Row],[Weight]:[Weight]]-(Table261424[[#This Row],[Weight]:[Weight]]*((_xlfn.XMATCH(Table261424[[#This Row],[3]],Table261424[[#This Row],[1]:[11]],0))-1)/(COUNTA(Table261424[[#This Row],[1]:[11]])-COUNTBLANK(Table261424[[#This Row],[1]:[11]])-1)))</f>
        <v>2.0491803278688525E-4</v>
      </c>
      <c r="AC103" s="30" cm="1">
        <f t="array" ref="AC103">IF(Table261424[[#This Row],[4]]="","",Table261424[[#This Row],[Weight]:[Weight]]-(Table261424[[#This Row],[Weight]:[Weight]]*((_xlfn.XMATCH(Table261424[[#This Row],[4]],Table261424[[#This Row],[1]:[11]],0))-1)/(COUNTA(Table261424[[#This Row],[1]:[11]])-COUNTBLANK(Table261424[[#This Row],[1]:[11]])-1)))</f>
        <v>1.0245901639344265E-4</v>
      </c>
      <c r="AD103" s="30" cm="1">
        <f t="array" ref="AD103">IF(Table261424[[#This Row],[5]]="","",Table261424[[#This Row],[Weight]:[Weight]]-(Table261424[[#This Row],[Weight]:[Weight]]*((_xlfn.XMATCH(Table261424[[#This Row],[5]],Table261424[[#This Row],[1]:[11]],0))-1)/(COUNTA(Table261424[[#This Row],[1]:[11]])-COUNTBLANK(Table261424[[#This Row],[1]:[11]])-1)))</f>
        <v>0</v>
      </c>
      <c r="AE103" s="30" t="str" cm="1">
        <f t="array" ref="AE103">IF(Table261424[[#This Row],[6]]="","",Table261424[[#This Row],[Weight]:[Weight]]-(Table261424[[#This Row],[Weight]:[Weight]]*((_xlfn.XMATCH(Table261424[[#This Row],[6]],Table261424[[#This Row],[1]:[11]],0))-1)/(COUNTA(Table261424[[#This Row],[1]:[11]])-COUNTBLANK(Table261424[[#This Row],[1]:[11]])-1)))</f>
        <v/>
      </c>
      <c r="AF103" s="30" t="str" cm="1">
        <f t="array" ref="AF103">IF(Table261424[[#This Row],[7]]="","",Table261424[[#This Row],[Weight]:[Weight]]-(Table261424[[#This Row],[Weight]:[Weight]]*((_xlfn.XMATCH(Table261424[[#This Row],[7]],Table261424[[#This Row],[1]:[11]],0))-1)/(COUNTA(Table261424[[#This Row],[1]:[11]])-COUNTBLANK(Table261424[[#This Row],[1]:[11]])-1)))</f>
        <v/>
      </c>
      <c r="AG103" s="30" t="str" cm="1">
        <f t="array" ref="AG103">IF(Table261424[[#This Row],[8]]="","",Table261424[[#This Row],[Weight]:[Weight]]-(Table261424[[#This Row],[Weight]:[Weight]]*((_xlfn.XMATCH(Table261424[[#This Row],[8]],Table261424[[#This Row],[1]:[11]],0))-1)/(COUNTA(Table261424[[#This Row],[1]:[11]])-COUNTBLANK(Table261424[[#This Row],[1]:[11]])-1)))</f>
        <v/>
      </c>
      <c r="AH103" s="39" t="str" cm="1">
        <f t="array" ref="AH103">IF(Table261424[[#This Row],[9]]="","",Table261424[[#This Row],[Weight]:[Weight]]-(Table261424[[#This Row],[Weight]:[Weight]]*((_xlfn.XMATCH(Table261424[[#This Row],[9]],Table261424[[#This Row],[1]:[11]],0))-1)/(COUNTA(Table261424[[#This Row],[1]:[11]])-COUNTBLANK(Table261424[[#This Row],[1]:[11]])-1)))</f>
        <v/>
      </c>
      <c r="AI103" s="39" t="str" cm="1">
        <f t="array" ref="AI103">IF(Table261424[[#This Row],[10]]="","",Table261424[[#This Row],[Weight]:[Weight]]-(Table261424[[#This Row],[Weight]:[Weight]]*((_xlfn.XMATCH(Table261424[[#This Row],[10]],Table261424[[#This Row],[1]:[11]],0))-1)/(COUNTA(Table261424[[#This Row],[1]:[11]])-COUNTBLANK(Table261424[[#This Row],[1]:[11]])-1)))</f>
        <v/>
      </c>
      <c r="AJ103" s="39" t="str" cm="1">
        <f t="array" ref="AJ103">IF(Table261424[[#This Row],[11]]="","",Table261424[[#This Row],[Weight]:[Weight]]-(Table261424[[#This Row],[Weight]:[Weight]]*((_xlfn.XMATCH(Table261424[[#This Row],[11]],Table261424[[#This Row],[1]:[11]],0))-1)/(COUNTA(Table261424[[#This Row],[1]:[11]])-COUNTBLANK(Table261424[[#This Row],[1]:[11]])-1)))</f>
        <v/>
      </c>
    </row>
    <row r="104" spans="1:36" s="167" customFormat="1" ht="72" x14ac:dyDescent="0.2">
      <c r="A104" s="173">
        <v>92</v>
      </c>
      <c r="B104" s="21" t="s">
        <v>308</v>
      </c>
      <c r="C104" s="178" t="s">
        <v>215</v>
      </c>
      <c r="D104" s="179"/>
      <c r="E104" s="28"/>
      <c r="F104" s="28"/>
      <c r="G104" s="159" t="s">
        <v>183</v>
      </c>
      <c r="H104" s="155" cm="1">
        <f t="array" ref="H104">_xlfn.IFS(G104="","",G104="No interest",0,G104="Nice to have",1,G104="Useful",2,G104="Important",3,G104="Very important",4,G104="Critical",5,G104="Show stopper",6)</f>
        <v>4</v>
      </c>
      <c r="I104" s="156">
        <f t="shared" si="9"/>
        <v>2.7322404371584699E-4</v>
      </c>
      <c r="J104" s="157" t="s">
        <v>216</v>
      </c>
      <c r="K104" s="158" t="str" cm="1">
        <f t="array" ref="K104">_xlfn.TEXTJOIN(","&amp;CHAR(10),,TEXT(Table261424[[#This Row],[12]:[22]],"0,00%"))</f>
        <v>0,00%,
0,00%,
0,00%,
0,00%,
0,00%</v>
      </c>
      <c r="L104" s="175"/>
      <c r="M104" s="176" t="e">
        <f>I104-(I104*((MATCH(Table261424[[#This Row],[Evaluators Response (SELECT)]],Table261424[[#This Row],[1]:[11]],0)-1)/(COUNTA(Table261424[[#This Row],[1]:[11]])-COUNTBLANK(Table261424[[#This Row],[1]:[11]])-1)))</f>
        <v>#N/A</v>
      </c>
      <c r="N104" s="28"/>
      <c r="O104" s="39" t="str" cm="1">
        <f t="array" ref="O104">IFERROR(INDEX(_xlfn.UNIQUE(TRIM(_xlfn.TEXTSPLIT(Table261424[[#This Row],[Selection Options]:[Selection Options]],","))),,O$11),"")</f>
        <v>100%: Supported as delivered out of the box</v>
      </c>
      <c r="P104" s="39" t="str" cm="1">
        <f t="array" ref="P104">IFERROR(INDEX(_xlfn.UNIQUE(TRIM(_xlfn.TEXTSPLIT(Table261424[[#This Row],[Selection Options]:[Selection Options]],","))),,P$11),"")</f>
        <v xml:space="preserve">
75%: Supported via modifications (config)</v>
      </c>
      <c r="Q104" s="39" t="str" cm="1">
        <f t="array" ref="Q104">IFERROR(INDEX(_xlfn.UNIQUE(TRIM(_xlfn.TEXTSPLIT(Table261424[[#This Row],[Selection Options]:[Selection Options]],","))),,Q$11),"")</f>
        <v xml:space="preserve">
50%: Supported via a third party solution</v>
      </c>
      <c r="R104" s="39" t="str" cm="1">
        <f t="array" ref="R104">IFERROR(INDEX(_xlfn.UNIQUE(TRIM(_xlfn.TEXTSPLIT(Table261424[[#This Row],[Selection Options]:[Selection Options]],","))),,R$11),"")</f>
        <v xml:space="preserve">
25%: Supported via customisation (source code changes)</v>
      </c>
      <c r="S104" s="177" t="str" cm="1">
        <f t="array" ref="S104">IFERROR(INDEX(_xlfn.UNIQUE(TRIM(_xlfn.TEXTSPLIT(Table261424[[#This Row],[Selection Options]:[Selection Options]],","))),,S$11),"")</f>
        <v xml:space="preserve">
 0%: Not currently supported</v>
      </c>
      <c r="T104" s="39" t="str" cm="1">
        <f t="array" ref="T104">IFERROR(INDEX(_xlfn.UNIQUE(TRIM(_xlfn.TEXTSPLIT(Table261424[[#This Row],[Selection Options]:[Selection Options]],","))),,T$11),"")</f>
        <v/>
      </c>
      <c r="U104" s="39" t="str" cm="1">
        <f t="array" ref="U104">IFERROR(INDEX(_xlfn.UNIQUE(TRIM(_xlfn.TEXTSPLIT(Table261424[[#This Row],[Selection Options]:[Selection Options]],","))),,U$11),"")</f>
        <v/>
      </c>
      <c r="V104" s="39" t="str" cm="1">
        <f t="array" ref="V104">IFERROR(INDEX(_xlfn.UNIQUE(TRIM(_xlfn.TEXTSPLIT(Table261424[[#This Row],[Selection Options]:[Selection Options]],","))),,V$11),"")</f>
        <v/>
      </c>
      <c r="W104" s="39" t="str" cm="1">
        <f t="array" ref="W104">IFERROR(INDEX(_xlfn.UNIQUE(TRIM(_xlfn.TEXTSPLIT(Table261424[[#This Row],[Selection Options]:[Selection Options]],","))),,W$11),"")</f>
        <v/>
      </c>
      <c r="X104" s="39" t="str" cm="1">
        <f t="array" ref="X104">IFERROR(INDEX(_xlfn.UNIQUE(TRIM(_xlfn.TEXTSPLIT(Table261424[[#This Row],[Selection Options]:[Selection Options]],","))),,X$11),"")</f>
        <v/>
      </c>
      <c r="Y104" s="39" t="str" cm="1">
        <f t="array" ref="Y104">IFERROR(INDEX(_xlfn.UNIQUE(TRIM(_xlfn.TEXTSPLIT(Table261424[[#This Row],[Selection Options]:[Selection Options]],","))),,Y$11),"")</f>
        <v/>
      </c>
      <c r="Z104" s="30" cm="1">
        <f t="array" ref="Z104">IF(Table261424[[#This Row],[1]]="","",Table261424[[#This Row],[Weight]:[Weight]]-(Table261424[[#This Row],[Weight]:[Weight]]*((_xlfn.XMATCH(Table261424[[#This Row],[1]],Table261424[[#This Row],[1]:[11]],0))-1)/(COUNTA(Table261424[[#This Row],[1]:[11]])-COUNTBLANK(Table261424[[#This Row],[1]:[11]])-1)))</f>
        <v>2.7322404371584699E-4</v>
      </c>
      <c r="AA104" s="30" cm="1">
        <f t="array" ref="AA104">IF(Table261424[[#This Row],[2]]="","",Table261424[[#This Row],[Weight]:[Weight]]-(Table261424[[#This Row],[Weight]:[Weight]]*((_xlfn.XMATCH(Table261424[[#This Row],[2]],Table261424[[#This Row],[1]:[11]],0))-1)/(COUNTA(Table261424[[#This Row],[1]:[11]])-COUNTBLANK(Table261424[[#This Row],[1]:[11]])-1)))</f>
        <v>2.0491803278688525E-4</v>
      </c>
      <c r="AB104" s="30" cm="1">
        <f t="array" ref="AB104">IF(Table261424[[#This Row],[3]]="","",Table261424[[#This Row],[Weight]:[Weight]]-(Table261424[[#This Row],[Weight]:[Weight]]*((_xlfn.XMATCH(Table261424[[#This Row],[3]],Table261424[[#This Row],[1]:[11]],0))-1)/(COUNTA(Table261424[[#This Row],[1]:[11]])-COUNTBLANK(Table261424[[#This Row],[1]:[11]])-1)))</f>
        <v>1.366120218579235E-4</v>
      </c>
      <c r="AC104" s="30" cm="1">
        <f t="array" ref="AC104">IF(Table261424[[#This Row],[4]]="","",Table261424[[#This Row],[Weight]:[Weight]]-(Table261424[[#This Row],[Weight]:[Weight]]*((_xlfn.XMATCH(Table261424[[#This Row],[4]],Table261424[[#This Row],[1]:[11]],0))-1)/(COUNTA(Table261424[[#This Row],[1]:[11]])-COUNTBLANK(Table261424[[#This Row],[1]:[11]])-1)))</f>
        <v>6.8306010928961749E-5</v>
      </c>
      <c r="AD104" s="30" cm="1">
        <f t="array" ref="AD104">IF(Table261424[[#This Row],[5]]="","",Table261424[[#This Row],[Weight]:[Weight]]-(Table261424[[#This Row],[Weight]:[Weight]]*((_xlfn.XMATCH(Table261424[[#This Row],[5]],Table261424[[#This Row],[1]:[11]],0))-1)/(COUNTA(Table261424[[#This Row],[1]:[11]])-COUNTBLANK(Table261424[[#This Row],[1]:[11]])-1)))</f>
        <v>0</v>
      </c>
      <c r="AE104" s="30" t="str" cm="1">
        <f t="array" ref="AE104">IF(Table261424[[#This Row],[6]]="","",Table261424[[#This Row],[Weight]:[Weight]]-(Table261424[[#This Row],[Weight]:[Weight]]*((_xlfn.XMATCH(Table261424[[#This Row],[6]],Table261424[[#This Row],[1]:[11]],0))-1)/(COUNTA(Table261424[[#This Row],[1]:[11]])-COUNTBLANK(Table261424[[#This Row],[1]:[11]])-1)))</f>
        <v/>
      </c>
      <c r="AF104" s="30" t="str" cm="1">
        <f t="array" ref="AF104">IF(Table261424[[#This Row],[7]]="","",Table261424[[#This Row],[Weight]:[Weight]]-(Table261424[[#This Row],[Weight]:[Weight]]*((_xlfn.XMATCH(Table261424[[#This Row],[7]],Table261424[[#This Row],[1]:[11]],0))-1)/(COUNTA(Table261424[[#This Row],[1]:[11]])-COUNTBLANK(Table261424[[#This Row],[1]:[11]])-1)))</f>
        <v/>
      </c>
      <c r="AG104" s="30" t="str" cm="1">
        <f t="array" ref="AG104">IF(Table261424[[#This Row],[8]]="","",Table261424[[#This Row],[Weight]:[Weight]]-(Table261424[[#This Row],[Weight]:[Weight]]*((_xlfn.XMATCH(Table261424[[#This Row],[8]],Table261424[[#This Row],[1]:[11]],0))-1)/(COUNTA(Table261424[[#This Row],[1]:[11]])-COUNTBLANK(Table261424[[#This Row],[1]:[11]])-1)))</f>
        <v/>
      </c>
      <c r="AH104" s="39" t="str" cm="1">
        <f t="array" ref="AH104">IF(Table261424[[#This Row],[9]]="","",Table261424[[#This Row],[Weight]:[Weight]]-(Table261424[[#This Row],[Weight]:[Weight]]*((_xlfn.XMATCH(Table261424[[#This Row],[9]],Table261424[[#This Row],[1]:[11]],0))-1)/(COUNTA(Table261424[[#This Row],[1]:[11]])-COUNTBLANK(Table261424[[#This Row],[1]:[11]])-1)))</f>
        <v/>
      </c>
      <c r="AI104" s="39" t="str" cm="1">
        <f t="array" ref="AI104">IF(Table261424[[#This Row],[10]]="","",Table261424[[#This Row],[Weight]:[Weight]]-(Table261424[[#This Row],[Weight]:[Weight]]*((_xlfn.XMATCH(Table261424[[#This Row],[10]],Table261424[[#This Row],[1]:[11]],0))-1)/(COUNTA(Table261424[[#This Row],[1]:[11]])-COUNTBLANK(Table261424[[#This Row],[1]:[11]])-1)))</f>
        <v/>
      </c>
      <c r="AJ104" s="39" t="str" cm="1">
        <f t="array" ref="AJ104">IF(Table261424[[#This Row],[11]]="","",Table261424[[#This Row],[Weight]:[Weight]]-(Table261424[[#This Row],[Weight]:[Weight]]*((_xlfn.XMATCH(Table261424[[#This Row],[11]],Table261424[[#This Row],[1]:[11]],0))-1)/(COUNTA(Table261424[[#This Row],[1]:[11]])-COUNTBLANK(Table261424[[#This Row],[1]:[11]])-1)))</f>
        <v/>
      </c>
    </row>
    <row r="105" spans="1:36" s="167" customFormat="1" ht="72" x14ac:dyDescent="0.2">
      <c r="A105" s="173">
        <v>93</v>
      </c>
      <c r="B105" s="21" t="s">
        <v>309</v>
      </c>
      <c r="C105" s="178" t="s">
        <v>215</v>
      </c>
      <c r="D105" s="179"/>
      <c r="E105" s="28"/>
      <c r="F105" s="28"/>
      <c r="G105" s="159" t="s">
        <v>188</v>
      </c>
      <c r="H105" s="155" cm="1">
        <f t="array" ref="H105">_xlfn.IFS(G105="","",G105="No interest",0,G105="Nice to have",1,G105="Useful",2,G105="Important",3,G105="Very important",4,G105="Critical",5,G105="Show stopper",6)</f>
        <v>5</v>
      </c>
      <c r="I105" s="156">
        <f t="shared" si="9"/>
        <v>3.4153005464480874E-4</v>
      </c>
      <c r="J105" s="157" t="s">
        <v>216</v>
      </c>
      <c r="K105" s="158" t="str" cm="1">
        <f t="array" ref="K105">_xlfn.TEXTJOIN(","&amp;CHAR(10),,TEXT(Table261424[[#This Row],[12]:[22]],"0,00%"))</f>
        <v>0,00%,
0,00%,
0,00%,
0,00%,
0,00%</v>
      </c>
      <c r="L105" s="175"/>
      <c r="M105" s="176" t="e">
        <f>I105-(I105*((MATCH(Table261424[[#This Row],[Evaluators Response (SELECT)]],Table261424[[#This Row],[1]:[11]],0)-1)/(COUNTA(Table261424[[#This Row],[1]:[11]])-COUNTBLANK(Table261424[[#This Row],[1]:[11]])-1)))</f>
        <v>#N/A</v>
      </c>
      <c r="N105" s="28"/>
      <c r="O105" s="39" t="str" cm="1">
        <f t="array" ref="O105">IFERROR(INDEX(_xlfn.UNIQUE(TRIM(_xlfn.TEXTSPLIT(Table261424[[#This Row],[Selection Options]:[Selection Options]],","))),,O$11),"")</f>
        <v>100%: Supported as delivered out of the box</v>
      </c>
      <c r="P105" s="39" t="str" cm="1">
        <f t="array" ref="P105">IFERROR(INDEX(_xlfn.UNIQUE(TRIM(_xlfn.TEXTSPLIT(Table261424[[#This Row],[Selection Options]:[Selection Options]],","))),,P$11),"")</f>
        <v xml:space="preserve">
75%: Supported via modifications (config)</v>
      </c>
      <c r="Q105" s="39" t="str" cm="1">
        <f t="array" ref="Q105">IFERROR(INDEX(_xlfn.UNIQUE(TRIM(_xlfn.TEXTSPLIT(Table261424[[#This Row],[Selection Options]:[Selection Options]],","))),,Q$11),"")</f>
        <v xml:space="preserve">
50%: Supported via a third party solution</v>
      </c>
      <c r="R105" s="39" t="str" cm="1">
        <f t="array" ref="R105">IFERROR(INDEX(_xlfn.UNIQUE(TRIM(_xlfn.TEXTSPLIT(Table261424[[#This Row],[Selection Options]:[Selection Options]],","))),,R$11),"")</f>
        <v xml:space="preserve">
25%: Supported via customisation (source code changes)</v>
      </c>
      <c r="S105" s="177" t="str" cm="1">
        <f t="array" ref="S105">IFERROR(INDEX(_xlfn.UNIQUE(TRIM(_xlfn.TEXTSPLIT(Table261424[[#This Row],[Selection Options]:[Selection Options]],","))),,S$11),"")</f>
        <v xml:space="preserve">
 0%: Not currently supported</v>
      </c>
      <c r="T105" s="39" t="str" cm="1">
        <f t="array" ref="T105">IFERROR(INDEX(_xlfn.UNIQUE(TRIM(_xlfn.TEXTSPLIT(Table261424[[#This Row],[Selection Options]:[Selection Options]],","))),,T$11),"")</f>
        <v/>
      </c>
      <c r="U105" s="39" t="str" cm="1">
        <f t="array" ref="U105">IFERROR(INDEX(_xlfn.UNIQUE(TRIM(_xlfn.TEXTSPLIT(Table261424[[#This Row],[Selection Options]:[Selection Options]],","))),,U$11),"")</f>
        <v/>
      </c>
      <c r="V105" s="39" t="str" cm="1">
        <f t="array" ref="V105">IFERROR(INDEX(_xlfn.UNIQUE(TRIM(_xlfn.TEXTSPLIT(Table261424[[#This Row],[Selection Options]:[Selection Options]],","))),,V$11),"")</f>
        <v/>
      </c>
      <c r="W105" s="39" t="str" cm="1">
        <f t="array" ref="W105">IFERROR(INDEX(_xlfn.UNIQUE(TRIM(_xlfn.TEXTSPLIT(Table261424[[#This Row],[Selection Options]:[Selection Options]],","))),,W$11),"")</f>
        <v/>
      </c>
      <c r="X105" s="39" t="str" cm="1">
        <f t="array" ref="X105">IFERROR(INDEX(_xlfn.UNIQUE(TRIM(_xlfn.TEXTSPLIT(Table261424[[#This Row],[Selection Options]:[Selection Options]],","))),,X$11),"")</f>
        <v/>
      </c>
      <c r="Y105" s="39" t="str" cm="1">
        <f t="array" ref="Y105">IFERROR(INDEX(_xlfn.UNIQUE(TRIM(_xlfn.TEXTSPLIT(Table261424[[#This Row],[Selection Options]:[Selection Options]],","))),,Y$11),"")</f>
        <v/>
      </c>
      <c r="Z105" s="30" cm="1">
        <f t="array" ref="Z105">IF(Table261424[[#This Row],[1]]="","",Table261424[[#This Row],[Weight]:[Weight]]-(Table261424[[#This Row],[Weight]:[Weight]]*((_xlfn.XMATCH(Table261424[[#This Row],[1]],Table261424[[#This Row],[1]:[11]],0))-1)/(COUNTA(Table261424[[#This Row],[1]:[11]])-COUNTBLANK(Table261424[[#This Row],[1]:[11]])-1)))</f>
        <v>3.4153005464480874E-4</v>
      </c>
      <c r="AA105" s="30" cm="1">
        <f t="array" ref="AA105">IF(Table261424[[#This Row],[2]]="","",Table261424[[#This Row],[Weight]:[Weight]]-(Table261424[[#This Row],[Weight]:[Weight]]*((_xlfn.XMATCH(Table261424[[#This Row],[2]],Table261424[[#This Row],[1]:[11]],0))-1)/(COUNTA(Table261424[[#This Row],[1]:[11]])-COUNTBLANK(Table261424[[#This Row],[1]:[11]])-1)))</f>
        <v>2.5614754098360657E-4</v>
      </c>
      <c r="AB105" s="30" cm="1">
        <f t="array" ref="AB105">IF(Table261424[[#This Row],[3]]="","",Table261424[[#This Row],[Weight]:[Weight]]-(Table261424[[#This Row],[Weight]:[Weight]]*((_xlfn.XMATCH(Table261424[[#This Row],[3]],Table261424[[#This Row],[1]:[11]],0))-1)/(COUNTA(Table261424[[#This Row],[1]:[11]])-COUNTBLANK(Table261424[[#This Row],[1]:[11]])-1)))</f>
        <v>1.7076502732240437E-4</v>
      </c>
      <c r="AC105" s="30" cm="1">
        <f t="array" ref="AC105">IF(Table261424[[#This Row],[4]]="","",Table261424[[#This Row],[Weight]:[Weight]]-(Table261424[[#This Row],[Weight]:[Weight]]*((_xlfn.XMATCH(Table261424[[#This Row],[4]],Table261424[[#This Row],[1]:[11]],0))-1)/(COUNTA(Table261424[[#This Row],[1]:[11]])-COUNTBLANK(Table261424[[#This Row],[1]:[11]])-1)))</f>
        <v>8.5382513661202172E-5</v>
      </c>
      <c r="AD105" s="30" cm="1">
        <f t="array" ref="AD105">IF(Table261424[[#This Row],[5]]="","",Table261424[[#This Row],[Weight]:[Weight]]-(Table261424[[#This Row],[Weight]:[Weight]]*((_xlfn.XMATCH(Table261424[[#This Row],[5]],Table261424[[#This Row],[1]:[11]],0))-1)/(COUNTA(Table261424[[#This Row],[1]:[11]])-COUNTBLANK(Table261424[[#This Row],[1]:[11]])-1)))</f>
        <v>0</v>
      </c>
      <c r="AE105" s="30" t="str" cm="1">
        <f t="array" ref="AE105">IF(Table261424[[#This Row],[6]]="","",Table261424[[#This Row],[Weight]:[Weight]]-(Table261424[[#This Row],[Weight]:[Weight]]*((_xlfn.XMATCH(Table261424[[#This Row],[6]],Table261424[[#This Row],[1]:[11]],0))-1)/(COUNTA(Table261424[[#This Row],[1]:[11]])-COUNTBLANK(Table261424[[#This Row],[1]:[11]])-1)))</f>
        <v/>
      </c>
      <c r="AF105" s="30" t="str" cm="1">
        <f t="array" ref="AF105">IF(Table261424[[#This Row],[7]]="","",Table261424[[#This Row],[Weight]:[Weight]]-(Table261424[[#This Row],[Weight]:[Weight]]*((_xlfn.XMATCH(Table261424[[#This Row],[7]],Table261424[[#This Row],[1]:[11]],0))-1)/(COUNTA(Table261424[[#This Row],[1]:[11]])-COUNTBLANK(Table261424[[#This Row],[1]:[11]])-1)))</f>
        <v/>
      </c>
      <c r="AG105" s="30" t="str" cm="1">
        <f t="array" ref="AG105">IF(Table261424[[#This Row],[8]]="","",Table261424[[#This Row],[Weight]:[Weight]]-(Table261424[[#This Row],[Weight]:[Weight]]*((_xlfn.XMATCH(Table261424[[#This Row],[8]],Table261424[[#This Row],[1]:[11]],0))-1)/(COUNTA(Table261424[[#This Row],[1]:[11]])-COUNTBLANK(Table261424[[#This Row],[1]:[11]])-1)))</f>
        <v/>
      </c>
      <c r="AH105" s="39" t="str" cm="1">
        <f t="array" ref="AH105">IF(Table261424[[#This Row],[9]]="","",Table261424[[#This Row],[Weight]:[Weight]]-(Table261424[[#This Row],[Weight]:[Weight]]*((_xlfn.XMATCH(Table261424[[#This Row],[9]],Table261424[[#This Row],[1]:[11]],0))-1)/(COUNTA(Table261424[[#This Row],[1]:[11]])-COUNTBLANK(Table261424[[#This Row],[1]:[11]])-1)))</f>
        <v/>
      </c>
      <c r="AI105" s="39" t="str" cm="1">
        <f t="array" ref="AI105">IF(Table261424[[#This Row],[10]]="","",Table261424[[#This Row],[Weight]:[Weight]]-(Table261424[[#This Row],[Weight]:[Weight]]*((_xlfn.XMATCH(Table261424[[#This Row],[10]],Table261424[[#This Row],[1]:[11]],0))-1)/(COUNTA(Table261424[[#This Row],[1]:[11]])-COUNTBLANK(Table261424[[#This Row],[1]:[11]])-1)))</f>
        <v/>
      </c>
      <c r="AJ105" s="39" t="str" cm="1">
        <f t="array" ref="AJ105">IF(Table261424[[#This Row],[11]]="","",Table261424[[#This Row],[Weight]:[Weight]]-(Table261424[[#This Row],[Weight]:[Weight]]*((_xlfn.XMATCH(Table261424[[#This Row],[11]],Table261424[[#This Row],[1]:[11]],0))-1)/(COUNTA(Table261424[[#This Row],[1]:[11]])-COUNTBLANK(Table261424[[#This Row],[1]:[11]])-1)))</f>
        <v/>
      </c>
    </row>
    <row r="106" spans="1:36" s="167" customFormat="1" ht="72" x14ac:dyDescent="0.2">
      <c r="A106" s="173">
        <v>94</v>
      </c>
      <c r="B106" s="21" t="s">
        <v>310</v>
      </c>
      <c r="C106" s="178" t="s">
        <v>215</v>
      </c>
      <c r="D106" s="179"/>
      <c r="E106" s="28"/>
      <c r="F106" s="28"/>
      <c r="G106" s="159" t="s">
        <v>256</v>
      </c>
      <c r="H106" s="155" cm="1">
        <f t="array" ref="H106">_xlfn.IFS(G106="","",G106="No interest",0,G106="Nice to have",1,G106="Useful",2,G106="Important",3,G106="Very important",4,G106="Critical",5,G106="Show stopper",6)</f>
        <v>2</v>
      </c>
      <c r="I106" s="156">
        <f t="shared" si="9"/>
        <v>1.366120218579235E-4</v>
      </c>
      <c r="J106" s="157" t="s">
        <v>216</v>
      </c>
      <c r="K106" s="158" t="str" cm="1">
        <f t="array" ref="K106">_xlfn.TEXTJOIN(","&amp;CHAR(10),,TEXT(Table261424[[#This Row],[12]:[22]],"0,00%"))</f>
        <v>0,00%,
0,00%,
0,00%,
0,00%,
0,00%</v>
      </c>
      <c r="L106" s="175"/>
      <c r="M106" s="176" t="e">
        <f>I106-(I106*((MATCH(Table261424[[#This Row],[Evaluators Response (SELECT)]],Table261424[[#This Row],[1]:[11]],0)-1)/(COUNTA(Table261424[[#This Row],[1]:[11]])-COUNTBLANK(Table261424[[#This Row],[1]:[11]])-1)))</f>
        <v>#N/A</v>
      </c>
      <c r="N106" s="28"/>
      <c r="O106" s="39" t="str" cm="1">
        <f t="array" ref="O106">IFERROR(INDEX(_xlfn.UNIQUE(TRIM(_xlfn.TEXTSPLIT(Table261424[[#This Row],[Selection Options]:[Selection Options]],","))),,O$11),"")</f>
        <v>100%: Supported as delivered out of the box</v>
      </c>
      <c r="P106" s="39" t="str" cm="1">
        <f t="array" ref="P106">IFERROR(INDEX(_xlfn.UNIQUE(TRIM(_xlfn.TEXTSPLIT(Table261424[[#This Row],[Selection Options]:[Selection Options]],","))),,P$11),"")</f>
        <v xml:space="preserve">
75%: Supported via modifications (config)</v>
      </c>
      <c r="Q106" s="39" t="str" cm="1">
        <f t="array" ref="Q106">IFERROR(INDEX(_xlfn.UNIQUE(TRIM(_xlfn.TEXTSPLIT(Table261424[[#This Row],[Selection Options]:[Selection Options]],","))),,Q$11),"")</f>
        <v xml:space="preserve">
50%: Supported via a third party solution</v>
      </c>
      <c r="R106" s="39" t="str" cm="1">
        <f t="array" ref="R106">IFERROR(INDEX(_xlfn.UNIQUE(TRIM(_xlfn.TEXTSPLIT(Table261424[[#This Row],[Selection Options]:[Selection Options]],","))),,R$11),"")</f>
        <v xml:space="preserve">
25%: Supported via customisation (source code changes)</v>
      </c>
      <c r="S106" s="177" t="str" cm="1">
        <f t="array" ref="S106">IFERROR(INDEX(_xlfn.UNIQUE(TRIM(_xlfn.TEXTSPLIT(Table261424[[#This Row],[Selection Options]:[Selection Options]],","))),,S$11),"")</f>
        <v xml:space="preserve">
 0%: Not currently supported</v>
      </c>
      <c r="T106" s="39" t="str" cm="1">
        <f t="array" ref="T106">IFERROR(INDEX(_xlfn.UNIQUE(TRIM(_xlfn.TEXTSPLIT(Table261424[[#This Row],[Selection Options]:[Selection Options]],","))),,T$11),"")</f>
        <v/>
      </c>
      <c r="U106" s="39" t="str" cm="1">
        <f t="array" ref="U106">IFERROR(INDEX(_xlfn.UNIQUE(TRIM(_xlfn.TEXTSPLIT(Table261424[[#This Row],[Selection Options]:[Selection Options]],","))),,U$11),"")</f>
        <v/>
      </c>
      <c r="V106" s="39" t="str" cm="1">
        <f t="array" ref="V106">IFERROR(INDEX(_xlfn.UNIQUE(TRIM(_xlfn.TEXTSPLIT(Table261424[[#This Row],[Selection Options]:[Selection Options]],","))),,V$11),"")</f>
        <v/>
      </c>
      <c r="W106" s="39" t="str" cm="1">
        <f t="array" ref="W106">IFERROR(INDEX(_xlfn.UNIQUE(TRIM(_xlfn.TEXTSPLIT(Table261424[[#This Row],[Selection Options]:[Selection Options]],","))),,W$11),"")</f>
        <v/>
      </c>
      <c r="X106" s="39" t="str" cm="1">
        <f t="array" ref="X106">IFERROR(INDEX(_xlfn.UNIQUE(TRIM(_xlfn.TEXTSPLIT(Table261424[[#This Row],[Selection Options]:[Selection Options]],","))),,X$11),"")</f>
        <v/>
      </c>
      <c r="Y106" s="39" t="str" cm="1">
        <f t="array" ref="Y106">IFERROR(INDEX(_xlfn.UNIQUE(TRIM(_xlfn.TEXTSPLIT(Table261424[[#This Row],[Selection Options]:[Selection Options]],","))),,Y$11),"")</f>
        <v/>
      </c>
      <c r="Z106" s="30" cm="1">
        <f t="array" ref="Z106">IF(Table261424[[#This Row],[1]]="","",Table261424[[#This Row],[Weight]:[Weight]]-(Table261424[[#This Row],[Weight]:[Weight]]*((_xlfn.XMATCH(Table261424[[#This Row],[1]],Table261424[[#This Row],[1]:[11]],0))-1)/(COUNTA(Table261424[[#This Row],[1]:[11]])-COUNTBLANK(Table261424[[#This Row],[1]:[11]])-1)))</f>
        <v>1.366120218579235E-4</v>
      </c>
      <c r="AA106" s="30" cm="1">
        <f t="array" ref="AA106">IF(Table261424[[#This Row],[2]]="","",Table261424[[#This Row],[Weight]:[Weight]]-(Table261424[[#This Row],[Weight]:[Weight]]*((_xlfn.XMATCH(Table261424[[#This Row],[2]],Table261424[[#This Row],[1]:[11]],0))-1)/(COUNTA(Table261424[[#This Row],[1]:[11]])-COUNTBLANK(Table261424[[#This Row],[1]:[11]])-1)))</f>
        <v>1.0245901639344262E-4</v>
      </c>
      <c r="AB106" s="30" cm="1">
        <f t="array" ref="AB106">IF(Table261424[[#This Row],[3]]="","",Table261424[[#This Row],[Weight]:[Weight]]-(Table261424[[#This Row],[Weight]:[Weight]]*((_xlfn.XMATCH(Table261424[[#This Row],[3]],Table261424[[#This Row],[1]:[11]],0))-1)/(COUNTA(Table261424[[#This Row],[1]:[11]])-COUNTBLANK(Table261424[[#This Row],[1]:[11]])-1)))</f>
        <v>6.8306010928961749E-5</v>
      </c>
      <c r="AC106" s="30" cm="1">
        <f t="array" ref="AC106">IF(Table261424[[#This Row],[4]]="","",Table261424[[#This Row],[Weight]:[Weight]]-(Table261424[[#This Row],[Weight]:[Weight]]*((_xlfn.XMATCH(Table261424[[#This Row],[4]],Table261424[[#This Row],[1]:[11]],0))-1)/(COUNTA(Table261424[[#This Row],[1]:[11]])-COUNTBLANK(Table261424[[#This Row],[1]:[11]])-1)))</f>
        <v>3.4153005464480874E-5</v>
      </c>
      <c r="AD106" s="30" cm="1">
        <f t="array" ref="AD106">IF(Table261424[[#This Row],[5]]="","",Table261424[[#This Row],[Weight]:[Weight]]-(Table261424[[#This Row],[Weight]:[Weight]]*((_xlfn.XMATCH(Table261424[[#This Row],[5]],Table261424[[#This Row],[1]:[11]],0))-1)/(COUNTA(Table261424[[#This Row],[1]:[11]])-COUNTBLANK(Table261424[[#This Row],[1]:[11]])-1)))</f>
        <v>0</v>
      </c>
      <c r="AE106" s="30" t="str" cm="1">
        <f t="array" ref="AE106">IF(Table261424[[#This Row],[6]]="","",Table261424[[#This Row],[Weight]:[Weight]]-(Table261424[[#This Row],[Weight]:[Weight]]*((_xlfn.XMATCH(Table261424[[#This Row],[6]],Table261424[[#This Row],[1]:[11]],0))-1)/(COUNTA(Table261424[[#This Row],[1]:[11]])-COUNTBLANK(Table261424[[#This Row],[1]:[11]])-1)))</f>
        <v/>
      </c>
      <c r="AF106" s="30" t="str" cm="1">
        <f t="array" ref="AF106">IF(Table261424[[#This Row],[7]]="","",Table261424[[#This Row],[Weight]:[Weight]]-(Table261424[[#This Row],[Weight]:[Weight]]*((_xlfn.XMATCH(Table261424[[#This Row],[7]],Table261424[[#This Row],[1]:[11]],0))-1)/(COUNTA(Table261424[[#This Row],[1]:[11]])-COUNTBLANK(Table261424[[#This Row],[1]:[11]])-1)))</f>
        <v/>
      </c>
      <c r="AG106" s="30" t="str" cm="1">
        <f t="array" ref="AG106">IF(Table261424[[#This Row],[8]]="","",Table261424[[#This Row],[Weight]:[Weight]]-(Table261424[[#This Row],[Weight]:[Weight]]*((_xlfn.XMATCH(Table261424[[#This Row],[8]],Table261424[[#This Row],[1]:[11]],0))-1)/(COUNTA(Table261424[[#This Row],[1]:[11]])-COUNTBLANK(Table261424[[#This Row],[1]:[11]])-1)))</f>
        <v/>
      </c>
      <c r="AH106" s="39" t="str" cm="1">
        <f t="array" ref="AH106">IF(Table261424[[#This Row],[9]]="","",Table261424[[#This Row],[Weight]:[Weight]]-(Table261424[[#This Row],[Weight]:[Weight]]*((_xlfn.XMATCH(Table261424[[#This Row],[9]],Table261424[[#This Row],[1]:[11]],0))-1)/(COUNTA(Table261424[[#This Row],[1]:[11]])-COUNTBLANK(Table261424[[#This Row],[1]:[11]])-1)))</f>
        <v/>
      </c>
      <c r="AI106" s="39" t="str" cm="1">
        <f t="array" ref="AI106">IF(Table261424[[#This Row],[10]]="","",Table261424[[#This Row],[Weight]:[Weight]]-(Table261424[[#This Row],[Weight]:[Weight]]*((_xlfn.XMATCH(Table261424[[#This Row],[10]],Table261424[[#This Row],[1]:[11]],0))-1)/(COUNTA(Table261424[[#This Row],[1]:[11]])-COUNTBLANK(Table261424[[#This Row],[1]:[11]])-1)))</f>
        <v/>
      </c>
      <c r="AJ106" s="39" t="str" cm="1">
        <f t="array" ref="AJ106">IF(Table261424[[#This Row],[11]]="","",Table261424[[#This Row],[Weight]:[Weight]]-(Table261424[[#This Row],[Weight]:[Weight]]*((_xlfn.XMATCH(Table261424[[#This Row],[11]],Table261424[[#This Row],[1]:[11]],0))-1)/(COUNTA(Table261424[[#This Row],[1]:[11]])-COUNTBLANK(Table261424[[#This Row],[1]:[11]])-1)))</f>
        <v/>
      </c>
    </row>
    <row r="107" spans="1:36" s="167" customFormat="1" ht="85.5" customHeight="1" x14ac:dyDescent="0.2">
      <c r="A107" s="173">
        <v>95</v>
      </c>
      <c r="B107" s="21" t="s">
        <v>311</v>
      </c>
      <c r="C107" s="178" t="s">
        <v>215</v>
      </c>
      <c r="D107" s="179"/>
      <c r="E107" s="28"/>
      <c r="F107" s="28"/>
      <c r="G107" s="159" t="s">
        <v>60</v>
      </c>
      <c r="H107" s="155" cm="1">
        <f t="array" ref="H107">_xlfn.IFS(G107="","",G107="No interest",0,G107="Nice to have",1,G107="Useful",2,G107="Important",3,G107="Very important",4,G107="Critical",5,G107="Show stopper",6)</f>
        <v>6</v>
      </c>
      <c r="I107" s="156">
        <f t="shared" si="9"/>
        <v>4.0983606557377049E-4</v>
      </c>
      <c r="J107" s="157" t="s">
        <v>216</v>
      </c>
      <c r="K107" s="158" t="str" cm="1">
        <f t="array" ref="K107">_xlfn.TEXTJOIN(","&amp;CHAR(10),,TEXT(Table261424[[#This Row],[12]:[22]],"0,00%"))</f>
        <v>0,00%,
0,00%,
0,00%,
0,00%,
0,00%</v>
      </c>
      <c r="L107" s="175"/>
      <c r="M107" s="176" t="e">
        <f>I107-(I107*((MATCH(Table261424[[#This Row],[Evaluators Response (SELECT)]],Table261424[[#This Row],[1]:[11]],0)-1)/(COUNTA(Table261424[[#This Row],[1]:[11]])-COUNTBLANK(Table261424[[#This Row],[1]:[11]])-1)))</f>
        <v>#N/A</v>
      </c>
      <c r="N107" s="28"/>
      <c r="O107" s="39" t="str" cm="1">
        <f t="array" ref="O107">IFERROR(INDEX(_xlfn.UNIQUE(TRIM(_xlfn.TEXTSPLIT(Table261424[[#This Row],[Selection Options]:[Selection Options]],","))),,O$11),"")</f>
        <v>100%: Supported as delivered out of the box</v>
      </c>
      <c r="P107" s="39" t="str" cm="1">
        <f t="array" ref="P107">IFERROR(INDEX(_xlfn.UNIQUE(TRIM(_xlfn.TEXTSPLIT(Table261424[[#This Row],[Selection Options]:[Selection Options]],","))),,P$11),"")</f>
        <v xml:space="preserve">
75%: Supported via modifications (config)</v>
      </c>
      <c r="Q107" s="39" t="str" cm="1">
        <f t="array" ref="Q107">IFERROR(INDEX(_xlfn.UNIQUE(TRIM(_xlfn.TEXTSPLIT(Table261424[[#This Row],[Selection Options]:[Selection Options]],","))),,Q$11),"")</f>
        <v xml:space="preserve">
50%: Supported via a third party solution</v>
      </c>
      <c r="R107" s="39" t="str" cm="1">
        <f t="array" ref="R107">IFERROR(INDEX(_xlfn.UNIQUE(TRIM(_xlfn.TEXTSPLIT(Table261424[[#This Row],[Selection Options]:[Selection Options]],","))),,R$11),"")</f>
        <v xml:space="preserve">
25%: Supported via customisation (source code changes)</v>
      </c>
      <c r="S107" s="177" t="str" cm="1">
        <f t="array" ref="S107">IFERROR(INDEX(_xlfn.UNIQUE(TRIM(_xlfn.TEXTSPLIT(Table261424[[#This Row],[Selection Options]:[Selection Options]],","))),,S$11),"")</f>
        <v xml:space="preserve">
 0%: Not currently supported</v>
      </c>
      <c r="T107" s="39" t="str" cm="1">
        <f t="array" ref="T107">IFERROR(INDEX(_xlfn.UNIQUE(TRIM(_xlfn.TEXTSPLIT(Table261424[[#This Row],[Selection Options]:[Selection Options]],","))),,T$11),"")</f>
        <v/>
      </c>
      <c r="U107" s="39" t="str" cm="1">
        <f t="array" ref="U107">IFERROR(INDEX(_xlfn.UNIQUE(TRIM(_xlfn.TEXTSPLIT(Table261424[[#This Row],[Selection Options]:[Selection Options]],","))),,U$11),"")</f>
        <v/>
      </c>
      <c r="V107" s="39" t="str" cm="1">
        <f t="array" ref="V107">IFERROR(INDEX(_xlfn.UNIQUE(TRIM(_xlfn.TEXTSPLIT(Table261424[[#This Row],[Selection Options]:[Selection Options]],","))),,V$11),"")</f>
        <v/>
      </c>
      <c r="W107" s="39" t="str" cm="1">
        <f t="array" ref="W107">IFERROR(INDEX(_xlfn.UNIQUE(TRIM(_xlfn.TEXTSPLIT(Table261424[[#This Row],[Selection Options]:[Selection Options]],","))),,W$11),"")</f>
        <v/>
      </c>
      <c r="X107" s="39" t="str" cm="1">
        <f t="array" ref="X107">IFERROR(INDEX(_xlfn.UNIQUE(TRIM(_xlfn.TEXTSPLIT(Table261424[[#This Row],[Selection Options]:[Selection Options]],","))),,X$11),"")</f>
        <v/>
      </c>
      <c r="Y107" s="39" t="str" cm="1">
        <f t="array" ref="Y107">IFERROR(INDEX(_xlfn.UNIQUE(TRIM(_xlfn.TEXTSPLIT(Table261424[[#This Row],[Selection Options]:[Selection Options]],","))),,Y$11),"")</f>
        <v/>
      </c>
      <c r="Z107" s="30" cm="1">
        <f t="array" ref="Z107">IF(Table261424[[#This Row],[1]]="","",Table261424[[#This Row],[Weight]:[Weight]]-(Table261424[[#This Row],[Weight]:[Weight]]*((_xlfn.XMATCH(Table261424[[#This Row],[1]],Table261424[[#This Row],[1]:[11]],0))-1)/(COUNTA(Table261424[[#This Row],[1]:[11]])-COUNTBLANK(Table261424[[#This Row],[1]:[11]])-1)))</f>
        <v>4.0983606557377049E-4</v>
      </c>
      <c r="AA107" s="30" cm="1">
        <f t="array" ref="AA107">IF(Table261424[[#This Row],[2]]="","",Table261424[[#This Row],[Weight]:[Weight]]-(Table261424[[#This Row],[Weight]:[Weight]]*((_xlfn.XMATCH(Table261424[[#This Row],[2]],Table261424[[#This Row],[1]:[11]],0))-1)/(COUNTA(Table261424[[#This Row],[1]:[11]])-COUNTBLANK(Table261424[[#This Row],[1]:[11]])-1)))</f>
        <v>3.0737704918032784E-4</v>
      </c>
      <c r="AB107" s="30" cm="1">
        <f t="array" ref="AB107">IF(Table261424[[#This Row],[3]]="","",Table261424[[#This Row],[Weight]:[Weight]]-(Table261424[[#This Row],[Weight]:[Weight]]*((_xlfn.XMATCH(Table261424[[#This Row],[3]],Table261424[[#This Row],[1]:[11]],0))-1)/(COUNTA(Table261424[[#This Row],[1]:[11]])-COUNTBLANK(Table261424[[#This Row],[1]:[11]])-1)))</f>
        <v>2.0491803278688525E-4</v>
      </c>
      <c r="AC107" s="30" cm="1">
        <f t="array" ref="AC107">IF(Table261424[[#This Row],[4]]="","",Table261424[[#This Row],[Weight]:[Weight]]-(Table261424[[#This Row],[Weight]:[Weight]]*((_xlfn.XMATCH(Table261424[[#This Row],[4]],Table261424[[#This Row],[1]:[11]],0))-1)/(COUNTA(Table261424[[#This Row],[1]:[11]])-COUNTBLANK(Table261424[[#This Row],[1]:[11]])-1)))</f>
        <v>1.0245901639344265E-4</v>
      </c>
      <c r="AD107" s="30" cm="1">
        <f t="array" ref="AD107">IF(Table261424[[#This Row],[5]]="","",Table261424[[#This Row],[Weight]:[Weight]]-(Table261424[[#This Row],[Weight]:[Weight]]*((_xlfn.XMATCH(Table261424[[#This Row],[5]],Table261424[[#This Row],[1]:[11]],0))-1)/(COUNTA(Table261424[[#This Row],[1]:[11]])-COUNTBLANK(Table261424[[#This Row],[1]:[11]])-1)))</f>
        <v>0</v>
      </c>
      <c r="AE107" s="30" t="str" cm="1">
        <f t="array" ref="AE107">IF(Table261424[[#This Row],[6]]="","",Table261424[[#This Row],[Weight]:[Weight]]-(Table261424[[#This Row],[Weight]:[Weight]]*((_xlfn.XMATCH(Table261424[[#This Row],[6]],Table261424[[#This Row],[1]:[11]],0))-1)/(COUNTA(Table261424[[#This Row],[1]:[11]])-COUNTBLANK(Table261424[[#This Row],[1]:[11]])-1)))</f>
        <v/>
      </c>
      <c r="AF107" s="30" t="str" cm="1">
        <f t="array" ref="AF107">IF(Table261424[[#This Row],[7]]="","",Table261424[[#This Row],[Weight]:[Weight]]-(Table261424[[#This Row],[Weight]:[Weight]]*((_xlfn.XMATCH(Table261424[[#This Row],[7]],Table261424[[#This Row],[1]:[11]],0))-1)/(COUNTA(Table261424[[#This Row],[1]:[11]])-COUNTBLANK(Table261424[[#This Row],[1]:[11]])-1)))</f>
        <v/>
      </c>
      <c r="AG107" s="30" t="str" cm="1">
        <f t="array" ref="AG107">IF(Table261424[[#This Row],[8]]="","",Table261424[[#This Row],[Weight]:[Weight]]-(Table261424[[#This Row],[Weight]:[Weight]]*((_xlfn.XMATCH(Table261424[[#This Row],[8]],Table261424[[#This Row],[1]:[11]],0))-1)/(COUNTA(Table261424[[#This Row],[1]:[11]])-COUNTBLANK(Table261424[[#This Row],[1]:[11]])-1)))</f>
        <v/>
      </c>
      <c r="AH107" s="39" t="str" cm="1">
        <f t="array" ref="AH107">IF(Table261424[[#This Row],[9]]="","",Table261424[[#This Row],[Weight]:[Weight]]-(Table261424[[#This Row],[Weight]:[Weight]]*((_xlfn.XMATCH(Table261424[[#This Row],[9]],Table261424[[#This Row],[1]:[11]],0))-1)/(COUNTA(Table261424[[#This Row],[1]:[11]])-COUNTBLANK(Table261424[[#This Row],[1]:[11]])-1)))</f>
        <v/>
      </c>
      <c r="AI107" s="39" t="str" cm="1">
        <f t="array" ref="AI107">IF(Table261424[[#This Row],[10]]="","",Table261424[[#This Row],[Weight]:[Weight]]-(Table261424[[#This Row],[Weight]:[Weight]]*((_xlfn.XMATCH(Table261424[[#This Row],[10]],Table261424[[#This Row],[1]:[11]],0))-1)/(COUNTA(Table261424[[#This Row],[1]:[11]])-COUNTBLANK(Table261424[[#This Row],[1]:[11]])-1)))</f>
        <v/>
      </c>
      <c r="AJ107" s="39" t="str" cm="1">
        <f t="array" ref="AJ107">IF(Table261424[[#This Row],[11]]="","",Table261424[[#This Row],[Weight]:[Weight]]-(Table261424[[#This Row],[Weight]:[Weight]]*((_xlfn.XMATCH(Table261424[[#This Row],[11]],Table261424[[#This Row],[1]:[11]],0))-1)/(COUNTA(Table261424[[#This Row],[1]:[11]])-COUNTBLANK(Table261424[[#This Row],[1]:[11]])-1)))</f>
        <v/>
      </c>
    </row>
    <row r="108" spans="1:36" s="167" customFormat="1" ht="72" x14ac:dyDescent="0.2">
      <c r="A108" s="173">
        <v>96</v>
      </c>
      <c r="B108" s="21" t="s">
        <v>312</v>
      </c>
      <c r="C108" s="178" t="s">
        <v>215</v>
      </c>
      <c r="D108" s="179"/>
      <c r="E108" s="28"/>
      <c r="F108" s="28"/>
      <c r="G108" s="159" t="s">
        <v>60</v>
      </c>
      <c r="H108" s="155" cm="1">
        <f t="array" ref="H108">_xlfn.IFS(G108="","",G108="No interest",0,G108="Nice to have",1,G108="Useful",2,G108="Important",3,G108="Very important",4,G108="Critical",5,G108="Show stopper",6)</f>
        <v>6</v>
      </c>
      <c r="I108" s="156">
        <f t="shared" si="9"/>
        <v>4.0983606557377049E-4</v>
      </c>
      <c r="J108" s="157" t="s">
        <v>216</v>
      </c>
      <c r="K108" s="158" t="str" cm="1">
        <f t="array" ref="K108">_xlfn.TEXTJOIN(","&amp;CHAR(10),,TEXT(Table261424[[#This Row],[12]:[22]],"0,00%"))</f>
        <v>0,00%,
0,00%,
0,00%,
0,00%,
0,00%</v>
      </c>
      <c r="L108" s="175"/>
      <c r="M108" s="176" t="e">
        <f>I108-(I108*((MATCH(Table261424[[#This Row],[Evaluators Response (SELECT)]],Table261424[[#This Row],[1]:[11]],0)-1)/(COUNTA(Table261424[[#This Row],[1]:[11]])-COUNTBLANK(Table261424[[#This Row],[1]:[11]])-1)))</f>
        <v>#N/A</v>
      </c>
      <c r="N108" s="28"/>
      <c r="O108" s="39" t="str" cm="1">
        <f t="array" ref="O108">IFERROR(INDEX(_xlfn.UNIQUE(TRIM(_xlfn.TEXTSPLIT(Table261424[[#This Row],[Selection Options]:[Selection Options]],","))),,O$11),"")</f>
        <v>100%: Supported as delivered out of the box</v>
      </c>
      <c r="P108" s="39" t="str" cm="1">
        <f t="array" ref="P108">IFERROR(INDEX(_xlfn.UNIQUE(TRIM(_xlfn.TEXTSPLIT(Table261424[[#This Row],[Selection Options]:[Selection Options]],","))),,P$11),"")</f>
        <v xml:space="preserve">
75%: Supported via modifications (config)</v>
      </c>
      <c r="Q108" s="39" t="str" cm="1">
        <f t="array" ref="Q108">IFERROR(INDEX(_xlfn.UNIQUE(TRIM(_xlfn.TEXTSPLIT(Table261424[[#This Row],[Selection Options]:[Selection Options]],","))),,Q$11),"")</f>
        <v xml:space="preserve">
50%: Supported via a third party solution</v>
      </c>
      <c r="R108" s="39" t="str" cm="1">
        <f t="array" ref="R108">IFERROR(INDEX(_xlfn.UNIQUE(TRIM(_xlfn.TEXTSPLIT(Table261424[[#This Row],[Selection Options]:[Selection Options]],","))),,R$11),"")</f>
        <v xml:space="preserve">
25%: Supported via customisation (source code changes)</v>
      </c>
      <c r="S108" s="177" t="str" cm="1">
        <f t="array" ref="S108">IFERROR(INDEX(_xlfn.UNIQUE(TRIM(_xlfn.TEXTSPLIT(Table261424[[#This Row],[Selection Options]:[Selection Options]],","))),,S$11),"")</f>
        <v xml:space="preserve">
 0%: Not currently supported</v>
      </c>
      <c r="T108" s="39" t="str" cm="1">
        <f t="array" ref="T108">IFERROR(INDEX(_xlfn.UNIQUE(TRIM(_xlfn.TEXTSPLIT(Table261424[[#This Row],[Selection Options]:[Selection Options]],","))),,T$11),"")</f>
        <v/>
      </c>
      <c r="U108" s="39" t="str" cm="1">
        <f t="array" ref="U108">IFERROR(INDEX(_xlfn.UNIQUE(TRIM(_xlfn.TEXTSPLIT(Table261424[[#This Row],[Selection Options]:[Selection Options]],","))),,U$11),"")</f>
        <v/>
      </c>
      <c r="V108" s="39" t="str" cm="1">
        <f t="array" ref="V108">IFERROR(INDEX(_xlfn.UNIQUE(TRIM(_xlfn.TEXTSPLIT(Table261424[[#This Row],[Selection Options]:[Selection Options]],","))),,V$11),"")</f>
        <v/>
      </c>
      <c r="W108" s="39" t="str" cm="1">
        <f t="array" ref="W108">IFERROR(INDEX(_xlfn.UNIQUE(TRIM(_xlfn.TEXTSPLIT(Table261424[[#This Row],[Selection Options]:[Selection Options]],","))),,W$11),"")</f>
        <v/>
      </c>
      <c r="X108" s="39" t="str" cm="1">
        <f t="array" ref="X108">IFERROR(INDEX(_xlfn.UNIQUE(TRIM(_xlfn.TEXTSPLIT(Table261424[[#This Row],[Selection Options]:[Selection Options]],","))),,X$11),"")</f>
        <v/>
      </c>
      <c r="Y108" s="39" t="str" cm="1">
        <f t="array" ref="Y108">IFERROR(INDEX(_xlfn.UNIQUE(TRIM(_xlfn.TEXTSPLIT(Table261424[[#This Row],[Selection Options]:[Selection Options]],","))),,Y$11),"")</f>
        <v/>
      </c>
      <c r="Z108" s="30" cm="1">
        <f t="array" ref="Z108">IF(Table261424[[#This Row],[1]]="","",Table261424[[#This Row],[Weight]:[Weight]]-(Table261424[[#This Row],[Weight]:[Weight]]*((_xlfn.XMATCH(Table261424[[#This Row],[1]],Table261424[[#This Row],[1]:[11]],0))-1)/(COUNTA(Table261424[[#This Row],[1]:[11]])-COUNTBLANK(Table261424[[#This Row],[1]:[11]])-1)))</f>
        <v>4.0983606557377049E-4</v>
      </c>
      <c r="AA108" s="30" cm="1">
        <f t="array" ref="AA108">IF(Table261424[[#This Row],[2]]="","",Table261424[[#This Row],[Weight]:[Weight]]-(Table261424[[#This Row],[Weight]:[Weight]]*((_xlfn.XMATCH(Table261424[[#This Row],[2]],Table261424[[#This Row],[1]:[11]],0))-1)/(COUNTA(Table261424[[#This Row],[1]:[11]])-COUNTBLANK(Table261424[[#This Row],[1]:[11]])-1)))</f>
        <v>3.0737704918032784E-4</v>
      </c>
      <c r="AB108" s="30" cm="1">
        <f t="array" ref="AB108">IF(Table261424[[#This Row],[3]]="","",Table261424[[#This Row],[Weight]:[Weight]]-(Table261424[[#This Row],[Weight]:[Weight]]*((_xlfn.XMATCH(Table261424[[#This Row],[3]],Table261424[[#This Row],[1]:[11]],0))-1)/(COUNTA(Table261424[[#This Row],[1]:[11]])-COUNTBLANK(Table261424[[#This Row],[1]:[11]])-1)))</f>
        <v>2.0491803278688525E-4</v>
      </c>
      <c r="AC108" s="30" cm="1">
        <f t="array" ref="AC108">IF(Table261424[[#This Row],[4]]="","",Table261424[[#This Row],[Weight]:[Weight]]-(Table261424[[#This Row],[Weight]:[Weight]]*((_xlfn.XMATCH(Table261424[[#This Row],[4]],Table261424[[#This Row],[1]:[11]],0))-1)/(COUNTA(Table261424[[#This Row],[1]:[11]])-COUNTBLANK(Table261424[[#This Row],[1]:[11]])-1)))</f>
        <v>1.0245901639344265E-4</v>
      </c>
      <c r="AD108" s="30" cm="1">
        <f t="array" ref="AD108">IF(Table261424[[#This Row],[5]]="","",Table261424[[#This Row],[Weight]:[Weight]]-(Table261424[[#This Row],[Weight]:[Weight]]*((_xlfn.XMATCH(Table261424[[#This Row],[5]],Table261424[[#This Row],[1]:[11]],0))-1)/(COUNTA(Table261424[[#This Row],[1]:[11]])-COUNTBLANK(Table261424[[#This Row],[1]:[11]])-1)))</f>
        <v>0</v>
      </c>
      <c r="AE108" s="30" t="str" cm="1">
        <f t="array" ref="AE108">IF(Table261424[[#This Row],[6]]="","",Table261424[[#This Row],[Weight]:[Weight]]-(Table261424[[#This Row],[Weight]:[Weight]]*((_xlfn.XMATCH(Table261424[[#This Row],[6]],Table261424[[#This Row],[1]:[11]],0))-1)/(COUNTA(Table261424[[#This Row],[1]:[11]])-COUNTBLANK(Table261424[[#This Row],[1]:[11]])-1)))</f>
        <v/>
      </c>
      <c r="AF108" s="30" t="str" cm="1">
        <f t="array" ref="AF108">IF(Table261424[[#This Row],[7]]="","",Table261424[[#This Row],[Weight]:[Weight]]-(Table261424[[#This Row],[Weight]:[Weight]]*((_xlfn.XMATCH(Table261424[[#This Row],[7]],Table261424[[#This Row],[1]:[11]],0))-1)/(COUNTA(Table261424[[#This Row],[1]:[11]])-COUNTBLANK(Table261424[[#This Row],[1]:[11]])-1)))</f>
        <v/>
      </c>
      <c r="AG108" s="30" t="str" cm="1">
        <f t="array" ref="AG108">IF(Table261424[[#This Row],[8]]="","",Table261424[[#This Row],[Weight]:[Weight]]-(Table261424[[#This Row],[Weight]:[Weight]]*((_xlfn.XMATCH(Table261424[[#This Row],[8]],Table261424[[#This Row],[1]:[11]],0))-1)/(COUNTA(Table261424[[#This Row],[1]:[11]])-COUNTBLANK(Table261424[[#This Row],[1]:[11]])-1)))</f>
        <v/>
      </c>
      <c r="AH108" s="39" t="str" cm="1">
        <f t="array" ref="AH108">IF(Table261424[[#This Row],[9]]="","",Table261424[[#This Row],[Weight]:[Weight]]-(Table261424[[#This Row],[Weight]:[Weight]]*((_xlfn.XMATCH(Table261424[[#This Row],[9]],Table261424[[#This Row],[1]:[11]],0))-1)/(COUNTA(Table261424[[#This Row],[1]:[11]])-COUNTBLANK(Table261424[[#This Row],[1]:[11]])-1)))</f>
        <v/>
      </c>
      <c r="AI108" s="39" t="str" cm="1">
        <f t="array" ref="AI108">IF(Table261424[[#This Row],[10]]="","",Table261424[[#This Row],[Weight]:[Weight]]-(Table261424[[#This Row],[Weight]:[Weight]]*((_xlfn.XMATCH(Table261424[[#This Row],[10]],Table261424[[#This Row],[1]:[11]],0))-1)/(COUNTA(Table261424[[#This Row],[1]:[11]])-COUNTBLANK(Table261424[[#This Row],[1]:[11]])-1)))</f>
        <v/>
      </c>
      <c r="AJ108" s="39" t="str" cm="1">
        <f t="array" ref="AJ108">IF(Table261424[[#This Row],[11]]="","",Table261424[[#This Row],[Weight]:[Weight]]-(Table261424[[#This Row],[Weight]:[Weight]]*((_xlfn.XMATCH(Table261424[[#This Row],[11]],Table261424[[#This Row],[1]:[11]],0))-1)/(COUNTA(Table261424[[#This Row],[1]:[11]])-COUNTBLANK(Table261424[[#This Row],[1]:[11]])-1)))</f>
        <v/>
      </c>
    </row>
    <row r="109" spans="1:36" s="167" customFormat="1" ht="108" x14ac:dyDescent="0.2">
      <c r="A109" s="173">
        <v>97</v>
      </c>
      <c r="B109" s="21" t="s">
        <v>313</v>
      </c>
      <c r="C109" s="178" t="s">
        <v>215</v>
      </c>
      <c r="D109" s="179"/>
      <c r="E109" s="28"/>
      <c r="F109" s="28"/>
      <c r="G109" s="159" t="s">
        <v>188</v>
      </c>
      <c r="H109" s="155" cm="1">
        <f t="array" ref="H109">_xlfn.IFS(G109="","",G109="No interest",0,G109="Nice to have",1,G109="Useful",2,G109="Important",3,G109="Very important",4,G109="Critical",5,G109="Show stopper",6)</f>
        <v>5</v>
      </c>
      <c r="I109" s="156">
        <f t="shared" si="9"/>
        <v>3.4153005464480874E-4</v>
      </c>
      <c r="J109" s="157" t="s">
        <v>216</v>
      </c>
      <c r="K109" s="158" t="str" cm="1">
        <f t="array" ref="K109">_xlfn.TEXTJOIN(","&amp;CHAR(10),,TEXT(Table261424[[#This Row],[12]:[22]],"0,00%"))</f>
        <v>0,00%,
0,00%,
0,00%,
0,00%,
0,00%</v>
      </c>
      <c r="L109" s="175"/>
      <c r="M109" s="176" t="e">
        <f>I109-(I109*((MATCH(Table261424[[#This Row],[Evaluators Response (SELECT)]],Table261424[[#This Row],[1]:[11]],0)-1)/(COUNTA(Table261424[[#This Row],[1]:[11]])-COUNTBLANK(Table261424[[#This Row],[1]:[11]])-1)))</f>
        <v>#N/A</v>
      </c>
      <c r="N109" s="28"/>
      <c r="O109" s="39" t="str" cm="1">
        <f t="array" ref="O109">IFERROR(INDEX(_xlfn.UNIQUE(TRIM(_xlfn.TEXTSPLIT(Table261424[[#This Row],[Selection Options]:[Selection Options]],","))),,O$11),"")</f>
        <v>100%: Supported as delivered out of the box</v>
      </c>
      <c r="P109" s="39" t="str" cm="1">
        <f t="array" ref="P109">IFERROR(INDEX(_xlfn.UNIQUE(TRIM(_xlfn.TEXTSPLIT(Table261424[[#This Row],[Selection Options]:[Selection Options]],","))),,P$11),"")</f>
        <v xml:space="preserve">
75%: Supported via modifications (config)</v>
      </c>
      <c r="Q109" s="39" t="str" cm="1">
        <f t="array" ref="Q109">IFERROR(INDEX(_xlfn.UNIQUE(TRIM(_xlfn.TEXTSPLIT(Table261424[[#This Row],[Selection Options]:[Selection Options]],","))),,Q$11),"")</f>
        <v xml:space="preserve">
50%: Supported via a third party solution</v>
      </c>
      <c r="R109" s="39" t="str" cm="1">
        <f t="array" ref="R109">IFERROR(INDEX(_xlfn.UNIQUE(TRIM(_xlfn.TEXTSPLIT(Table261424[[#This Row],[Selection Options]:[Selection Options]],","))),,R$11),"")</f>
        <v xml:space="preserve">
25%: Supported via customisation (source code changes)</v>
      </c>
      <c r="S109" s="177" t="str" cm="1">
        <f t="array" ref="S109">IFERROR(INDEX(_xlfn.UNIQUE(TRIM(_xlfn.TEXTSPLIT(Table261424[[#This Row],[Selection Options]:[Selection Options]],","))),,S$11),"")</f>
        <v xml:space="preserve">
 0%: Not currently supported</v>
      </c>
      <c r="T109" s="39" t="str" cm="1">
        <f t="array" ref="T109">IFERROR(INDEX(_xlfn.UNIQUE(TRIM(_xlfn.TEXTSPLIT(Table261424[[#This Row],[Selection Options]:[Selection Options]],","))),,T$11),"")</f>
        <v/>
      </c>
      <c r="U109" s="39" t="str" cm="1">
        <f t="array" ref="U109">IFERROR(INDEX(_xlfn.UNIQUE(TRIM(_xlfn.TEXTSPLIT(Table261424[[#This Row],[Selection Options]:[Selection Options]],","))),,U$11),"")</f>
        <v/>
      </c>
      <c r="V109" s="39" t="str" cm="1">
        <f t="array" ref="V109">IFERROR(INDEX(_xlfn.UNIQUE(TRIM(_xlfn.TEXTSPLIT(Table261424[[#This Row],[Selection Options]:[Selection Options]],","))),,V$11),"")</f>
        <v/>
      </c>
      <c r="W109" s="39" t="str" cm="1">
        <f t="array" ref="W109">IFERROR(INDEX(_xlfn.UNIQUE(TRIM(_xlfn.TEXTSPLIT(Table261424[[#This Row],[Selection Options]:[Selection Options]],","))),,W$11),"")</f>
        <v/>
      </c>
      <c r="X109" s="39" t="str" cm="1">
        <f t="array" ref="X109">IFERROR(INDEX(_xlfn.UNIQUE(TRIM(_xlfn.TEXTSPLIT(Table261424[[#This Row],[Selection Options]:[Selection Options]],","))),,X$11),"")</f>
        <v/>
      </c>
      <c r="Y109" s="39" t="str" cm="1">
        <f t="array" ref="Y109">IFERROR(INDEX(_xlfn.UNIQUE(TRIM(_xlfn.TEXTSPLIT(Table261424[[#This Row],[Selection Options]:[Selection Options]],","))),,Y$11),"")</f>
        <v/>
      </c>
      <c r="Z109" s="30" cm="1">
        <f t="array" ref="Z109">IF(Table261424[[#This Row],[1]]="","",Table261424[[#This Row],[Weight]:[Weight]]-(Table261424[[#This Row],[Weight]:[Weight]]*((_xlfn.XMATCH(Table261424[[#This Row],[1]],Table261424[[#This Row],[1]:[11]],0))-1)/(COUNTA(Table261424[[#This Row],[1]:[11]])-COUNTBLANK(Table261424[[#This Row],[1]:[11]])-1)))</f>
        <v>3.4153005464480874E-4</v>
      </c>
      <c r="AA109" s="30" cm="1">
        <f t="array" ref="AA109">IF(Table261424[[#This Row],[2]]="","",Table261424[[#This Row],[Weight]:[Weight]]-(Table261424[[#This Row],[Weight]:[Weight]]*((_xlfn.XMATCH(Table261424[[#This Row],[2]],Table261424[[#This Row],[1]:[11]],0))-1)/(COUNTA(Table261424[[#This Row],[1]:[11]])-COUNTBLANK(Table261424[[#This Row],[1]:[11]])-1)))</f>
        <v>2.5614754098360657E-4</v>
      </c>
      <c r="AB109" s="30" cm="1">
        <f t="array" ref="AB109">IF(Table261424[[#This Row],[3]]="","",Table261424[[#This Row],[Weight]:[Weight]]-(Table261424[[#This Row],[Weight]:[Weight]]*((_xlfn.XMATCH(Table261424[[#This Row],[3]],Table261424[[#This Row],[1]:[11]],0))-1)/(COUNTA(Table261424[[#This Row],[1]:[11]])-COUNTBLANK(Table261424[[#This Row],[1]:[11]])-1)))</f>
        <v>1.7076502732240437E-4</v>
      </c>
      <c r="AC109" s="30" cm="1">
        <f t="array" ref="AC109">IF(Table261424[[#This Row],[4]]="","",Table261424[[#This Row],[Weight]:[Weight]]-(Table261424[[#This Row],[Weight]:[Weight]]*((_xlfn.XMATCH(Table261424[[#This Row],[4]],Table261424[[#This Row],[1]:[11]],0))-1)/(COUNTA(Table261424[[#This Row],[1]:[11]])-COUNTBLANK(Table261424[[#This Row],[1]:[11]])-1)))</f>
        <v>8.5382513661202172E-5</v>
      </c>
      <c r="AD109" s="30" cm="1">
        <f t="array" ref="AD109">IF(Table261424[[#This Row],[5]]="","",Table261424[[#This Row],[Weight]:[Weight]]-(Table261424[[#This Row],[Weight]:[Weight]]*((_xlfn.XMATCH(Table261424[[#This Row],[5]],Table261424[[#This Row],[1]:[11]],0))-1)/(COUNTA(Table261424[[#This Row],[1]:[11]])-COUNTBLANK(Table261424[[#This Row],[1]:[11]])-1)))</f>
        <v>0</v>
      </c>
      <c r="AE109" s="30" t="str" cm="1">
        <f t="array" ref="AE109">IF(Table261424[[#This Row],[6]]="","",Table261424[[#This Row],[Weight]:[Weight]]-(Table261424[[#This Row],[Weight]:[Weight]]*((_xlfn.XMATCH(Table261424[[#This Row],[6]],Table261424[[#This Row],[1]:[11]],0))-1)/(COUNTA(Table261424[[#This Row],[1]:[11]])-COUNTBLANK(Table261424[[#This Row],[1]:[11]])-1)))</f>
        <v/>
      </c>
      <c r="AF109" s="30" t="str" cm="1">
        <f t="array" ref="AF109">IF(Table261424[[#This Row],[7]]="","",Table261424[[#This Row],[Weight]:[Weight]]-(Table261424[[#This Row],[Weight]:[Weight]]*((_xlfn.XMATCH(Table261424[[#This Row],[7]],Table261424[[#This Row],[1]:[11]],0))-1)/(COUNTA(Table261424[[#This Row],[1]:[11]])-COUNTBLANK(Table261424[[#This Row],[1]:[11]])-1)))</f>
        <v/>
      </c>
      <c r="AG109" s="30" t="str" cm="1">
        <f t="array" ref="AG109">IF(Table261424[[#This Row],[8]]="","",Table261424[[#This Row],[Weight]:[Weight]]-(Table261424[[#This Row],[Weight]:[Weight]]*((_xlfn.XMATCH(Table261424[[#This Row],[8]],Table261424[[#This Row],[1]:[11]],0))-1)/(COUNTA(Table261424[[#This Row],[1]:[11]])-COUNTBLANK(Table261424[[#This Row],[1]:[11]])-1)))</f>
        <v/>
      </c>
      <c r="AH109" s="39" t="str" cm="1">
        <f t="array" ref="AH109">IF(Table261424[[#This Row],[9]]="","",Table261424[[#This Row],[Weight]:[Weight]]-(Table261424[[#This Row],[Weight]:[Weight]]*((_xlfn.XMATCH(Table261424[[#This Row],[9]],Table261424[[#This Row],[1]:[11]],0))-1)/(COUNTA(Table261424[[#This Row],[1]:[11]])-COUNTBLANK(Table261424[[#This Row],[1]:[11]])-1)))</f>
        <v/>
      </c>
      <c r="AI109" s="39" t="str" cm="1">
        <f t="array" ref="AI109">IF(Table261424[[#This Row],[10]]="","",Table261424[[#This Row],[Weight]:[Weight]]-(Table261424[[#This Row],[Weight]:[Weight]]*((_xlfn.XMATCH(Table261424[[#This Row],[10]],Table261424[[#This Row],[1]:[11]],0))-1)/(COUNTA(Table261424[[#This Row],[1]:[11]])-COUNTBLANK(Table261424[[#This Row],[1]:[11]])-1)))</f>
        <v/>
      </c>
      <c r="AJ109" s="39" t="str" cm="1">
        <f t="array" ref="AJ109">IF(Table261424[[#This Row],[11]]="","",Table261424[[#This Row],[Weight]:[Weight]]-(Table261424[[#This Row],[Weight]:[Weight]]*((_xlfn.XMATCH(Table261424[[#This Row],[11]],Table261424[[#This Row],[1]:[11]],0))-1)/(COUNTA(Table261424[[#This Row],[1]:[11]])-COUNTBLANK(Table261424[[#This Row],[1]:[11]])-1)))</f>
        <v/>
      </c>
    </row>
    <row r="110" spans="1:36" s="167" customFormat="1" ht="115.5" customHeight="1" x14ac:dyDescent="0.2">
      <c r="A110" s="173">
        <v>98</v>
      </c>
      <c r="B110" s="21" t="s">
        <v>314</v>
      </c>
      <c r="C110" s="178" t="s">
        <v>215</v>
      </c>
      <c r="D110" s="179"/>
      <c r="E110" s="28"/>
      <c r="F110" s="28"/>
      <c r="G110" s="159" t="s">
        <v>188</v>
      </c>
      <c r="H110" s="155" cm="1">
        <f t="array" ref="H110">_xlfn.IFS(G110="","",G110="No interest",0,G110="Nice to have",1,G110="Useful",2,G110="Important",3,G110="Very important",4,G110="Critical",5,G110="Show stopper",6)</f>
        <v>5</v>
      </c>
      <c r="I110" s="156">
        <f t="shared" si="9"/>
        <v>3.4153005464480874E-4</v>
      </c>
      <c r="J110" s="157" t="s">
        <v>216</v>
      </c>
      <c r="K110" s="158" t="str" cm="1">
        <f t="array" ref="K110">_xlfn.TEXTJOIN(","&amp;CHAR(10),,TEXT(Table261424[[#This Row],[12]:[22]],"0,00%"))</f>
        <v>0,00%,
0,00%,
0,00%,
0,00%,
0,00%</v>
      </c>
      <c r="L110" s="175"/>
      <c r="M110" s="176" t="e">
        <f>I110-(I110*((MATCH(Table261424[[#This Row],[Evaluators Response (SELECT)]],Table261424[[#This Row],[1]:[11]],0)-1)/(COUNTA(Table261424[[#This Row],[1]:[11]])-COUNTBLANK(Table261424[[#This Row],[1]:[11]])-1)))</f>
        <v>#N/A</v>
      </c>
      <c r="N110" s="28"/>
      <c r="O110" s="39" t="str" cm="1">
        <f t="array" ref="O110">IFERROR(INDEX(_xlfn.UNIQUE(TRIM(_xlfn.TEXTSPLIT(Table261424[[#This Row],[Selection Options]:[Selection Options]],","))),,O$11),"")</f>
        <v>100%: Supported as delivered out of the box</v>
      </c>
      <c r="P110" s="39" t="str" cm="1">
        <f t="array" ref="P110">IFERROR(INDEX(_xlfn.UNIQUE(TRIM(_xlfn.TEXTSPLIT(Table261424[[#This Row],[Selection Options]:[Selection Options]],","))),,P$11),"")</f>
        <v xml:space="preserve">
75%: Supported via modifications (config)</v>
      </c>
      <c r="Q110" s="39" t="str" cm="1">
        <f t="array" ref="Q110">IFERROR(INDEX(_xlfn.UNIQUE(TRIM(_xlfn.TEXTSPLIT(Table261424[[#This Row],[Selection Options]:[Selection Options]],","))),,Q$11),"")</f>
        <v xml:space="preserve">
50%: Supported via a third party solution</v>
      </c>
      <c r="R110" s="39" t="str" cm="1">
        <f t="array" ref="R110">IFERROR(INDEX(_xlfn.UNIQUE(TRIM(_xlfn.TEXTSPLIT(Table261424[[#This Row],[Selection Options]:[Selection Options]],","))),,R$11),"")</f>
        <v xml:space="preserve">
25%: Supported via customisation (source code changes)</v>
      </c>
      <c r="S110" s="177" t="str" cm="1">
        <f t="array" ref="S110">IFERROR(INDEX(_xlfn.UNIQUE(TRIM(_xlfn.TEXTSPLIT(Table261424[[#This Row],[Selection Options]:[Selection Options]],","))),,S$11),"")</f>
        <v xml:space="preserve">
 0%: Not currently supported</v>
      </c>
      <c r="T110" s="39" t="str" cm="1">
        <f t="array" ref="T110">IFERROR(INDEX(_xlfn.UNIQUE(TRIM(_xlfn.TEXTSPLIT(Table261424[[#This Row],[Selection Options]:[Selection Options]],","))),,T$11),"")</f>
        <v/>
      </c>
      <c r="U110" s="39" t="str" cm="1">
        <f t="array" ref="U110">IFERROR(INDEX(_xlfn.UNIQUE(TRIM(_xlfn.TEXTSPLIT(Table261424[[#This Row],[Selection Options]:[Selection Options]],","))),,U$11),"")</f>
        <v/>
      </c>
      <c r="V110" s="39" t="str" cm="1">
        <f t="array" ref="V110">IFERROR(INDEX(_xlfn.UNIQUE(TRIM(_xlfn.TEXTSPLIT(Table261424[[#This Row],[Selection Options]:[Selection Options]],","))),,V$11),"")</f>
        <v/>
      </c>
      <c r="W110" s="39" t="str" cm="1">
        <f t="array" ref="W110">IFERROR(INDEX(_xlfn.UNIQUE(TRIM(_xlfn.TEXTSPLIT(Table261424[[#This Row],[Selection Options]:[Selection Options]],","))),,W$11),"")</f>
        <v/>
      </c>
      <c r="X110" s="39" t="str" cm="1">
        <f t="array" ref="X110">IFERROR(INDEX(_xlfn.UNIQUE(TRIM(_xlfn.TEXTSPLIT(Table261424[[#This Row],[Selection Options]:[Selection Options]],","))),,X$11),"")</f>
        <v/>
      </c>
      <c r="Y110" s="39" t="str" cm="1">
        <f t="array" ref="Y110">IFERROR(INDEX(_xlfn.UNIQUE(TRIM(_xlfn.TEXTSPLIT(Table261424[[#This Row],[Selection Options]:[Selection Options]],","))),,Y$11),"")</f>
        <v/>
      </c>
      <c r="Z110" s="30" cm="1">
        <f t="array" ref="Z110">IF(Table261424[[#This Row],[1]]="","",Table261424[[#This Row],[Weight]:[Weight]]-(Table261424[[#This Row],[Weight]:[Weight]]*((_xlfn.XMATCH(Table261424[[#This Row],[1]],Table261424[[#This Row],[1]:[11]],0))-1)/(COUNTA(Table261424[[#This Row],[1]:[11]])-COUNTBLANK(Table261424[[#This Row],[1]:[11]])-1)))</f>
        <v>3.4153005464480874E-4</v>
      </c>
      <c r="AA110" s="30" cm="1">
        <f t="array" ref="AA110">IF(Table261424[[#This Row],[2]]="","",Table261424[[#This Row],[Weight]:[Weight]]-(Table261424[[#This Row],[Weight]:[Weight]]*((_xlfn.XMATCH(Table261424[[#This Row],[2]],Table261424[[#This Row],[1]:[11]],0))-1)/(COUNTA(Table261424[[#This Row],[1]:[11]])-COUNTBLANK(Table261424[[#This Row],[1]:[11]])-1)))</f>
        <v>2.5614754098360657E-4</v>
      </c>
      <c r="AB110" s="30" cm="1">
        <f t="array" ref="AB110">IF(Table261424[[#This Row],[3]]="","",Table261424[[#This Row],[Weight]:[Weight]]-(Table261424[[#This Row],[Weight]:[Weight]]*((_xlfn.XMATCH(Table261424[[#This Row],[3]],Table261424[[#This Row],[1]:[11]],0))-1)/(COUNTA(Table261424[[#This Row],[1]:[11]])-COUNTBLANK(Table261424[[#This Row],[1]:[11]])-1)))</f>
        <v>1.7076502732240437E-4</v>
      </c>
      <c r="AC110" s="30" cm="1">
        <f t="array" ref="AC110">IF(Table261424[[#This Row],[4]]="","",Table261424[[#This Row],[Weight]:[Weight]]-(Table261424[[#This Row],[Weight]:[Weight]]*((_xlfn.XMATCH(Table261424[[#This Row],[4]],Table261424[[#This Row],[1]:[11]],0))-1)/(COUNTA(Table261424[[#This Row],[1]:[11]])-COUNTBLANK(Table261424[[#This Row],[1]:[11]])-1)))</f>
        <v>8.5382513661202172E-5</v>
      </c>
      <c r="AD110" s="30" cm="1">
        <f t="array" ref="AD110">IF(Table261424[[#This Row],[5]]="","",Table261424[[#This Row],[Weight]:[Weight]]-(Table261424[[#This Row],[Weight]:[Weight]]*((_xlfn.XMATCH(Table261424[[#This Row],[5]],Table261424[[#This Row],[1]:[11]],0))-1)/(COUNTA(Table261424[[#This Row],[1]:[11]])-COUNTBLANK(Table261424[[#This Row],[1]:[11]])-1)))</f>
        <v>0</v>
      </c>
      <c r="AE110" s="30" t="str" cm="1">
        <f t="array" ref="AE110">IF(Table261424[[#This Row],[6]]="","",Table261424[[#This Row],[Weight]:[Weight]]-(Table261424[[#This Row],[Weight]:[Weight]]*((_xlfn.XMATCH(Table261424[[#This Row],[6]],Table261424[[#This Row],[1]:[11]],0))-1)/(COUNTA(Table261424[[#This Row],[1]:[11]])-COUNTBLANK(Table261424[[#This Row],[1]:[11]])-1)))</f>
        <v/>
      </c>
      <c r="AF110" s="30" t="str" cm="1">
        <f t="array" ref="AF110">IF(Table261424[[#This Row],[7]]="","",Table261424[[#This Row],[Weight]:[Weight]]-(Table261424[[#This Row],[Weight]:[Weight]]*((_xlfn.XMATCH(Table261424[[#This Row],[7]],Table261424[[#This Row],[1]:[11]],0))-1)/(COUNTA(Table261424[[#This Row],[1]:[11]])-COUNTBLANK(Table261424[[#This Row],[1]:[11]])-1)))</f>
        <v/>
      </c>
      <c r="AG110" s="30" t="str" cm="1">
        <f t="array" ref="AG110">IF(Table261424[[#This Row],[8]]="","",Table261424[[#This Row],[Weight]:[Weight]]-(Table261424[[#This Row],[Weight]:[Weight]]*((_xlfn.XMATCH(Table261424[[#This Row],[8]],Table261424[[#This Row],[1]:[11]],0))-1)/(COUNTA(Table261424[[#This Row],[1]:[11]])-COUNTBLANK(Table261424[[#This Row],[1]:[11]])-1)))</f>
        <v/>
      </c>
      <c r="AH110" s="39" t="str" cm="1">
        <f t="array" ref="AH110">IF(Table261424[[#This Row],[9]]="","",Table261424[[#This Row],[Weight]:[Weight]]-(Table261424[[#This Row],[Weight]:[Weight]]*((_xlfn.XMATCH(Table261424[[#This Row],[9]],Table261424[[#This Row],[1]:[11]],0))-1)/(COUNTA(Table261424[[#This Row],[1]:[11]])-COUNTBLANK(Table261424[[#This Row],[1]:[11]])-1)))</f>
        <v/>
      </c>
      <c r="AI110" s="39" t="str" cm="1">
        <f t="array" ref="AI110">IF(Table261424[[#This Row],[10]]="","",Table261424[[#This Row],[Weight]:[Weight]]-(Table261424[[#This Row],[Weight]:[Weight]]*((_xlfn.XMATCH(Table261424[[#This Row],[10]],Table261424[[#This Row],[1]:[11]],0))-1)/(COUNTA(Table261424[[#This Row],[1]:[11]])-COUNTBLANK(Table261424[[#This Row],[1]:[11]])-1)))</f>
        <v/>
      </c>
      <c r="AJ110" s="39" t="str" cm="1">
        <f t="array" ref="AJ110">IF(Table261424[[#This Row],[11]]="","",Table261424[[#This Row],[Weight]:[Weight]]-(Table261424[[#This Row],[Weight]:[Weight]]*((_xlfn.XMATCH(Table261424[[#This Row],[11]],Table261424[[#This Row],[1]:[11]],0))-1)/(COUNTA(Table261424[[#This Row],[1]:[11]])-COUNTBLANK(Table261424[[#This Row],[1]:[11]])-1)))</f>
        <v/>
      </c>
    </row>
    <row r="111" spans="1:36" s="167" customFormat="1" ht="105.6" customHeight="1" x14ac:dyDescent="0.2">
      <c r="A111" s="173">
        <v>99</v>
      </c>
      <c r="B111" s="21" t="s">
        <v>315</v>
      </c>
      <c r="C111" s="178" t="s">
        <v>215</v>
      </c>
      <c r="D111" s="179"/>
      <c r="E111" s="28"/>
      <c r="F111" s="28"/>
      <c r="G111" s="159" t="s">
        <v>183</v>
      </c>
      <c r="H111" s="155" cm="1">
        <f t="array" ref="H111">_xlfn.IFS(G111="","",G111="No interest",0,G111="Nice to have",1,G111="Useful",2,G111="Important",3,G111="Very important",4,G111="Critical",5,G111="Show stopper",6)</f>
        <v>4</v>
      </c>
      <c r="I111" s="156">
        <f t="shared" si="9"/>
        <v>2.7322404371584699E-4</v>
      </c>
      <c r="J111" s="157" t="s">
        <v>216</v>
      </c>
      <c r="K111" s="158" t="str" cm="1">
        <f t="array" ref="K111">_xlfn.TEXTJOIN(","&amp;CHAR(10),,TEXT(Table261424[[#This Row],[12]:[22]],"0,00%"))</f>
        <v>0,00%,
0,00%,
0,00%,
0,00%,
0,00%</v>
      </c>
      <c r="L111" s="175"/>
      <c r="M111" s="176" t="e">
        <f>I111-(I111*((MATCH(Table261424[[#This Row],[Evaluators Response (SELECT)]],Table261424[[#This Row],[1]:[11]],0)-1)/(COUNTA(Table261424[[#This Row],[1]:[11]])-COUNTBLANK(Table261424[[#This Row],[1]:[11]])-1)))</f>
        <v>#N/A</v>
      </c>
      <c r="N111" s="28"/>
      <c r="O111" s="39" t="str" cm="1">
        <f t="array" ref="O111">IFERROR(INDEX(_xlfn.UNIQUE(TRIM(_xlfn.TEXTSPLIT(Table261424[[#This Row],[Selection Options]:[Selection Options]],","))),,O$11),"")</f>
        <v>100%: Supported as delivered out of the box</v>
      </c>
      <c r="P111" s="39" t="str" cm="1">
        <f t="array" ref="P111">IFERROR(INDEX(_xlfn.UNIQUE(TRIM(_xlfn.TEXTSPLIT(Table261424[[#This Row],[Selection Options]:[Selection Options]],","))),,P$11),"")</f>
        <v xml:space="preserve">
75%: Supported via modifications (config)</v>
      </c>
      <c r="Q111" s="39" t="str" cm="1">
        <f t="array" ref="Q111">IFERROR(INDEX(_xlfn.UNIQUE(TRIM(_xlfn.TEXTSPLIT(Table261424[[#This Row],[Selection Options]:[Selection Options]],","))),,Q$11),"")</f>
        <v xml:space="preserve">
50%: Supported via a third party solution</v>
      </c>
      <c r="R111" s="39" t="str" cm="1">
        <f t="array" ref="R111">IFERROR(INDEX(_xlfn.UNIQUE(TRIM(_xlfn.TEXTSPLIT(Table261424[[#This Row],[Selection Options]:[Selection Options]],","))),,R$11),"")</f>
        <v xml:space="preserve">
25%: Supported via customisation (source code changes)</v>
      </c>
      <c r="S111" s="177" t="str" cm="1">
        <f t="array" ref="S111">IFERROR(INDEX(_xlfn.UNIQUE(TRIM(_xlfn.TEXTSPLIT(Table261424[[#This Row],[Selection Options]:[Selection Options]],","))),,S$11),"")</f>
        <v xml:space="preserve">
 0%: Not currently supported</v>
      </c>
      <c r="T111" s="39" t="str" cm="1">
        <f t="array" ref="T111">IFERROR(INDEX(_xlfn.UNIQUE(TRIM(_xlfn.TEXTSPLIT(Table261424[[#This Row],[Selection Options]:[Selection Options]],","))),,T$11),"")</f>
        <v/>
      </c>
      <c r="U111" s="39" t="str" cm="1">
        <f t="array" ref="U111">IFERROR(INDEX(_xlfn.UNIQUE(TRIM(_xlfn.TEXTSPLIT(Table261424[[#This Row],[Selection Options]:[Selection Options]],","))),,U$11),"")</f>
        <v/>
      </c>
      <c r="V111" s="39" t="str" cm="1">
        <f t="array" ref="V111">IFERROR(INDEX(_xlfn.UNIQUE(TRIM(_xlfn.TEXTSPLIT(Table261424[[#This Row],[Selection Options]:[Selection Options]],","))),,V$11),"")</f>
        <v/>
      </c>
      <c r="W111" s="39" t="str" cm="1">
        <f t="array" ref="W111">IFERROR(INDEX(_xlfn.UNIQUE(TRIM(_xlfn.TEXTSPLIT(Table261424[[#This Row],[Selection Options]:[Selection Options]],","))),,W$11),"")</f>
        <v/>
      </c>
      <c r="X111" s="39" t="str" cm="1">
        <f t="array" ref="X111">IFERROR(INDEX(_xlfn.UNIQUE(TRIM(_xlfn.TEXTSPLIT(Table261424[[#This Row],[Selection Options]:[Selection Options]],","))),,X$11),"")</f>
        <v/>
      </c>
      <c r="Y111" s="39" t="str" cm="1">
        <f t="array" ref="Y111">IFERROR(INDEX(_xlfn.UNIQUE(TRIM(_xlfn.TEXTSPLIT(Table261424[[#This Row],[Selection Options]:[Selection Options]],","))),,Y$11),"")</f>
        <v/>
      </c>
      <c r="Z111" s="30" cm="1">
        <f t="array" ref="Z111">IF(Table261424[[#This Row],[1]]="","",Table261424[[#This Row],[Weight]:[Weight]]-(Table261424[[#This Row],[Weight]:[Weight]]*((_xlfn.XMATCH(Table261424[[#This Row],[1]],Table261424[[#This Row],[1]:[11]],0))-1)/(COUNTA(Table261424[[#This Row],[1]:[11]])-COUNTBLANK(Table261424[[#This Row],[1]:[11]])-1)))</f>
        <v>2.7322404371584699E-4</v>
      </c>
      <c r="AA111" s="30" cm="1">
        <f t="array" ref="AA111">IF(Table261424[[#This Row],[2]]="","",Table261424[[#This Row],[Weight]:[Weight]]-(Table261424[[#This Row],[Weight]:[Weight]]*((_xlfn.XMATCH(Table261424[[#This Row],[2]],Table261424[[#This Row],[1]:[11]],0))-1)/(COUNTA(Table261424[[#This Row],[1]:[11]])-COUNTBLANK(Table261424[[#This Row],[1]:[11]])-1)))</f>
        <v>2.0491803278688525E-4</v>
      </c>
      <c r="AB111" s="30" cm="1">
        <f t="array" ref="AB111">IF(Table261424[[#This Row],[3]]="","",Table261424[[#This Row],[Weight]:[Weight]]-(Table261424[[#This Row],[Weight]:[Weight]]*((_xlfn.XMATCH(Table261424[[#This Row],[3]],Table261424[[#This Row],[1]:[11]],0))-1)/(COUNTA(Table261424[[#This Row],[1]:[11]])-COUNTBLANK(Table261424[[#This Row],[1]:[11]])-1)))</f>
        <v>1.366120218579235E-4</v>
      </c>
      <c r="AC111" s="30" cm="1">
        <f t="array" ref="AC111">IF(Table261424[[#This Row],[4]]="","",Table261424[[#This Row],[Weight]:[Weight]]-(Table261424[[#This Row],[Weight]:[Weight]]*((_xlfn.XMATCH(Table261424[[#This Row],[4]],Table261424[[#This Row],[1]:[11]],0))-1)/(COUNTA(Table261424[[#This Row],[1]:[11]])-COUNTBLANK(Table261424[[#This Row],[1]:[11]])-1)))</f>
        <v>6.8306010928961749E-5</v>
      </c>
      <c r="AD111" s="30" cm="1">
        <f t="array" ref="AD111">IF(Table261424[[#This Row],[5]]="","",Table261424[[#This Row],[Weight]:[Weight]]-(Table261424[[#This Row],[Weight]:[Weight]]*((_xlfn.XMATCH(Table261424[[#This Row],[5]],Table261424[[#This Row],[1]:[11]],0))-1)/(COUNTA(Table261424[[#This Row],[1]:[11]])-COUNTBLANK(Table261424[[#This Row],[1]:[11]])-1)))</f>
        <v>0</v>
      </c>
      <c r="AE111" s="30" t="str" cm="1">
        <f t="array" ref="AE111">IF(Table261424[[#This Row],[6]]="","",Table261424[[#This Row],[Weight]:[Weight]]-(Table261424[[#This Row],[Weight]:[Weight]]*((_xlfn.XMATCH(Table261424[[#This Row],[6]],Table261424[[#This Row],[1]:[11]],0))-1)/(COUNTA(Table261424[[#This Row],[1]:[11]])-COUNTBLANK(Table261424[[#This Row],[1]:[11]])-1)))</f>
        <v/>
      </c>
      <c r="AF111" s="30" t="str" cm="1">
        <f t="array" ref="AF111">IF(Table261424[[#This Row],[7]]="","",Table261424[[#This Row],[Weight]:[Weight]]-(Table261424[[#This Row],[Weight]:[Weight]]*((_xlfn.XMATCH(Table261424[[#This Row],[7]],Table261424[[#This Row],[1]:[11]],0))-1)/(COUNTA(Table261424[[#This Row],[1]:[11]])-COUNTBLANK(Table261424[[#This Row],[1]:[11]])-1)))</f>
        <v/>
      </c>
      <c r="AG111" s="30" t="str" cm="1">
        <f t="array" ref="AG111">IF(Table261424[[#This Row],[8]]="","",Table261424[[#This Row],[Weight]:[Weight]]-(Table261424[[#This Row],[Weight]:[Weight]]*((_xlfn.XMATCH(Table261424[[#This Row],[8]],Table261424[[#This Row],[1]:[11]],0))-1)/(COUNTA(Table261424[[#This Row],[1]:[11]])-COUNTBLANK(Table261424[[#This Row],[1]:[11]])-1)))</f>
        <v/>
      </c>
      <c r="AH111" s="39" t="str" cm="1">
        <f t="array" ref="AH111">IF(Table261424[[#This Row],[9]]="","",Table261424[[#This Row],[Weight]:[Weight]]-(Table261424[[#This Row],[Weight]:[Weight]]*((_xlfn.XMATCH(Table261424[[#This Row],[9]],Table261424[[#This Row],[1]:[11]],0))-1)/(COUNTA(Table261424[[#This Row],[1]:[11]])-COUNTBLANK(Table261424[[#This Row],[1]:[11]])-1)))</f>
        <v/>
      </c>
      <c r="AI111" s="39" t="str" cm="1">
        <f t="array" ref="AI111">IF(Table261424[[#This Row],[10]]="","",Table261424[[#This Row],[Weight]:[Weight]]-(Table261424[[#This Row],[Weight]:[Weight]]*((_xlfn.XMATCH(Table261424[[#This Row],[10]],Table261424[[#This Row],[1]:[11]],0))-1)/(COUNTA(Table261424[[#This Row],[1]:[11]])-COUNTBLANK(Table261424[[#This Row],[1]:[11]])-1)))</f>
        <v/>
      </c>
      <c r="AJ111" s="39" t="str" cm="1">
        <f t="array" ref="AJ111">IF(Table261424[[#This Row],[11]]="","",Table261424[[#This Row],[Weight]:[Weight]]-(Table261424[[#This Row],[Weight]:[Weight]]*((_xlfn.XMATCH(Table261424[[#This Row],[11]],Table261424[[#This Row],[1]:[11]],0))-1)/(COUNTA(Table261424[[#This Row],[1]:[11]])-COUNTBLANK(Table261424[[#This Row],[1]:[11]])-1)))</f>
        <v/>
      </c>
    </row>
    <row r="112" spans="1:36" s="167" customFormat="1" ht="99.6" customHeight="1" x14ac:dyDescent="0.2">
      <c r="A112" s="173">
        <v>100</v>
      </c>
      <c r="B112" s="21" t="s">
        <v>316</v>
      </c>
      <c r="C112" s="178" t="s">
        <v>215</v>
      </c>
      <c r="D112" s="179"/>
      <c r="E112" s="28"/>
      <c r="F112" s="28"/>
      <c r="G112" s="159" t="s">
        <v>188</v>
      </c>
      <c r="H112" s="155" cm="1">
        <f t="array" ref="H112">_xlfn.IFS(G112="","",G112="No interest",0,G112="Nice to have",1,G112="Useful",2,G112="Important",3,G112="Very important",4,G112="Critical",5,G112="Show stopper",6)</f>
        <v>5</v>
      </c>
      <c r="I112" s="156">
        <f t="shared" si="9"/>
        <v>3.4153005464480874E-4</v>
      </c>
      <c r="J112" s="157" t="s">
        <v>216</v>
      </c>
      <c r="K112" s="158" t="str" cm="1">
        <f t="array" ref="K112">_xlfn.TEXTJOIN(","&amp;CHAR(10),,TEXT(Table261424[[#This Row],[12]:[22]],"0,00%"))</f>
        <v>0,00%,
0,00%,
0,00%,
0,00%,
0,00%</v>
      </c>
      <c r="L112" s="175"/>
      <c r="M112" s="176" t="e">
        <f>I112-(I112*((MATCH(Table261424[[#This Row],[Evaluators Response (SELECT)]],Table261424[[#This Row],[1]:[11]],0)-1)/(COUNTA(Table261424[[#This Row],[1]:[11]])-COUNTBLANK(Table261424[[#This Row],[1]:[11]])-1)))</f>
        <v>#N/A</v>
      </c>
      <c r="N112" s="28"/>
      <c r="O112" s="39" t="str" cm="1">
        <f t="array" ref="O112">IFERROR(INDEX(_xlfn.UNIQUE(TRIM(_xlfn.TEXTSPLIT(Table261424[[#This Row],[Selection Options]:[Selection Options]],","))),,O$11),"")</f>
        <v>100%: Supported as delivered out of the box</v>
      </c>
      <c r="P112" s="39" t="str" cm="1">
        <f t="array" ref="P112">IFERROR(INDEX(_xlfn.UNIQUE(TRIM(_xlfn.TEXTSPLIT(Table261424[[#This Row],[Selection Options]:[Selection Options]],","))),,P$11),"")</f>
        <v xml:space="preserve">
75%: Supported via modifications (config)</v>
      </c>
      <c r="Q112" s="39" t="str" cm="1">
        <f t="array" ref="Q112">IFERROR(INDEX(_xlfn.UNIQUE(TRIM(_xlfn.TEXTSPLIT(Table261424[[#This Row],[Selection Options]:[Selection Options]],","))),,Q$11),"")</f>
        <v xml:space="preserve">
50%: Supported via a third party solution</v>
      </c>
      <c r="R112" s="39" t="str" cm="1">
        <f t="array" ref="R112">IFERROR(INDEX(_xlfn.UNIQUE(TRIM(_xlfn.TEXTSPLIT(Table261424[[#This Row],[Selection Options]:[Selection Options]],","))),,R$11),"")</f>
        <v xml:space="preserve">
25%: Supported via customisation (source code changes)</v>
      </c>
      <c r="S112" s="177" t="str" cm="1">
        <f t="array" ref="S112">IFERROR(INDEX(_xlfn.UNIQUE(TRIM(_xlfn.TEXTSPLIT(Table261424[[#This Row],[Selection Options]:[Selection Options]],","))),,S$11),"")</f>
        <v xml:space="preserve">
 0%: Not currently supported</v>
      </c>
      <c r="T112" s="39" t="str" cm="1">
        <f t="array" ref="T112">IFERROR(INDEX(_xlfn.UNIQUE(TRIM(_xlfn.TEXTSPLIT(Table261424[[#This Row],[Selection Options]:[Selection Options]],","))),,T$11),"")</f>
        <v/>
      </c>
      <c r="U112" s="39" t="str" cm="1">
        <f t="array" ref="U112">IFERROR(INDEX(_xlfn.UNIQUE(TRIM(_xlfn.TEXTSPLIT(Table261424[[#This Row],[Selection Options]:[Selection Options]],","))),,U$11),"")</f>
        <v/>
      </c>
      <c r="V112" s="39" t="str" cm="1">
        <f t="array" ref="V112">IFERROR(INDEX(_xlfn.UNIQUE(TRIM(_xlfn.TEXTSPLIT(Table261424[[#This Row],[Selection Options]:[Selection Options]],","))),,V$11),"")</f>
        <v/>
      </c>
      <c r="W112" s="39" t="str" cm="1">
        <f t="array" ref="W112">IFERROR(INDEX(_xlfn.UNIQUE(TRIM(_xlfn.TEXTSPLIT(Table261424[[#This Row],[Selection Options]:[Selection Options]],","))),,W$11),"")</f>
        <v/>
      </c>
      <c r="X112" s="39" t="str" cm="1">
        <f t="array" ref="X112">IFERROR(INDEX(_xlfn.UNIQUE(TRIM(_xlfn.TEXTSPLIT(Table261424[[#This Row],[Selection Options]:[Selection Options]],","))),,X$11),"")</f>
        <v/>
      </c>
      <c r="Y112" s="39" t="str" cm="1">
        <f t="array" ref="Y112">IFERROR(INDEX(_xlfn.UNIQUE(TRIM(_xlfn.TEXTSPLIT(Table261424[[#This Row],[Selection Options]:[Selection Options]],","))),,Y$11),"")</f>
        <v/>
      </c>
      <c r="Z112" s="30" cm="1">
        <f t="array" ref="Z112">IF(Table261424[[#This Row],[1]]="","",Table261424[[#This Row],[Weight]:[Weight]]-(Table261424[[#This Row],[Weight]:[Weight]]*((_xlfn.XMATCH(Table261424[[#This Row],[1]],Table261424[[#This Row],[1]:[11]],0))-1)/(COUNTA(Table261424[[#This Row],[1]:[11]])-COUNTBLANK(Table261424[[#This Row],[1]:[11]])-1)))</f>
        <v>3.4153005464480874E-4</v>
      </c>
      <c r="AA112" s="30" cm="1">
        <f t="array" ref="AA112">IF(Table261424[[#This Row],[2]]="","",Table261424[[#This Row],[Weight]:[Weight]]-(Table261424[[#This Row],[Weight]:[Weight]]*((_xlfn.XMATCH(Table261424[[#This Row],[2]],Table261424[[#This Row],[1]:[11]],0))-1)/(COUNTA(Table261424[[#This Row],[1]:[11]])-COUNTBLANK(Table261424[[#This Row],[1]:[11]])-1)))</f>
        <v>2.5614754098360657E-4</v>
      </c>
      <c r="AB112" s="30" cm="1">
        <f t="array" ref="AB112">IF(Table261424[[#This Row],[3]]="","",Table261424[[#This Row],[Weight]:[Weight]]-(Table261424[[#This Row],[Weight]:[Weight]]*((_xlfn.XMATCH(Table261424[[#This Row],[3]],Table261424[[#This Row],[1]:[11]],0))-1)/(COUNTA(Table261424[[#This Row],[1]:[11]])-COUNTBLANK(Table261424[[#This Row],[1]:[11]])-1)))</f>
        <v>1.7076502732240437E-4</v>
      </c>
      <c r="AC112" s="30" cm="1">
        <f t="array" ref="AC112">IF(Table261424[[#This Row],[4]]="","",Table261424[[#This Row],[Weight]:[Weight]]-(Table261424[[#This Row],[Weight]:[Weight]]*((_xlfn.XMATCH(Table261424[[#This Row],[4]],Table261424[[#This Row],[1]:[11]],0))-1)/(COUNTA(Table261424[[#This Row],[1]:[11]])-COUNTBLANK(Table261424[[#This Row],[1]:[11]])-1)))</f>
        <v>8.5382513661202172E-5</v>
      </c>
      <c r="AD112" s="30" cm="1">
        <f t="array" ref="AD112">IF(Table261424[[#This Row],[5]]="","",Table261424[[#This Row],[Weight]:[Weight]]-(Table261424[[#This Row],[Weight]:[Weight]]*((_xlfn.XMATCH(Table261424[[#This Row],[5]],Table261424[[#This Row],[1]:[11]],0))-1)/(COUNTA(Table261424[[#This Row],[1]:[11]])-COUNTBLANK(Table261424[[#This Row],[1]:[11]])-1)))</f>
        <v>0</v>
      </c>
      <c r="AE112" s="30" t="str" cm="1">
        <f t="array" ref="AE112">IF(Table261424[[#This Row],[6]]="","",Table261424[[#This Row],[Weight]:[Weight]]-(Table261424[[#This Row],[Weight]:[Weight]]*((_xlfn.XMATCH(Table261424[[#This Row],[6]],Table261424[[#This Row],[1]:[11]],0))-1)/(COUNTA(Table261424[[#This Row],[1]:[11]])-COUNTBLANK(Table261424[[#This Row],[1]:[11]])-1)))</f>
        <v/>
      </c>
      <c r="AF112" s="30" t="str" cm="1">
        <f t="array" ref="AF112">IF(Table261424[[#This Row],[7]]="","",Table261424[[#This Row],[Weight]:[Weight]]-(Table261424[[#This Row],[Weight]:[Weight]]*((_xlfn.XMATCH(Table261424[[#This Row],[7]],Table261424[[#This Row],[1]:[11]],0))-1)/(COUNTA(Table261424[[#This Row],[1]:[11]])-COUNTBLANK(Table261424[[#This Row],[1]:[11]])-1)))</f>
        <v/>
      </c>
      <c r="AG112" s="30" t="str" cm="1">
        <f t="array" ref="AG112">IF(Table261424[[#This Row],[8]]="","",Table261424[[#This Row],[Weight]:[Weight]]-(Table261424[[#This Row],[Weight]:[Weight]]*((_xlfn.XMATCH(Table261424[[#This Row],[8]],Table261424[[#This Row],[1]:[11]],0))-1)/(COUNTA(Table261424[[#This Row],[1]:[11]])-COUNTBLANK(Table261424[[#This Row],[1]:[11]])-1)))</f>
        <v/>
      </c>
      <c r="AH112" s="39" t="str" cm="1">
        <f t="array" ref="AH112">IF(Table261424[[#This Row],[9]]="","",Table261424[[#This Row],[Weight]:[Weight]]-(Table261424[[#This Row],[Weight]:[Weight]]*((_xlfn.XMATCH(Table261424[[#This Row],[9]],Table261424[[#This Row],[1]:[11]],0))-1)/(COUNTA(Table261424[[#This Row],[1]:[11]])-COUNTBLANK(Table261424[[#This Row],[1]:[11]])-1)))</f>
        <v/>
      </c>
      <c r="AI112" s="39" t="str" cm="1">
        <f t="array" ref="AI112">IF(Table261424[[#This Row],[10]]="","",Table261424[[#This Row],[Weight]:[Weight]]-(Table261424[[#This Row],[Weight]:[Weight]]*((_xlfn.XMATCH(Table261424[[#This Row],[10]],Table261424[[#This Row],[1]:[11]],0))-1)/(COUNTA(Table261424[[#This Row],[1]:[11]])-COUNTBLANK(Table261424[[#This Row],[1]:[11]])-1)))</f>
        <v/>
      </c>
      <c r="AJ112" s="39" t="str" cm="1">
        <f t="array" ref="AJ112">IF(Table261424[[#This Row],[11]]="","",Table261424[[#This Row],[Weight]:[Weight]]-(Table261424[[#This Row],[Weight]:[Weight]]*((_xlfn.XMATCH(Table261424[[#This Row],[11]],Table261424[[#This Row],[1]:[11]],0))-1)/(COUNTA(Table261424[[#This Row],[1]:[11]])-COUNTBLANK(Table261424[[#This Row],[1]:[11]])-1)))</f>
        <v/>
      </c>
    </row>
    <row r="113" spans="1:36" s="167" customFormat="1" ht="80.45" customHeight="1" x14ac:dyDescent="0.2">
      <c r="A113" s="173">
        <v>101</v>
      </c>
      <c r="B113" s="158" t="s">
        <v>317</v>
      </c>
      <c r="C113" s="178" t="s">
        <v>215</v>
      </c>
      <c r="D113" s="179"/>
      <c r="E113" s="38"/>
      <c r="F113" s="38"/>
      <c r="G113" s="159" t="s">
        <v>188</v>
      </c>
      <c r="H113" s="160" cm="1">
        <f t="array" ref="H113">_xlfn.IFS(G113="","",G113="No interest",0,G113="Nice to have",1,G113="Useful",2,G113="Important",3,G113="Very important",4,G113="Critical",5,G113="Show stopper",6)</f>
        <v>5</v>
      </c>
      <c r="I113" s="161">
        <f t="shared" si="9"/>
        <v>3.4153005464480874E-4</v>
      </c>
      <c r="J113" s="157" t="s">
        <v>216</v>
      </c>
      <c r="K113" s="158" t="str" cm="1">
        <f t="array" ref="K113">_xlfn.TEXTJOIN(","&amp;CHAR(10),,TEXT(Table261424[[#This Row],[12]:[22]],"0,00%"))</f>
        <v>0,00%,
0,00%,
0,00%,
0,00%,
0,00%</v>
      </c>
      <c r="L113" s="180"/>
      <c r="M113" s="181" t="e">
        <f>I113-(I113*((MATCH(Table261424[[#This Row],[Evaluators Response (SELECT)]],Table261424[[#This Row],[1]:[11]],0)-1)/(COUNTA(Table261424[[#This Row],[1]:[11]])-COUNTBLANK(Table261424[[#This Row],[1]:[11]])-1)))</f>
        <v>#N/A</v>
      </c>
      <c r="N113" s="38"/>
      <c r="O113" s="29" t="str" cm="1">
        <f t="array" ref="O113">IFERROR(INDEX(_xlfn.UNIQUE(TRIM(_xlfn.TEXTSPLIT(Table261424[[#This Row],[Selection Options]:[Selection Options]],","))),,O$11),"")</f>
        <v>100%: Supported as delivered out of the box</v>
      </c>
      <c r="P113" s="29" t="str" cm="1">
        <f t="array" ref="P113">IFERROR(INDEX(_xlfn.UNIQUE(TRIM(_xlfn.TEXTSPLIT(Table261424[[#This Row],[Selection Options]:[Selection Options]],","))),,P$11),"")</f>
        <v xml:space="preserve">
75%: Supported via modifications (config)</v>
      </c>
      <c r="Q113" s="29" t="str" cm="1">
        <f t="array" ref="Q113">IFERROR(INDEX(_xlfn.UNIQUE(TRIM(_xlfn.TEXTSPLIT(Table261424[[#This Row],[Selection Options]:[Selection Options]],","))),,Q$11),"")</f>
        <v xml:space="preserve">
50%: Supported via a third party solution</v>
      </c>
      <c r="R113" s="29" t="str" cm="1">
        <f t="array" ref="R113">IFERROR(INDEX(_xlfn.UNIQUE(TRIM(_xlfn.TEXTSPLIT(Table261424[[#This Row],[Selection Options]:[Selection Options]],","))),,R$11),"")</f>
        <v xml:space="preserve">
25%: Supported via customisation (source code changes)</v>
      </c>
      <c r="S113" s="182" t="str" cm="1">
        <f t="array" ref="S113">IFERROR(INDEX(_xlfn.UNIQUE(TRIM(_xlfn.TEXTSPLIT(Table261424[[#This Row],[Selection Options]:[Selection Options]],","))),,S$11),"")</f>
        <v xml:space="preserve">
 0%: Not currently supported</v>
      </c>
      <c r="T113" s="29" t="str" cm="1">
        <f t="array" ref="T113">IFERROR(INDEX(_xlfn.UNIQUE(TRIM(_xlfn.TEXTSPLIT(Table261424[[#This Row],[Selection Options]:[Selection Options]],","))),,T$11),"")</f>
        <v/>
      </c>
      <c r="U113" s="29" t="str" cm="1">
        <f t="array" ref="U113">IFERROR(INDEX(_xlfn.UNIQUE(TRIM(_xlfn.TEXTSPLIT(Table261424[[#This Row],[Selection Options]:[Selection Options]],","))),,U$11),"")</f>
        <v/>
      </c>
      <c r="V113" s="29" t="str" cm="1">
        <f t="array" ref="V113">IFERROR(INDEX(_xlfn.UNIQUE(TRIM(_xlfn.TEXTSPLIT(Table261424[[#This Row],[Selection Options]:[Selection Options]],","))),,V$11),"")</f>
        <v/>
      </c>
      <c r="W113" s="29" t="str" cm="1">
        <f t="array" ref="W113">IFERROR(INDEX(_xlfn.UNIQUE(TRIM(_xlfn.TEXTSPLIT(Table261424[[#This Row],[Selection Options]:[Selection Options]],","))),,W$11),"")</f>
        <v/>
      </c>
      <c r="X113" s="29" t="str" cm="1">
        <f t="array" ref="X113">IFERROR(INDEX(_xlfn.UNIQUE(TRIM(_xlfn.TEXTSPLIT(Table261424[[#This Row],[Selection Options]:[Selection Options]],","))),,X$11),"")</f>
        <v/>
      </c>
      <c r="Y113" s="29" t="str" cm="1">
        <f t="array" ref="Y113">IFERROR(INDEX(_xlfn.UNIQUE(TRIM(_xlfn.TEXTSPLIT(Table261424[[#This Row],[Selection Options]:[Selection Options]],","))),,Y$11),"")</f>
        <v/>
      </c>
      <c r="Z113" s="183" cm="1">
        <f t="array" ref="Z113">IF(Table261424[[#This Row],[1]]="","",Table261424[[#This Row],[Weight]:[Weight]]-(Table261424[[#This Row],[Weight]:[Weight]]*((_xlfn.XMATCH(Table261424[[#This Row],[1]],Table261424[[#This Row],[1]:[11]],0))-1)/(COUNTA(Table261424[[#This Row],[1]:[11]])-COUNTBLANK(Table261424[[#This Row],[1]:[11]])-1)))</f>
        <v>3.4153005464480874E-4</v>
      </c>
      <c r="AA113" s="183" cm="1">
        <f t="array" ref="AA113">IF(Table261424[[#This Row],[2]]="","",Table261424[[#This Row],[Weight]:[Weight]]-(Table261424[[#This Row],[Weight]:[Weight]]*((_xlfn.XMATCH(Table261424[[#This Row],[2]],Table261424[[#This Row],[1]:[11]],0))-1)/(COUNTA(Table261424[[#This Row],[1]:[11]])-COUNTBLANK(Table261424[[#This Row],[1]:[11]])-1)))</f>
        <v>2.5614754098360657E-4</v>
      </c>
      <c r="AB113" s="183" cm="1">
        <f t="array" ref="AB113">IF(Table261424[[#This Row],[3]]="","",Table261424[[#This Row],[Weight]:[Weight]]-(Table261424[[#This Row],[Weight]:[Weight]]*((_xlfn.XMATCH(Table261424[[#This Row],[3]],Table261424[[#This Row],[1]:[11]],0))-1)/(COUNTA(Table261424[[#This Row],[1]:[11]])-COUNTBLANK(Table261424[[#This Row],[1]:[11]])-1)))</f>
        <v>1.7076502732240437E-4</v>
      </c>
      <c r="AC113" s="183" cm="1">
        <f t="array" ref="AC113">IF(Table261424[[#This Row],[4]]="","",Table261424[[#This Row],[Weight]:[Weight]]-(Table261424[[#This Row],[Weight]:[Weight]]*((_xlfn.XMATCH(Table261424[[#This Row],[4]],Table261424[[#This Row],[1]:[11]],0))-1)/(COUNTA(Table261424[[#This Row],[1]:[11]])-COUNTBLANK(Table261424[[#This Row],[1]:[11]])-1)))</f>
        <v>8.5382513661202172E-5</v>
      </c>
      <c r="AD113" s="183" cm="1">
        <f t="array" ref="AD113">IF(Table261424[[#This Row],[5]]="","",Table261424[[#This Row],[Weight]:[Weight]]-(Table261424[[#This Row],[Weight]:[Weight]]*((_xlfn.XMATCH(Table261424[[#This Row],[5]],Table261424[[#This Row],[1]:[11]],0))-1)/(COUNTA(Table261424[[#This Row],[1]:[11]])-COUNTBLANK(Table261424[[#This Row],[1]:[11]])-1)))</f>
        <v>0</v>
      </c>
      <c r="AE113" s="183" t="str" cm="1">
        <f t="array" ref="AE113">IF(Table261424[[#This Row],[6]]="","",Table261424[[#This Row],[Weight]:[Weight]]-(Table261424[[#This Row],[Weight]:[Weight]]*((_xlfn.XMATCH(Table261424[[#This Row],[6]],Table261424[[#This Row],[1]:[11]],0))-1)/(COUNTA(Table261424[[#This Row],[1]:[11]])-COUNTBLANK(Table261424[[#This Row],[1]:[11]])-1)))</f>
        <v/>
      </c>
      <c r="AF113" s="183" t="str" cm="1">
        <f t="array" ref="AF113">IF(Table261424[[#This Row],[7]]="","",Table261424[[#This Row],[Weight]:[Weight]]-(Table261424[[#This Row],[Weight]:[Weight]]*((_xlfn.XMATCH(Table261424[[#This Row],[7]],Table261424[[#This Row],[1]:[11]],0))-1)/(COUNTA(Table261424[[#This Row],[1]:[11]])-COUNTBLANK(Table261424[[#This Row],[1]:[11]])-1)))</f>
        <v/>
      </c>
      <c r="AG113" s="183" t="str" cm="1">
        <f t="array" ref="AG113">IF(Table261424[[#This Row],[8]]="","",Table261424[[#This Row],[Weight]:[Weight]]-(Table261424[[#This Row],[Weight]:[Weight]]*((_xlfn.XMATCH(Table261424[[#This Row],[8]],Table261424[[#This Row],[1]:[11]],0))-1)/(COUNTA(Table261424[[#This Row],[1]:[11]])-COUNTBLANK(Table261424[[#This Row],[1]:[11]])-1)))</f>
        <v/>
      </c>
      <c r="AH113" s="29" t="str" cm="1">
        <f t="array" ref="AH113">IF(Table261424[[#This Row],[9]]="","",Table261424[[#This Row],[Weight]:[Weight]]-(Table261424[[#This Row],[Weight]:[Weight]]*((_xlfn.XMATCH(Table261424[[#This Row],[9]],Table261424[[#This Row],[1]:[11]],0))-1)/(COUNTA(Table261424[[#This Row],[1]:[11]])-COUNTBLANK(Table261424[[#This Row],[1]:[11]])-1)))</f>
        <v/>
      </c>
      <c r="AI113" s="29" t="str" cm="1">
        <f t="array" ref="AI113">IF(Table261424[[#This Row],[10]]="","",Table261424[[#This Row],[Weight]:[Weight]]-(Table261424[[#This Row],[Weight]:[Weight]]*((_xlfn.XMATCH(Table261424[[#This Row],[10]],Table261424[[#This Row],[1]:[11]],0))-1)/(COUNTA(Table261424[[#This Row],[1]:[11]])-COUNTBLANK(Table261424[[#This Row],[1]:[11]])-1)))</f>
        <v/>
      </c>
      <c r="AJ113" s="29" t="str" cm="1">
        <f t="array" ref="AJ113">IF(Table261424[[#This Row],[11]]="","",Table261424[[#This Row],[Weight]:[Weight]]-(Table261424[[#This Row],[Weight]:[Weight]]*((_xlfn.XMATCH(Table261424[[#This Row],[11]],Table261424[[#This Row],[1]:[11]],0))-1)/(COUNTA(Table261424[[#This Row],[1]:[11]])-COUNTBLANK(Table261424[[#This Row],[1]:[11]])-1)))</f>
        <v/>
      </c>
    </row>
    <row r="114" spans="1:36" s="167" customFormat="1" ht="77.45" customHeight="1" x14ac:dyDescent="0.2">
      <c r="A114" s="173">
        <v>102</v>
      </c>
      <c r="B114" s="158" t="s">
        <v>318</v>
      </c>
      <c r="C114" s="178" t="s">
        <v>215</v>
      </c>
      <c r="D114" s="179"/>
      <c r="E114" s="38"/>
      <c r="F114" s="38"/>
      <c r="G114" s="159" t="s">
        <v>60</v>
      </c>
      <c r="H114" s="160" cm="1">
        <f t="array" ref="H114">_xlfn.IFS(G114="","",G114="No interest",0,G114="Nice to have",1,G114="Useful",2,G114="Important",3,G114="Very important",4,G114="Critical",5,G114="Show stopper",6)</f>
        <v>6</v>
      </c>
      <c r="I114" s="161">
        <f>(H114/$H$11)*$G$11</f>
        <v>4.0983606557377049E-4</v>
      </c>
      <c r="J114" s="157" t="s">
        <v>216</v>
      </c>
      <c r="K114" s="158" t="str" cm="1">
        <f t="array" ref="K114">_xlfn.TEXTJOIN(","&amp;CHAR(10),,TEXT(Table261424[[#This Row],[12]:[22]],"0,00%"))</f>
        <v>0,00%,
0,00%,
0,00%,
0,00%,
0,00%</v>
      </c>
      <c r="L114" s="180"/>
      <c r="M114" s="181" t="e">
        <f>I114-(I114*((MATCH(Table261424[[#This Row],[Evaluators Response (SELECT)]],Table261424[[#This Row],[1]:[11]],0)-1)/(COUNTA(Table261424[[#This Row],[1]:[11]])-COUNTBLANK(Table261424[[#This Row],[1]:[11]])-1)))</f>
        <v>#N/A</v>
      </c>
      <c r="N114" s="38"/>
      <c r="O114" s="29" t="str" cm="1">
        <f t="array" ref="O114">IFERROR(INDEX(_xlfn.UNIQUE(TRIM(_xlfn.TEXTSPLIT(Table261424[[#This Row],[Selection Options]:[Selection Options]],","))),,O$11),"")</f>
        <v>100%: Supported as delivered out of the box</v>
      </c>
      <c r="P114" s="29" t="str" cm="1">
        <f t="array" ref="P114">IFERROR(INDEX(_xlfn.UNIQUE(TRIM(_xlfn.TEXTSPLIT(Table261424[[#This Row],[Selection Options]:[Selection Options]],","))),,P$11),"")</f>
        <v xml:space="preserve">
75%: Supported via modifications (config)</v>
      </c>
      <c r="Q114" s="29" t="str" cm="1">
        <f t="array" ref="Q114">IFERROR(INDEX(_xlfn.UNIQUE(TRIM(_xlfn.TEXTSPLIT(Table261424[[#This Row],[Selection Options]:[Selection Options]],","))),,Q$11),"")</f>
        <v xml:space="preserve">
50%: Supported via a third party solution</v>
      </c>
      <c r="R114" s="29" t="str" cm="1">
        <f t="array" ref="R114">IFERROR(INDEX(_xlfn.UNIQUE(TRIM(_xlfn.TEXTSPLIT(Table261424[[#This Row],[Selection Options]:[Selection Options]],","))),,R$11),"")</f>
        <v xml:space="preserve">
25%: Supported via customisation (source code changes)</v>
      </c>
      <c r="S114" s="182" t="str" cm="1">
        <f t="array" ref="S114">IFERROR(INDEX(_xlfn.UNIQUE(TRIM(_xlfn.TEXTSPLIT(Table261424[[#This Row],[Selection Options]:[Selection Options]],","))),,S$11),"")</f>
        <v xml:space="preserve">
 0%: Not currently supported</v>
      </c>
      <c r="T114" s="29" t="str" cm="1">
        <f t="array" ref="T114">IFERROR(INDEX(_xlfn.UNIQUE(TRIM(_xlfn.TEXTSPLIT(Table261424[[#This Row],[Selection Options]:[Selection Options]],","))),,T$11),"")</f>
        <v/>
      </c>
      <c r="U114" s="29" t="str" cm="1">
        <f t="array" ref="U114">IFERROR(INDEX(_xlfn.UNIQUE(TRIM(_xlfn.TEXTSPLIT(Table261424[[#This Row],[Selection Options]:[Selection Options]],","))),,U$11),"")</f>
        <v/>
      </c>
      <c r="V114" s="29" t="str" cm="1">
        <f t="array" ref="V114">IFERROR(INDEX(_xlfn.UNIQUE(TRIM(_xlfn.TEXTSPLIT(Table261424[[#This Row],[Selection Options]:[Selection Options]],","))),,V$11),"")</f>
        <v/>
      </c>
      <c r="W114" s="29" t="str" cm="1">
        <f t="array" ref="W114">IFERROR(INDEX(_xlfn.UNIQUE(TRIM(_xlfn.TEXTSPLIT(Table261424[[#This Row],[Selection Options]:[Selection Options]],","))),,W$11),"")</f>
        <v/>
      </c>
      <c r="X114" s="29" t="str" cm="1">
        <f t="array" ref="X114">IFERROR(INDEX(_xlfn.UNIQUE(TRIM(_xlfn.TEXTSPLIT(Table261424[[#This Row],[Selection Options]:[Selection Options]],","))),,X$11),"")</f>
        <v/>
      </c>
      <c r="Y114" s="29" t="str" cm="1">
        <f t="array" ref="Y114">IFERROR(INDEX(_xlfn.UNIQUE(TRIM(_xlfn.TEXTSPLIT(Table261424[[#This Row],[Selection Options]:[Selection Options]],","))),,Y$11),"")</f>
        <v/>
      </c>
      <c r="Z114" s="183" cm="1">
        <f t="array" ref="Z114">IF(Table261424[[#This Row],[1]]="","",Table261424[[#This Row],[Weight]:[Weight]]-(Table261424[[#This Row],[Weight]:[Weight]]*((_xlfn.XMATCH(Table261424[[#This Row],[1]],Table261424[[#This Row],[1]:[11]],0))-1)/(COUNTA(Table261424[[#This Row],[1]:[11]])-COUNTBLANK(Table261424[[#This Row],[1]:[11]])-1)))</f>
        <v>4.0983606557377049E-4</v>
      </c>
      <c r="AA114" s="183" cm="1">
        <f t="array" ref="AA114">IF(Table261424[[#This Row],[2]]="","",Table261424[[#This Row],[Weight]:[Weight]]-(Table261424[[#This Row],[Weight]:[Weight]]*((_xlfn.XMATCH(Table261424[[#This Row],[2]],Table261424[[#This Row],[1]:[11]],0))-1)/(COUNTA(Table261424[[#This Row],[1]:[11]])-COUNTBLANK(Table261424[[#This Row],[1]:[11]])-1)))</f>
        <v>3.0737704918032784E-4</v>
      </c>
      <c r="AB114" s="183" cm="1">
        <f t="array" ref="AB114">IF(Table261424[[#This Row],[3]]="","",Table261424[[#This Row],[Weight]:[Weight]]-(Table261424[[#This Row],[Weight]:[Weight]]*((_xlfn.XMATCH(Table261424[[#This Row],[3]],Table261424[[#This Row],[1]:[11]],0))-1)/(COUNTA(Table261424[[#This Row],[1]:[11]])-COUNTBLANK(Table261424[[#This Row],[1]:[11]])-1)))</f>
        <v>2.0491803278688525E-4</v>
      </c>
      <c r="AC114" s="183" cm="1">
        <f t="array" ref="AC114">IF(Table261424[[#This Row],[4]]="","",Table261424[[#This Row],[Weight]:[Weight]]-(Table261424[[#This Row],[Weight]:[Weight]]*((_xlfn.XMATCH(Table261424[[#This Row],[4]],Table261424[[#This Row],[1]:[11]],0))-1)/(COUNTA(Table261424[[#This Row],[1]:[11]])-COUNTBLANK(Table261424[[#This Row],[1]:[11]])-1)))</f>
        <v>1.0245901639344265E-4</v>
      </c>
      <c r="AD114" s="183" cm="1">
        <f t="array" ref="AD114">IF(Table261424[[#This Row],[5]]="","",Table261424[[#This Row],[Weight]:[Weight]]-(Table261424[[#This Row],[Weight]:[Weight]]*((_xlfn.XMATCH(Table261424[[#This Row],[5]],Table261424[[#This Row],[1]:[11]],0))-1)/(COUNTA(Table261424[[#This Row],[1]:[11]])-COUNTBLANK(Table261424[[#This Row],[1]:[11]])-1)))</f>
        <v>0</v>
      </c>
      <c r="AE114" s="183" t="str" cm="1">
        <f t="array" ref="AE114">IF(Table261424[[#This Row],[6]]="","",Table261424[[#This Row],[Weight]:[Weight]]-(Table261424[[#This Row],[Weight]:[Weight]]*((_xlfn.XMATCH(Table261424[[#This Row],[6]],Table261424[[#This Row],[1]:[11]],0))-1)/(COUNTA(Table261424[[#This Row],[1]:[11]])-COUNTBLANK(Table261424[[#This Row],[1]:[11]])-1)))</f>
        <v/>
      </c>
      <c r="AF114" s="183" t="str" cm="1">
        <f t="array" ref="AF114">IF(Table261424[[#This Row],[7]]="","",Table261424[[#This Row],[Weight]:[Weight]]-(Table261424[[#This Row],[Weight]:[Weight]]*((_xlfn.XMATCH(Table261424[[#This Row],[7]],Table261424[[#This Row],[1]:[11]],0))-1)/(COUNTA(Table261424[[#This Row],[1]:[11]])-COUNTBLANK(Table261424[[#This Row],[1]:[11]])-1)))</f>
        <v/>
      </c>
      <c r="AG114" s="183" t="str" cm="1">
        <f t="array" ref="AG114">IF(Table261424[[#This Row],[8]]="","",Table261424[[#This Row],[Weight]:[Weight]]-(Table261424[[#This Row],[Weight]:[Weight]]*((_xlfn.XMATCH(Table261424[[#This Row],[8]],Table261424[[#This Row],[1]:[11]],0))-1)/(COUNTA(Table261424[[#This Row],[1]:[11]])-COUNTBLANK(Table261424[[#This Row],[1]:[11]])-1)))</f>
        <v/>
      </c>
      <c r="AH114" s="29" t="str" cm="1">
        <f t="array" ref="AH114">IF(Table261424[[#This Row],[9]]="","",Table261424[[#This Row],[Weight]:[Weight]]-(Table261424[[#This Row],[Weight]:[Weight]]*((_xlfn.XMATCH(Table261424[[#This Row],[9]],Table261424[[#This Row],[1]:[11]],0))-1)/(COUNTA(Table261424[[#This Row],[1]:[11]])-COUNTBLANK(Table261424[[#This Row],[1]:[11]])-1)))</f>
        <v/>
      </c>
      <c r="AI114" s="29" t="str" cm="1">
        <f t="array" ref="AI114">IF(Table261424[[#This Row],[10]]="","",Table261424[[#This Row],[Weight]:[Weight]]-(Table261424[[#This Row],[Weight]:[Weight]]*((_xlfn.XMATCH(Table261424[[#This Row],[10]],Table261424[[#This Row],[1]:[11]],0))-1)/(COUNTA(Table261424[[#This Row],[1]:[11]])-COUNTBLANK(Table261424[[#This Row],[1]:[11]])-1)))</f>
        <v/>
      </c>
      <c r="AJ114" s="29" t="str" cm="1">
        <f t="array" ref="AJ114">IF(Table261424[[#This Row],[11]]="","",Table261424[[#This Row],[Weight]:[Weight]]-(Table261424[[#This Row],[Weight]:[Weight]]*((_xlfn.XMATCH(Table261424[[#This Row],[11]],Table261424[[#This Row],[1]:[11]],0))-1)/(COUNTA(Table261424[[#This Row],[1]:[11]])-COUNTBLANK(Table261424[[#This Row],[1]:[11]])-1)))</f>
        <v/>
      </c>
    </row>
    <row r="115" spans="1:36" s="167" customFormat="1" ht="75.599999999999994" customHeight="1" x14ac:dyDescent="0.2">
      <c r="A115" s="173">
        <v>103</v>
      </c>
      <c r="B115" s="158" t="s">
        <v>319</v>
      </c>
      <c r="C115" s="178" t="s">
        <v>215</v>
      </c>
      <c r="D115" s="179"/>
      <c r="E115" s="38"/>
      <c r="F115" s="38"/>
      <c r="G115" s="159" t="s">
        <v>188</v>
      </c>
      <c r="H115" s="160" cm="1">
        <f t="array" ref="H115">_xlfn.IFS(G115="","",G115="No interest",0,G115="Nice to have",1,G115="Useful",2,G115="Important",3,G115="Very important",4,G115="Critical",5,G115="Show stopper",6)</f>
        <v>5</v>
      </c>
      <c r="I115" s="161">
        <f>(H115/$H$11)*$G$11</f>
        <v>3.4153005464480874E-4</v>
      </c>
      <c r="J115" s="157" t="s">
        <v>216</v>
      </c>
      <c r="K115" s="158" t="str" cm="1">
        <f t="array" ref="K115">_xlfn.TEXTJOIN(","&amp;CHAR(10),,TEXT(Table261424[[#This Row],[12]:[22]],"0,00%"))</f>
        <v>0,00%,
0,00%,
0,00%,
0,00%,
0,00%</v>
      </c>
      <c r="L115" s="180"/>
      <c r="M115" s="181" t="e">
        <f>I115-(I115*((MATCH(Table261424[[#This Row],[Evaluators Response (SELECT)]],Table261424[[#This Row],[1]:[11]],0)-1)/(COUNTA(Table261424[[#This Row],[1]:[11]])-COUNTBLANK(Table261424[[#This Row],[1]:[11]])-1)))</f>
        <v>#N/A</v>
      </c>
      <c r="N115" s="38"/>
      <c r="O115" s="29" t="str" cm="1">
        <f t="array" ref="O115">IFERROR(INDEX(_xlfn.UNIQUE(TRIM(_xlfn.TEXTSPLIT(Table261424[[#This Row],[Selection Options]:[Selection Options]],","))),,O$11),"")</f>
        <v>100%: Supported as delivered out of the box</v>
      </c>
      <c r="P115" s="29" t="str" cm="1">
        <f t="array" ref="P115">IFERROR(INDEX(_xlfn.UNIQUE(TRIM(_xlfn.TEXTSPLIT(Table261424[[#This Row],[Selection Options]:[Selection Options]],","))),,P$11),"")</f>
        <v xml:space="preserve">
75%: Supported via modifications (config)</v>
      </c>
      <c r="Q115" s="29" t="str" cm="1">
        <f t="array" ref="Q115">IFERROR(INDEX(_xlfn.UNIQUE(TRIM(_xlfn.TEXTSPLIT(Table261424[[#This Row],[Selection Options]:[Selection Options]],","))),,Q$11),"")</f>
        <v xml:space="preserve">
50%: Supported via a third party solution</v>
      </c>
      <c r="R115" s="29" t="str" cm="1">
        <f t="array" ref="R115">IFERROR(INDEX(_xlfn.UNIQUE(TRIM(_xlfn.TEXTSPLIT(Table261424[[#This Row],[Selection Options]:[Selection Options]],","))),,R$11),"")</f>
        <v xml:space="preserve">
25%: Supported via customisation (source code changes)</v>
      </c>
      <c r="S115" s="182" t="str" cm="1">
        <f t="array" ref="S115">IFERROR(INDEX(_xlfn.UNIQUE(TRIM(_xlfn.TEXTSPLIT(Table261424[[#This Row],[Selection Options]:[Selection Options]],","))),,S$11),"")</f>
        <v xml:space="preserve">
 0%: Not currently supported</v>
      </c>
      <c r="T115" s="29" t="str" cm="1">
        <f t="array" ref="T115">IFERROR(INDEX(_xlfn.UNIQUE(TRIM(_xlfn.TEXTSPLIT(Table261424[[#This Row],[Selection Options]:[Selection Options]],","))),,T$11),"")</f>
        <v/>
      </c>
      <c r="U115" s="29" t="str" cm="1">
        <f t="array" ref="U115">IFERROR(INDEX(_xlfn.UNIQUE(TRIM(_xlfn.TEXTSPLIT(Table261424[[#This Row],[Selection Options]:[Selection Options]],","))),,U$11),"")</f>
        <v/>
      </c>
      <c r="V115" s="29" t="str" cm="1">
        <f t="array" ref="V115">IFERROR(INDEX(_xlfn.UNIQUE(TRIM(_xlfn.TEXTSPLIT(Table261424[[#This Row],[Selection Options]:[Selection Options]],","))),,V$11),"")</f>
        <v/>
      </c>
      <c r="W115" s="29" t="str" cm="1">
        <f t="array" ref="W115">IFERROR(INDEX(_xlfn.UNIQUE(TRIM(_xlfn.TEXTSPLIT(Table261424[[#This Row],[Selection Options]:[Selection Options]],","))),,W$11),"")</f>
        <v/>
      </c>
      <c r="X115" s="29" t="str" cm="1">
        <f t="array" ref="X115">IFERROR(INDEX(_xlfn.UNIQUE(TRIM(_xlfn.TEXTSPLIT(Table261424[[#This Row],[Selection Options]:[Selection Options]],","))),,X$11),"")</f>
        <v/>
      </c>
      <c r="Y115" s="29" t="str" cm="1">
        <f t="array" ref="Y115">IFERROR(INDEX(_xlfn.UNIQUE(TRIM(_xlfn.TEXTSPLIT(Table261424[[#This Row],[Selection Options]:[Selection Options]],","))),,Y$11),"")</f>
        <v/>
      </c>
      <c r="Z115" s="183" cm="1">
        <f t="array" ref="Z115">IF(Table261424[[#This Row],[1]]="","",Table261424[[#This Row],[Weight]:[Weight]]-(Table261424[[#This Row],[Weight]:[Weight]]*((_xlfn.XMATCH(Table261424[[#This Row],[1]],Table261424[[#This Row],[1]:[11]],0))-1)/(COUNTA(Table261424[[#This Row],[1]:[11]])-COUNTBLANK(Table261424[[#This Row],[1]:[11]])-1)))</f>
        <v>3.4153005464480874E-4</v>
      </c>
      <c r="AA115" s="183" cm="1">
        <f t="array" ref="AA115">IF(Table261424[[#This Row],[2]]="","",Table261424[[#This Row],[Weight]:[Weight]]-(Table261424[[#This Row],[Weight]:[Weight]]*((_xlfn.XMATCH(Table261424[[#This Row],[2]],Table261424[[#This Row],[1]:[11]],0))-1)/(COUNTA(Table261424[[#This Row],[1]:[11]])-COUNTBLANK(Table261424[[#This Row],[1]:[11]])-1)))</f>
        <v>2.5614754098360657E-4</v>
      </c>
      <c r="AB115" s="183" cm="1">
        <f t="array" ref="AB115">IF(Table261424[[#This Row],[3]]="","",Table261424[[#This Row],[Weight]:[Weight]]-(Table261424[[#This Row],[Weight]:[Weight]]*((_xlfn.XMATCH(Table261424[[#This Row],[3]],Table261424[[#This Row],[1]:[11]],0))-1)/(COUNTA(Table261424[[#This Row],[1]:[11]])-COUNTBLANK(Table261424[[#This Row],[1]:[11]])-1)))</f>
        <v>1.7076502732240437E-4</v>
      </c>
      <c r="AC115" s="183" cm="1">
        <f t="array" ref="AC115">IF(Table261424[[#This Row],[4]]="","",Table261424[[#This Row],[Weight]:[Weight]]-(Table261424[[#This Row],[Weight]:[Weight]]*((_xlfn.XMATCH(Table261424[[#This Row],[4]],Table261424[[#This Row],[1]:[11]],0))-1)/(COUNTA(Table261424[[#This Row],[1]:[11]])-COUNTBLANK(Table261424[[#This Row],[1]:[11]])-1)))</f>
        <v>8.5382513661202172E-5</v>
      </c>
      <c r="AD115" s="183" cm="1">
        <f t="array" ref="AD115">IF(Table261424[[#This Row],[5]]="","",Table261424[[#This Row],[Weight]:[Weight]]-(Table261424[[#This Row],[Weight]:[Weight]]*((_xlfn.XMATCH(Table261424[[#This Row],[5]],Table261424[[#This Row],[1]:[11]],0))-1)/(COUNTA(Table261424[[#This Row],[1]:[11]])-COUNTBLANK(Table261424[[#This Row],[1]:[11]])-1)))</f>
        <v>0</v>
      </c>
      <c r="AE115" s="183" t="str" cm="1">
        <f t="array" ref="AE115">IF(Table261424[[#This Row],[6]]="","",Table261424[[#This Row],[Weight]:[Weight]]-(Table261424[[#This Row],[Weight]:[Weight]]*((_xlfn.XMATCH(Table261424[[#This Row],[6]],Table261424[[#This Row],[1]:[11]],0))-1)/(COUNTA(Table261424[[#This Row],[1]:[11]])-COUNTBLANK(Table261424[[#This Row],[1]:[11]])-1)))</f>
        <v/>
      </c>
      <c r="AF115" s="183" t="str" cm="1">
        <f t="array" ref="AF115">IF(Table261424[[#This Row],[7]]="","",Table261424[[#This Row],[Weight]:[Weight]]-(Table261424[[#This Row],[Weight]:[Weight]]*((_xlfn.XMATCH(Table261424[[#This Row],[7]],Table261424[[#This Row],[1]:[11]],0))-1)/(COUNTA(Table261424[[#This Row],[1]:[11]])-COUNTBLANK(Table261424[[#This Row],[1]:[11]])-1)))</f>
        <v/>
      </c>
      <c r="AG115" s="183" t="str" cm="1">
        <f t="array" ref="AG115">IF(Table261424[[#This Row],[8]]="","",Table261424[[#This Row],[Weight]:[Weight]]-(Table261424[[#This Row],[Weight]:[Weight]]*((_xlfn.XMATCH(Table261424[[#This Row],[8]],Table261424[[#This Row],[1]:[11]],0))-1)/(COUNTA(Table261424[[#This Row],[1]:[11]])-COUNTBLANK(Table261424[[#This Row],[1]:[11]])-1)))</f>
        <v/>
      </c>
      <c r="AH115" s="29" t="str" cm="1">
        <f t="array" ref="AH115">IF(Table261424[[#This Row],[9]]="","",Table261424[[#This Row],[Weight]:[Weight]]-(Table261424[[#This Row],[Weight]:[Weight]]*((_xlfn.XMATCH(Table261424[[#This Row],[9]],Table261424[[#This Row],[1]:[11]],0))-1)/(COUNTA(Table261424[[#This Row],[1]:[11]])-COUNTBLANK(Table261424[[#This Row],[1]:[11]])-1)))</f>
        <v/>
      </c>
      <c r="AI115" s="29" t="str" cm="1">
        <f t="array" ref="AI115">IF(Table261424[[#This Row],[10]]="","",Table261424[[#This Row],[Weight]:[Weight]]-(Table261424[[#This Row],[Weight]:[Weight]]*((_xlfn.XMATCH(Table261424[[#This Row],[10]],Table261424[[#This Row],[1]:[11]],0))-1)/(COUNTA(Table261424[[#This Row],[1]:[11]])-COUNTBLANK(Table261424[[#This Row],[1]:[11]])-1)))</f>
        <v/>
      </c>
      <c r="AJ115" s="29" t="str" cm="1">
        <f t="array" ref="AJ115">IF(Table261424[[#This Row],[11]]="","",Table261424[[#This Row],[Weight]:[Weight]]-(Table261424[[#This Row],[Weight]:[Weight]]*((_xlfn.XMATCH(Table261424[[#This Row],[11]],Table261424[[#This Row],[1]:[11]],0))-1)/(COUNTA(Table261424[[#This Row],[1]:[11]])-COUNTBLANK(Table261424[[#This Row],[1]:[11]])-1)))</f>
        <v/>
      </c>
    </row>
  </sheetData>
  <sheetProtection insertRows="0" insertHyperlinks="0" deleteRows="0" autoFilter="0"/>
  <mergeCells count="4">
    <mergeCell ref="F2:G3"/>
    <mergeCell ref="A10:A11"/>
    <mergeCell ref="B10:C11"/>
    <mergeCell ref="E10:F11"/>
  </mergeCells>
  <conditionalFormatting sqref="L13:L115">
    <cfRule type="expression" dxfId="533" priority="1">
      <formula>COUNTIF(O13:Y13,L13)&lt;&gt;1</formula>
    </cfRule>
  </conditionalFormatting>
  <dataValidations count="4">
    <dataValidation type="list" allowBlank="1" showInputMessage="1" showErrorMessage="1" sqref="N14" xr:uid="{6F84ABAD-3016-4992-A3D2-BFB40293388F}">
      <formula1>_xlfn.UNIQUE(TRIM(_xlfn.TEXTSPLIT(#REF!,",")))</formula1>
    </dataValidation>
    <dataValidation type="list" allowBlank="1" showInputMessage="1" showErrorMessage="1" sqref="G13:G115" xr:uid="{E17B6217-831A-48AA-AE04-57F1369074F3}">
      <formula1>"No interest,Nice to have,Useful,Important,Very important,Critical,Show stopper"</formula1>
    </dataValidation>
    <dataValidation type="list" allowBlank="1" showInputMessage="1" showErrorMessage="1" sqref="I13:I115" xr:uid="{A4FF9728-8B2E-45C4-A579-A561FA389AE0}">
      <formula1>O13:S13</formula1>
    </dataValidation>
    <dataValidation type="list" allowBlank="1" showInputMessage="1" showErrorMessage="1" sqref="L13:L115" xr:uid="{A905E5FE-AF45-4397-806F-14301E5C9F15}">
      <formula1>$O13:$Y13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7215F-83F3-4D1F-996E-2087C2A2206F}">
  <sheetPr>
    <tabColor rgb="FF92D050"/>
    <pageSetUpPr fitToPage="1"/>
  </sheetPr>
  <dimension ref="A2:AI37"/>
  <sheetViews>
    <sheetView topLeftCell="A9" zoomScale="82" zoomScaleNormal="82" workbookViewId="0">
      <selection activeCell="B15" sqref="B15"/>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28.1406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8" width="5.42578125" style="6" customWidth="1"/>
    <col min="39"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Summary'!C16</f>
        <v>3.7499999999999999E-2</v>
      </c>
      <c r="G11" s="43">
        <f>SUM(Table261425[Priority])</f>
        <v>136</v>
      </c>
      <c r="H11" s="8">
        <f>SUM(Table261425[Weight])</f>
        <v>3.7500000000000006E-2</v>
      </c>
      <c r="I11" s="7"/>
      <c r="J11" s="7"/>
      <c r="K11" s="9" t="s">
        <v>17</v>
      </c>
      <c r="L11" s="8" t="e">
        <f>SUM(Table261425[Score])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20" x14ac:dyDescent="0.2">
      <c r="A13" s="20">
        <v>1</v>
      </c>
      <c r="B13" s="90" t="s">
        <v>320</v>
      </c>
      <c r="C13" s="119" t="s">
        <v>215</v>
      </c>
      <c r="D13" s="90"/>
      <c r="E13" s="90" t="s">
        <v>55</v>
      </c>
      <c r="F13" s="120" t="s">
        <v>60</v>
      </c>
      <c r="G13" s="148" cm="1">
        <f t="array" ref="G13">_xlfn.IFS(F13="","",F13="No interest",0,F13="Nice to have",1,F13="Useful",2,F13="Important",3,F13="Very important",4,F13="Critical",5,F13="Show stopper",6)</f>
        <v>6</v>
      </c>
      <c r="H13" s="149">
        <f t="shared" ref="H13:H16" si="0">(G13/$G$11)*$F$11</f>
        <v>1.6544117647058823E-3</v>
      </c>
      <c r="I13" s="150" t="s">
        <v>321</v>
      </c>
      <c r="J13" s="25" t="str" cm="1">
        <f t="array" ref="J13">_xlfn.TEXTJOIN(","&amp;CHAR(10),,TEXT(Table261425[[#This Row],[12]:[22]],"0,00%"))</f>
        <v>0,00%,
0,00%,
0,00%,
0,00%,
0,00%</v>
      </c>
      <c r="K13" s="26"/>
      <c r="L13" s="27" t="e">
        <f>H13-(H13*((MATCH(Table261425[[#This Row],[Evaluators Response (SELECT)]],Table261425[[#This Row],[1]:[11]],0)-1)/(COUNTA(Table261425[[#This Row],[1]:[11]])-COUNTBLANK(Table261425[[#This Row],[1]:[11]])-1)))</f>
        <v>#N/A</v>
      </c>
      <c r="M13" s="28"/>
      <c r="N13" s="29" t="str" cm="1">
        <f t="array" ref="N13">IFERROR(INDEX(_xlfn.UNIQUE(TRIM(_xlfn.TEXTSPLIT(Table261425[[#This Row],[Selection Options]:[Selection Options]],","))),,N$11),"")</f>
        <v>100%: Supported as delivered "out of the box"</v>
      </c>
      <c r="O13" s="29" t="str" cm="1">
        <f t="array" ref="O13">IFERROR(INDEX(_xlfn.UNIQUE(TRIM(_xlfn.TEXTSPLIT(Table261425[[#This Row],[Selection Options]:[Selection Options]],","))),,O$11),"")</f>
        <v xml:space="preserve">
75%: Supported via modifications (config)</v>
      </c>
      <c r="P13" s="29" t="str" cm="1">
        <f t="array" ref="P13">IFERROR(INDEX(_xlfn.UNIQUE(TRIM(_xlfn.TEXTSPLIT(Table261425[[#This Row],[Selection Options]:[Selection Options]],","))),,P$11),"")</f>
        <v xml:space="preserve">
50%: Supported via a third party solution</v>
      </c>
      <c r="Q13" s="29" t="str" cm="1">
        <f t="array" ref="Q13">IFERROR(INDEX(_xlfn.UNIQUE(TRIM(_xlfn.TEXTSPLIT(Table261425[[#This Row],[Selection Options]:[Selection Options]],","))),,Q$11),"")</f>
        <v xml:space="preserve">
25%: Supported via customisation (source code changes)</v>
      </c>
      <c r="R13" s="29" t="str" cm="1">
        <f t="array" ref="R13">IFERROR(INDEX(_xlfn.UNIQUE(TRIM(_xlfn.TEXTSPLIT(Table261425[[#This Row],[Selection Options]:[Selection Options]],","))),,R$11),"")</f>
        <v xml:space="preserve">
 0%: Not currently supported</v>
      </c>
      <c r="S13" s="29" t="str" cm="1">
        <f t="array" ref="S13">IFERROR(INDEX(_xlfn.UNIQUE(TRIM(_xlfn.TEXTSPLIT(Table261425[[#This Row],[Selection Options]:[Selection Options]],","))),,S$11),"")</f>
        <v/>
      </c>
      <c r="T13" s="29" t="str" cm="1">
        <f t="array" ref="T13">IFERROR(INDEX(_xlfn.UNIQUE(TRIM(_xlfn.TEXTSPLIT(Table261425[[#This Row],[Selection Options]:[Selection Options]],","))),,T$11),"")</f>
        <v/>
      </c>
      <c r="U13" s="29" t="str" cm="1">
        <f t="array" ref="U13">IFERROR(INDEX(_xlfn.UNIQUE(TRIM(_xlfn.TEXTSPLIT(Table261425[[#This Row],[Selection Options]:[Selection Options]],","))),,U$11),"")</f>
        <v/>
      </c>
      <c r="V13" s="29" t="str" cm="1">
        <f t="array" ref="V13">IFERROR(INDEX(_xlfn.UNIQUE(TRIM(_xlfn.TEXTSPLIT(Table261425[[#This Row],[Selection Options]:[Selection Options]],","))),,V$11),"")</f>
        <v/>
      </c>
      <c r="W13" s="29" t="str" cm="1">
        <f t="array" ref="W13">IFERROR(INDEX(_xlfn.UNIQUE(TRIM(_xlfn.TEXTSPLIT(Table261425[[#This Row],[Selection Options]:[Selection Options]],","))),,W$11),"")</f>
        <v/>
      </c>
      <c r="X13" s="29" t="str" cm="1">
        <f t="array" ref="X13">IFERROR(INDEX(_xlfn.UNIQUE(TRIM(_xlfn.TEXTSPLIT(Table261425[[#This Row],[Selection Options]:[Selection Options]],","))),,X$11),"")</f>
        <v/>
      </c>
      <c r="Y13" s="30" cm="1">
        <f t="array" ref="Y13">IF(Table261425[[#This Row],[1]]="","",Table261425[[#This Row],[Weight]:[Weight]]-(Table261425[[#This Row],[Weight]:[Weight]]*((_xlfn.XMATCH(Table261425[[#This Row],[1]],Table261425[[#This Row],[1]:[11]],0))-1)/(COUNTA(Table261425[[#This Row],[1]:[11]])-COUNTBLANK(Table261425[[#This Row],[1]:[11]])-1)))</f>
        <v>1.6544117647058823E-3</v>
      </c>
      <c r="Z13" s="30" cm="1">
        <f t="array" ref="Z13">IF(Table261425[[#This Row],[2]]="","",Table261425[[#This Row],[Weight]:[Weight]]-(Table261425[[#This Row],[Weight]:[Weight]]*((_xlfn.XMATCH(Table261425[[#This Row],[2]],Table261425[[#This Row],[1]:[11]],0))-1)/(COUNTA(Table261425[[#This Row],[1]:[11]])-COUNTBLANK(Table261425[[#This Row],[1]:[11]])-1)))</f>
        <v>1.2408088235294117E-3</v>
      </c>
      <c r="AA13" s="30" cm="1">
        <f t="array" ref="AA13">IF(Table261425[[#This Row],[3]]="","",Table261425[[#This Row],[Weight]:[Weight]]-(Table261425[[#This Row],[Weight]:[Weight]]*((_xlfn.XMATCH(Table261425[[#This Row],[3]],Table261425[[#This Row],[1]:[11]],0))-1)/(COUNTA(Table261425[[#This Row],[1]:[11]])-COUNTBLANK(Table261425[[#This Row],[1]:[11]])-1)))</f>
        <v>8.2720588235294116E-4</v>
      </c>
      <c r="AB13" s="30" cm="1">
        <f t="array" ref="AB13">IF(Table261425[[#This Row],[4]]="","",Table261425[[#This Row],[Weight]:[Weight]]-(Table261425[[#This Row],[Weight]:[Weight]]*((_xlfn.XMATCH(Table261425[[#This Row],[4]],Table261425[[#This Row],[1]:[11]],0))-1)/(COUNTA(Table261425[[#This Row],[1]:[11]])-COUNTBLANK(Table261425[[#This Row],[1]:[11]])-1)))</f>
        <v>4.1360294117647064E-4</v>
      </c>
      <c r="AC13" s="30" cm="1">
        <f t="array" ref="AC13">IF(Table261425[[#This Row],[5]]="","",Table261425[[#This Row],[Weight]:[Weight]]-(Table261425[[#This Row],[Weight]:[Weight]]*((_xlfn.XMATCH(Table261425[[#This Row],[5]],Table261425[[#This Row],[1]:[11]],0))-1)/(COUNTA(Table261425[[#This Row],[1]:[11]])-COUNTBLANK(Table261425[[#This Row],[1]:[11]])-1)))</f>
        <v>0</v>
      </c>
      <c r="AD13" s="30" t="str" cm="1">
        <f t="array" ref="AD13">IF(Table261425[[#This Row],[6]]="","",Table261425[[#This Row],[Weight]:[Weight]]-(Table261425[[#This Row],[Weight]:[Weight]]*((_xlfn.XMATCH(Table261425[[#This Row],[6]],Table261425[[#This Row],[1]:[11]],0))-1)/(COUNTA(Table261425[[#This Row],[1]:[11]])-COUNTBLANK(Table261425[[#This Row],[1]:[11]])-1)))</f>
        <v/>
      </c>
      <c r="AE13" s="30" t="str" cm="1">
        <f t="array" ref="AE13">IF(Table261425[[#This Row],[7]]="","",Table261425[[#This Row],[Weight]:[Weight]]-(Table261425[[#This Row],[Weight]:[Weight]]*((_xlfn.XMATCH(Table261425[[#This Row],[7]],Table261425[[#This Row],[1]:[11]],0))-1)/(COUNTA(Table261425[[#This Row],[1]:[11]])-COUNTBLANK(Table261425[[#This Row],[1]:[11]])-1)))</f>
        <v/>
      </c>
      <c r="AF13" s="30" t="str" cm="1">
        <f t="array" ref="AF13">IF(Table261425[[#This Row],[8]]="","",Table261425[[#This Row],[Weight]:[Weight]]-(Table261425[[#This Row],[Weight]:[Weight]]*((_xlfn.XMATCH(Table261425[[#This Row],[8]],Table261425[[#This Row],[1]:[11]],0))-1)/(COUNTA(Table261425[[#This Row],[1]:[11]])-COUNTBLANK(Table261425[[#This Row],[1]:[11]])-1)))</f>
        <v/>
      </c>
      <c r="AG13" s="30" t="str" cm="1">
        <f t="array" ref="AG13">IF(Table261425[[#This Row],[9]]="","",Table261425[[#This Row],[Weight]:[Weight]]-(Table261425[[#This Row],[Weight]:[Weight]]*((_xlfn.XMATCH(Table261425[[#This Row],[9]],Table261425[[#This Row],[1]:[11]],0))-1)/(COUNTA(Table261425[[#This Row],[1]:[11]])-COUNTBLANK(Table261425[[#This Row],[1]:[11]])-1)))</f>
        <v/>
      </c>
      <c r="AH13" s="30" t="str" cm="1">
        <f t="array" ref="AH13">IF(Table261425[[#This Row],[10]]="","",Table261425[[#This Row],[Weight]:[Weight]]-(Table261425[[#This Row],[Weight]:[Weight]]*((_xlfn.XMATCH(Table261425[[#This Row],[10]],Table261425[[#This Row],[1]:[11]],0))-1)/(COUNTA(Table261425[[#This Row],[1]:[11]])-COUNTBLANK(Table261425[[#This Row],[1]:[11]])-1)))</f>
        <v/>
      </c>
      <c r="AI13" s="30" t="str" cm="1">
        <f t="array" ref="AI13">IF(Table261425[[#This Row],[11]]="","",Table261425[[#This Row],[Weight]:[Weight]]-(Table261425[[#This Row],[Weight]:[Weight]]*((_xlfn.XMATCH(Table261425[[#This Row],[11]],Table261425[[#This Row],[1]:[11]],0))-1)/(COUNTA(Table261425[[#This Row],[1]:[11]])-COUNTBLANK(Table261425[[#This Row],[1]:[11]])-1)))</f>
        <v/>
      </c>
    </row>
    <row r="14" spans="1:35" ht="120" x14ac:dyDescent="0.2">
      <c r="A14" s="20">
        <v>2</v>
      </c>
      <c r="B14" s="90" t="s">
        <v>322</v>
      </c>
      <c r="C14" s="119" t="s">
        <v>215</v>
      </c>
      <c r="D14" s="146"/>
      <c r="E14" s="146"/>
      <c r="F14" s="120" t="s">
        <v>188</v>
      </c>
      <c r="G14" s="148" cm="1">
        <f t="array" ref="G14">_xlfn.IFS(F14="","",F14="No interest",0,F14="Nice to have",1,F14="Useful",2,F14="Important",3,F14="Very important",4,F14="Critical",5,F14="Show stopper",6)</f>
        <v>5</v>
      </c>
      <c r="H14" s="149">
        <f t="shared" si="0"/>
        <v>1.3786764705882354E-3</v>
      </c>
      <c r="I14" s="150" t="s">
        <v>321</v>
      </c>
      <c r="J14" s="25" t="str" cm="1">
        <f t="array" ref="J14">_xlfn.TEXTJOIN(","&amp;CHAR(10),,TEXT(Table261425[[#This Row],[12]:[22]],"0,00%"))</f>
        <v>0,00%,
0,00%,
0,00%,
0,00%,
0,00%</v>
      </c>
      <c r="K14" s="26"/>
      <c r="L14" s="27" t="e">
        <f>H14-(H14*((MATCH(Table261425[[#This Row],[Evaluators Response (SELECT)]],Table261425[[#This Row],[1]:[11]],0)-1)/(COUNTA(Table261425[[#This Row],[1]:[11]])-COUNTBLANK(Table261425[[#This Row],[1]:[11]])-1)))</f>
        <v>#N/A</v>
      </c>
      <c r="M14" s="28"/>
      <c r="N14" s="29" t="str" cm="1">
        <f t="array" ref="N14">IFERROR(INDEX(_xlfn.UNIQUE(TRIM(_xlfn.TEXTSPLIT(Table261425[[#This Row],[Selection Options]:[Selection Options]],","))),,N$11),"")</f>
        <v>100%: Supported as delivered "out of the box"</v>
      </c>
      <c r="O14" s="29" t="str" cm="1">
        <f t="array" ref="O14">IFERROR(INDEX(_xlfn.UNIQUE(TRIM(_xlfn.TEXTSPLIT(Table261425[[#This Row],[Selection Options]:[Selection Options]],","))),,O$11),"")</f>
        <v xml:space="preserve">
75%: Supported via modifications (config)</v>
      </c>
      <c r="P14" s="29" t="str" cm="1">
        <f t="array" ref="P14">IFERROR(INDEX(_xlfn.UNIQUE(TRIM(_xlfn.TEXTSPLIT(Table261425[[#This Row],[Selection Options]:[Selection Options]],","))),,P$11),"")</f>
        <v xml:space="preserve">
50%: Supported via a third party solution</v>
      </c>
      <c r="Q14" s="29" t="str" cm="1">
        <f t="array" ref="Q14">IFERROR(INDEX(_xlfn.UNIQUE(TRIM(_xlfn.TEXTSPLIT(Table261425[[#This Row],[Selection Options]:[Selection Options]],","))),,Q$11),"")</f>
        <v xml:space="preserve">
25%: Supported via customisation (source code changes)</v>
      </c>
      <c r="R14" s="29" t="str" cm="1">
        <f t="array" ref="R14">IFERROR(INDEX(_xlfn.UNIQUE(TRIM(_xlfn.TEXTSPLIT(Table261425[[#This Row],[Selection Options]:[Selection Options]],","))),,R$11),"")</f>
        <v xml:space="preserve">
 0%: Not currently supported</v>
      </c>
      <c r="S14" s="29" t="str" cm="1">
        <f t="array" ref="S14">IFERROR(INDEX(_xlfn.UNIQUE(TRIM(_xlfn.TEXTSPLIT(Table261425[[#This Row],[Selection Options]:[Selection Options]],","))),,S$11),"")</f>
        <v/>
      </c>
      <c r="T14" s="29" t="str" cm="1">
        <f t="array" ref="T14">IFERROR(INDEX(_xlfn.UNIQUE(TRIM(_xlfn.TEXTSPLIT(Table261425[[#This Row],[Selection Options]:[Selection Options]],","))),,T$11),"")</f>
        <v/>
      </c>
      <c r="U14" s="29" t="str" cm="1">
        <f t="array" ref="U14">IFERROR(INDEX(_xlfn.UNIQUE(TRIM(_xlfn.TEXTSPLIT(Table261425[[#This Row],[Selection Options]:[Selection Options]],","))),,U$11),"")</f>
        <v/>
      </c>
      <c r="V14" s="29" t="str" cm="1">
        <f t="array" ref="V14">IFERROR(INDEX(_xlfn.UNIQUE(TRIM(_xlfn.TEXTSPLIT(Table261425[[#This Row],[Selection Options]:[Selection Options]],","))),,V$11),"")</f>
        <v/>
      </c>
      <c r="W14" s="29" t="str" cm="1">
        <f t="array" ref="W14">IFERROR(INDEX(_xlfn.UNIQUE(TRIM(_xlfn.TEXTSPLIT(Table261425[[#This Row],[Selection Options]:[Selection Options]],","))),,W$11),"")</f>
        <v/>
      </c>
      <c r="X14" s="29" t="str" cm="1">
        <f t="array" ref="X14">IFERROR(INDEX(_xlfn.UNIQUE(TRIM(_xlfn.TEXTSPLIT(Table261425[[#This Row],[Selection Options]:[Selection Options]],","))),,X$11),"")</f>
        <v/>
      </c>
      <c r="Y14" s="30" cm="1">
        <f t="array" ref="Y14">IF(Table261425[[#This Row],[1]]="","",Table261425[[#This Row],[Weight]:[Weight]]-(Table261425[[#This Row],[Weight]:[Weight]]*((_xlfn.XMATCH(Table261425[[#This Row],[1]],Table261425[[#This Row],[1]:[11]],0))-1)/(COUNTA(Table261425[[#This Row],[1]:[11]])-COUNTBLANK(Table261425[[#This Row],[1]:[11]])-1)))</f>
        <v>1.3786764705882354E-3</v>
      </c>
      <c r="Z14" s="30" cm="1">
        <f t="array" ref="Z14">IF(Table261425[[#This Row],[2]]="","",Table261425[[#This Row],[Weight]:[Weight]]-(Table261425[[#This Row],[Weight]:[Weight]]*((_xlfn.XMATCH(Table261425[[#This Row],[2]],Table261425[[#This Row],[1]:[11]],0))-1)/(COUNTA(Table261425[[#This Row],[1]:[11]])-COUNTBLANK(Table261425[[#This Row],[1]:[11]])-1)))</f>
        <v>1.0340073529411765E-3</v>
      </c>
      <c r="AA14" s="30" cm="1">
        <f t="array" ref="AA14">IF(Table261425[[#This Row],[3]]="","",Table261425[[#This Row],[Weight]:[Weight]]-(Table261425[[#This Row],[Weight]:[Weight]]*((_xlfn.XMATCH(Table261425[[#This Row],[3]],Table261425[[#This Row],[1]:[11]],0))-1)/(COUNTA(Table261425[[#This Row],[1]:[11]])-COUNTBLANK(Table261425[[#This Row],[1]:[11]])-1)))</f>
        <v>6.8933823529411769E-4</v>
      </c>
      <c r="AB14" s="30" cm="1">
        <f t="array" ref="AB14">IF(Table261425[[#This Row],[4]]="","",Table261425[[#This Row],[Weight]:[Weight]]-(Table261425[[#This Row],[Weight]:[Weight]]*((_xlfn.XMATCH(Table261425[[#This Row],[4]],Table261425[[#This Row],[1]:[11]],0))-1)/(COUNTA(Table261425[[#This Row],[1]:[11]])-COUNTBLANK(Table261425[[#This Row],[1]:[11]])-1)))</f>
        <v>3.446691176470589E-4</v>
      </c>
      <c r="AC14" s="30" cm="1">
        <f t="array" ref="AC14">IF(Table261425[[#This Row],[5]]="","",Table261425[[#This Row],[Weight]:[Weight]]-(Table261425[[#This Row],[Weight]:[Weight]]*((_xlfn.XMATCH(Table261425[[#This Row],[5]],Table261425[[#This Row],[1]:[11]],0))-1)/(COUNTA(Table261425[[#This Row],[1]:[11]])-COUNTBLANK(Table261425[[#This Row],[1]:[11]])-1)))</f>
        <v>0</v>
      </c>
      <c r="AD14" s="30" t="str" cm="1">
        <f t="array" ref="AD14">IF(Table261425[[#This Row],[6]]="","",Table261425[[#This Row],[Weight]:[Weight]]-(Table261425[[#This Row],[Weight]:[Weight]]*((_xlfn.XMATCH(Table261425[[#This Row],[6]],Table261425[[#This Row],[1]:[11]],0))-1)/(COUNTA(Table261425[[#This Row],[1]:[11]])-COUNTBLANK(Table261425[[#This Row],[1]:[11]])-1)))</f>
        <v/>
      </c>
      <c r="AE14" s="30" t="str" cm="1">
        <f t="array" ref="AE14">IF(Table261425[[#This Row],[7]]="","",Table261425[[#This Row],[Weight]:[Weight]]-(Table261425[[#This Row],[Weight]:[Weight]]*((_xlfn.XMATCH(Table261425[[#This Row],[7]],Table261425[[#This Row],[1]:[11]],0))-1)/(COUNTA(Table261425[[#This Row],[1]:[11]])-COUNTBLANK(Table261425[[#This Row],[1]:[11]])-1)))</f>
        <v/>
      </c>
      <c r="AF14" s="30" t="str" cm="1">
        <f t="array" ref="AF14">IF(Table261425[[#This Row],[8]]="","",Table261425[[#This Row],[Weight]:[Weight]]-(Table261425[[#This Row],[Weight]:[Weight]]*((_xlfn.XMATCH(Table261425[[#This Row],[8]],Table261425[[#This Row],[1]:[11]],0))-1)/(COUNTA(Table261425[[#This Row],[1]:[11]])-COUNTBLANK(Table261425[[#This Row],[1]:[11]])-1)))</f>
        <v/>
      </c>
      <c r="AG14" s="30" t="str" cm="1">
        <f t="array" ref="AG14">IF(Table261425[[#This Row],[9]]="","",Table261425[[#This Row],[Weight]:[Weight]]-(Table261425[[#This Row],[Weight]:[Weight]]*((_xlfn.XMATCH(Table261425[[#This Row],[9]],Table261425[[#This Row],[1]:[11]],0))-1)/(COUNTA(Table261425[[#This Row],[1]:[11]])-COUNTBLANK(Table261425[[#This Row],[1]:[11]])-1)))</f>
        <v/>
      </c>
      <c r="AH14" s="30" t="str" cm="1">
        <f t="array" ref="AH14">IF(Table261425[[#This Row],[10]]="","",Table261425[[#This Row],[Weight]:[Weight]]-(Table261425[[#This Row],[Weight]:[Weight]]*((_xlfn.XMATCH(Table261425[[#This Row],[10]],Table261425[[#This Row],[1]:[11]],0))-1)/(COUNTA(Table261425[[#This Row],[1]:[11]])-COUNTBLANK(Table261425[[#This Row],[1]:[11]])-1)))</f>
        <v/>
      </c>
      <c r="AI14" s="30" t="str" cm="1">
        <f t="array" ref="AI14">IF(Table261425[[#This Row],[11]]="","",Table261425[[#This Row],[Weight]:[Weight]]-(Table261425[[#This Row],[Weight]:[Weight]]*((_xlfn.XMATCH(Table261425[[#This Row],[11]],Table261425[[#This Row],[1]:[11]],0))-1)/(COUNTA(Table261425[[#This Row],[1]:[11]])-COUNTBLANK(Table261425[[#This Row],[1]:[11]])-1)))</f>
        <v/>
      </c>
    </row>
    <row r="15" spans="1:35" ht="120" x14ac:dyDescent="0.2">
      <c r="A15" s="20">
        <v>3</v>
      </c>
      <c r="B15" s="119" t="s">
        <v>323</v>
      </c>
      <c r="C15" s="119" t="s">
        <v>215</v>
      </c>
      <c r="D15" s="147"/>
      <c r="E15" s="147"/>
      <c r="F15" s="121" t="s">
        <v>60</v>
      </c>
      <c r="G15" s="151" cm="1">
        <f t="array" ref="G15">_xlfn.IFS(F15="","",F15="No interest",0,F15="Nice to have",1,F15="Useful",2,F15="Important",3,F15="Very important",4,F15="Critical",5,F15="Show stopper",6)</f>
        <v>6</v>
      </c>
      <c r="H15" s="152">
        <f t="shared" si="0"/>
        <v>1.6544117647058823E-3</v>
      </c>
      <c r="I15" s="150" t="s">
        <v>321</v>
      </c>
      <c r="J15" s="35" t="str" cm="1">
        <f t="array" ref="J15">_xlfn.TEXTJOIN(","&amp;CHAR(10),,TEXT(Table261425[[#This Row],[12]:[22]],"0,00%"))</f>
        <v>0,00%,
0,00%,
0,00%,
0,00%,
0,00%</v>
      </c>
      <c r="K15" s="36"/>
      <c r="L15" s="37" t="e">
        <f>H15-(H15*((MATCH(Table261425[[#This Row],[Evaluators Response (SELECT)]],Table261425[[#This Row],[1]:[11]],0)-1)/(COUNTA(Table261425[[#This Row],[1]:[11]])-COUNTBLANK(Table261425[[#This Row],[1]:[11]])-1)))</f>
        <v>#N/A</v>
      </c>
      <c r="M15" s="38"/>
      <c r="N15" s="29" t="str" cm="1">
        <f t="array" ref="N15">IFERROR(INDEX(_xlfn.UNIQUE(TRIM(_xlfn.TEXTSPLIT(Table261425[[#This Row],[Selection Options]:[Selection Options]],","))),,N$11),"")</f>
        <v>100%: Supported as delivered "out of the box"</v>
      </c>
      <c r="O15" s="29" t="str" cm="1">
        <f t="array" ref="O15">IFERROR(INDEX(_xlfn.UNIQUE(TRIM(_xlfn.TEXTSPLIT(Table261425[[#This Row],[Selection Options]:[Selection Options]],","))),,O$11),"")</f>
        <v xml:space="preserve">
75%: Supported via modifications (config)</v>
      </c>
      <c r="P15" s="29" t="str" cm="1">
        <f t="array" ref="P15">IFERROR(INDEX(_xlfn.UNIQUE(TRIM(_xlfn.TEXTSPLIT(Table261425[[#This Row],[Selection Options]:[Selection Options]],","))),,P$11),"")</f>
        <v xml:space="preserve">
50%: Supported via a third party solution</v>
      </c>
      <c r="Q15" s="29" t="str" cm="1">
        <f t="array" ref="Q15">IFERROR(INDEX(_xlfn.UNIQUE(TRIM(_xlfn.TEXTSPLIT(Table261425[[#This Row],[Selection Options]:[Selection Options]],","))),,Q$11),"")</f>
        <v xml:space="preserve">
25%: Supported via customisation (source code changes)</v>
      </c>
      <c r="R15" s="29" t="str" cm="1">
        <f t="array" ref="R15">IFERROR(INDEX(_xlfn.UNIQUE(TRIM(_xlfn.TEXTSPLIT(Table261425[[#This Row],[Selection Options]:[Selection Options]],","))),,R$11),"")</f>
        <v xml:space="preserve">
 0%: Not currently supported</v>
      </c>
      <c r="S15" s="29" t="str" cm="1">
        <f t="array" ref="S15">IFERROR(INDEX(_xlfn.UNIQUE(TRIM(_xlfn.TEXTSPLIT(Table261425[[#This Row],[Selection Options]:[Selection Options]],","))),,S$11),"")</f>
        <v/>
      </c>
      <c r="T15" s="29" t="str" cm="1">
        <f t="array" ref="T15">IFERROR(INDEX(_xlfn.UNIQUE(TRIM(_xlfn.TEXTSPLIT(Table261425[[#This Row],[Selection Options]:[Selection Options]],","))),,T$11),"")</f>
        <v/>
      </c>
      <c r="U15" s="29" t="str" cm="1">
        <f t="array" ref="U15">IFERROR(INDEX(_xlfn.UNIQUE(TRIM(_xlfn.TEXTSPLIT(Table261425[[#This Row],[Selection Options]:[Selection Options]],","))),,U$11),"")</f>
        <v/>
      </c>
      <c r="V15" s="29" t="str" cm="1">
        <f t="array" ref="V15">IFERROR(INDEX(_xlfn.UNIQUE(TRIM(_xlfn.TEXTSPLIT(Table261425[[#This Row],[Selection Options]:[Selection Options]],","))),,V$11),"")</f>
        <v/>
      </c>
      <c r="W15" s="29" t="str" cm="1">
        <f t="array" ref="W15">IFERROR(INDEX(_xlfn.UNIQUE(TRIM(_xlfn.TEXTSPLIT(Table261425[[#This Row],[Selection Options]:[Selection Options]],","))),,W$11),"")</f>
        <v/>
      </c>
      <c r="X15" s="29" t="str" cm="1">
        <f t="array" ref="X15">IFERROR(INDEX(_xlfn.UNIQUE(TRIM(_xlfn.TEXTSPLIT(Table261425[[#This Row],[Selection Options]:[Selection Options]],","))),,X$11),"")</f>
        <v/>
      </c>
      <c r="Y15" s="30" cm="1">
        <f t="array" ref="Y15">IF(Table261425[[#This Row],[1]]="","",Table261425[[#This Row],[Weight]:[Weight]]-(Table261425[[#This Row],[Weight]:[Weight]]*((_xlfn.XMATCH(Table261425[[#This Row],[1]],Table261425[[#This Row],[1]:[11]],0))-1)/(COUNTA(Table261425[[#This Row],[1]:[11]])-COUNTBLANK(Table261425[[#This Row],[1]:[11]])-1)))</f>
        <v>1.6544117647058823E-3</v>
      </c>
      <c r="Z15" s="30" cm="1">
        <f t="array" ref="Z15">IF(Table261425[[#This Row],[2]]="","",Table261425[[#This Row],[Weight]:[Weight]]-(Table261425[[#This Row],[Weight]:[Weight]]*((_xlfn.XMATCH(Table261425[[#This Row],[2]],Table261425[[#This Row],[1]:[11]],0))-1)/(COUNTA(Table261425[[#This Row],[1]:[11]])-COUNTBLANK(Table261425[[#This Row],[1]:[11]])-1)))</f>
        <v>1.2408088235294117E-3</v>
      </c>
      <c r="AA15" s="30" cm="1">
        <f t="array" ref="AA15">IF(Table261425[[#This Row],[3]]="","",Table261425[[#This Row],[Weight]:[Weight]]-(Table261425[[#This Row],[Weight]:[Weight]]*((_xlfn.XMATCH(Table261425[[#This Row],[3]],Table261425[[#This Row],[1]:[11]],0))-1)/(COUNTA(Table261425[[#This Row],[1]:[11]])-COUNTBLANK(Table261425[[#This Row],[1]:[11]])-1)))</f>
        <v>8.2720588235294116E-4</v>
      </c>
      <c r="AB15" s="30" cm="1">
        <f t="array" ref="AB15">IF(Table261425[[#This Row],[4]]="","",Table261425[[#This Row],[Weight]:[Weight]]-(Table261425[[#This Row],[Weight]:[Weight]]*((_xlfn.XMATCH(Table261425[[#This Row],[4]],Table261425[[#This Row],[1]:[11]],0))-1)/(COUNTA(Table261425[[#This Row],[1]:[11]])-COUNTBLANK(Table261425[[#This Row],[1]:[11]])-1)))</f>
        <v>4.1360294117647064E-4</v>
      </c>
      <c r="AC15" s="30" cm="1">
        <f t="array" ref="AC15">IF(Table261425[[#This Row],[5]]="","",Table261425[[#This Row],[Weight]:[Weight]]-(Table261425[[#This Row],[Weight]:[Weight]]*((_xlfn.XMATCH(Table261425[[#This Row],[5]],Table261425[[#This Row],[1]:[11]],0))-1)/(COUNTA(Table261425[[#This Row],[1]:[11]])-COUNTBLANK(Table261425[[#This Row],[1]:[11]])-1)))</f>
        <v>0</v>
      </c>
      <c r="AD15" s="30" t="str" cm="1">
        <f t="array" ref="AD15">IF(Table261425[[#This Row],[6]]="","",Table261425[[#This Row],[Weight]:[Weight]]-(Table261425[[#This Row],[Weight]:[Weight]]*((_xlfn.XMATCH(Table261425[[#This Row],[6]],Table261425[[#This Row],[1]:[11]],0))-1)/(COUNTA(Table261425[[#This Row],[1]:[11]])-COUNTBLANK(Table261425[[#This Row],[1]:[11]])-1)))</f>
        <v/>
      </c>
      <c r="AE15" s="30" t="str" cm="1">
        <f t="array" ref="AE15">IF(Table261425[[#This Row],[7]]="","",Table261425[[#This Row],[Weight]:[Weight]]-(Table261425[[#This Row],[Weight]:[Weight]]*((_xlfn.XMATCH(Table261425[[#This Row],[7]],Table261425[[#This Row],[1]:[11]],0))-1)/(COUNTA(Table261425[[#This Row],[1]:[11]])-COUNTBLANK(Table261425[[#This Row],[1]:[11]])-1)))</f>
        <v/>
      </c>
      <c r="AF15" s="30" t="str" cm="1">
        <f t="array" ref="AF15">IF(Table261425[[#This Row],[8]]="","",Table261425[[#This Row],[Weight]:[Weight]]-(Table261425[[#This Row],[Weight]:[Weight]]*((_xlfn.XMATCH(Table261425[[#This Row],[8]],Table261425[[#This Row],[1]:[11]],0))-1)/(COUNTA(Table261425[[#This Row],[1]:[11]])-COUNTBLANK(Table261425[[#This Row],[1]:[11]])-1)))</f>
        <v/>
      </c>
      <c r="AG15" s="30" t="str" cm="1">
        <f t="array" ref="AG15">IF(Table261425[[#This Row],[9]]="","",Table261425[[#This Row],[Weight]:[Weight]]-(Table261425[[#This Row],[Weight]:[Weight]]*((_xlfn.XMATCH(Table261425[[#This Row],[9]],Table261425[[#This Row],[1]:[11]],0))-1)/(COUNTA(Table261425[[#This Row],[1]:[11]])-COUNTBLANK(Table261425[[#This Row],[1]:[11]])-1)))</f>
        <v/>
      </c>
      <c r="AH15" s="30" t="str" cm="1">
        <f t="array" ref="AH15">IF(Table261425[[#This Row],[10]]="","",Table261425[[#This Row],[Weight]:[Weight]]-(Table261425[[#This Row],[Weight]:[Weight]]*((_xlfn.XMATCH(Table261425[[#This Row],[10]],Table261425[[#This Row],[1]:[11]],0))-1)/(COUNTA(Table261425[[#This Row],[1]:[11]])-COUNTBLANK(Table261425[[#This Row],[1]:[11]])-1)))</f>
        <v/>
      </c>
      <c r="AI15" s="30" t="str" cm="1">
        <f t="array" ref="AI15">IF(Table261425[[#This Row],[11]]="","",Table261425[[#This Row],[Weight]:[Weight]]-(Table261425[[#This Row],[Weight]:[Weight]]*((_xlfn.XMATCH(Table261425[[#This Row],[11]],Table261425[[#This Row],[1]:[11]],0))-1)/(COUNTA(Table261425[[#This Row],[1]:[11]])-COUNTBLANK(Table261425[[#This Row],[1]:[11]])-1)))</f>
        <v/>
      </c>
    </row>
    <row r="16" spans="1:35" ht="120" x14ac:dyDescent="0.2">
      <c r="A16" s="20">
        <v>4</v>
      </c>
      <c r="B16" s="90" t="s">
        <v>324</v>
      </c>
      <c r="C16" s="119" t="s">
        <v>215</v>
      </c>
      <c r="D16" s="146"/>
      <c r="E16" s="146"/>
      <c r="F16" s="120" t="s">
        <v>60</v>
      </c>
      <c r="G16" s="148" cm="1">
        <f t="array" ref="G16">_xlfn.IFS(F16="","",F16="No interest",0,F16="Nice to have",1,F16="Useful",2,F16="Important",3,F16="Very important",4,F16="Critical",5,F16="Show stopper",6)</f>
        <v>6</v>
      </c>
      <c r="H16" s="149">
        <f t="shared" si="0"/>
        <v>1.6544117647058823E-3</v>
      </c>
      <c r="I16" s="150" t="s">
        <v>321</v>
      </c>
      <c r="J16" s="25" t="str" cm="1">
        <f t="array" ref="J16">_xlfn.TEXTJOIN(","&amp;CHAR(10),,TEXT(Table261425[[#This Row],[12]:[22]],"0,00%"))</f>
        <v>0,00%,
0,00%,
0,00%,
0,00%,
0,00%</v>
      </c>
      <c r="K16" s="26"/>
      <c r="L16" s="27" t="e">
        <f>H16-(H16*((MATCH(Table261425[[#This Row],[Evaluators Response (SELECT)]],Table261425[[#This Row],[1]:[11]],0)-1)/(COUNTA(Table261425[[#This Row],[1]:[11]])-COUNTBLANK(Table261425[[#This Row],[1]:[11]])-1)))</f>
        <v>#N/A</v>
      </c>
      <c r="M16" s="28"/>
      <c r="N16" s="29" t="str" cm="1">
        <f t="array" ref="N16">IFERROR(INDEX(_xlfn.UNIQUE(TRIM(_xlfn.TEXTSPLIT(Table261425[[#This Row],[Selection Options]:[Selection Options]],","))),,N$11),"")</f>
        <v>100%: Supported as delivered "out of the box"</v>
      </c>
      <c r="O16" s="29" t="str" cm="1">
        <f t="array" ref="O16">IFERROR(INDEX(_xlfn.UNIQUE(TRIM(_xlfn.TEXTSPLIT(Table261425[[#This Row],[Selection Options]:[Selection Options]],","))),,O$11),"")</f>
        <v xml:space="preserve">
75%: Supported via modifications (config)</v>
      </c>
      <c r="P16" s="29" t="str" cm="1">
        <f t="array" ref="P16">IFERROR(INDEX(_xlfn.UNIQUE(TRIM(_xlfn.TEXTSPLIT(Table261425[[#This Row],[Selection Options]:[Selection Options]],","))),,P$11),"")</f>
        <v xml:space="preserve">
50%: Supported via a third party solution</v>
      </c>
      <c r="Q16" s="29" t="str" cm="1">
        <f t="array" ref="Q16">IFERROR(INDEX(_xlfn.UNIQUE(TRIM(_xlfn.TEXTSPLIT(Table261425[[#This Row],[Selection Options]:[Selection Options]],","))),,Q$11),"")</f>
        <v xml:space="preserve">
25%: Supported via customisation (source code changes)</v>
      </c>
      <c r="R16" s="29" t="str" cm="1">
        <f t="array" ref="R16">IFERROR(INDEX(_xlfn.UNIQUE(TRIM(_xlfn.TEXTSPLIT(Table261425[[#This Row],[Selection Options]:[Selection Options]],","))),,R$11),"")</f>
        <v xml:space="preserve">
 0%: Not currently supported</v>
      </c>
      <c r="S16" s="29" t="str" cm="1">
        <f t="array" ref="S16">IFERROR(INDEX(_xlfn.UNIQUE(TRIM(_xlfn.TEXTSPLIT(Table261425[[#This Row],[Selection Options]:[Selection Options]],","))),,S$11),"")</f>
        <v/>
      </c>
      <c r="T16" s="29" t="str" cm="1">
        <f t="array" ref="T16">IFERROR(INDEX(_xlfn.UNIQUE(TRIM(_xlfn.TEXTSPLIT(Table261425[[#This Row],[Selection Options]:[Selection Options]],","))),,T$11),"")</f>
        <v/>
      </c>
      <c r="U16" s="29" t="str" cm="1">
        <f t="array" ref="U16">IFERROR(INDEX(_xlfn.UNIQUE(TRIM(_xlfn.TEXTSPLIT(Table261425[[#This Row],[Selection Options]:[Selection Options]],","))),,U$11),"")</f>
        <v/>
      </c>
      <c r="V16" s="29" t="str" cm="1">
        <f t="array" ref="V16">IFERROR(INDEX(_xlfn.UNIQUE(TRIM(_xlfn.TEXTSPLIT(Table261425[[#This Row],[Selection Options]:[Selection Options]],","))),,V$11),"")</f>
        <v/>
      </c>
      <c r="W16" s="29" t="str" cm="1">
        <f t="array" ref="W16">IFERROR(INDEX(_xlfn.UNIQUE(TRIM(_xlfn.TEXTSPLIT(Table261425[[#This Row],[Selection Options]:[Selection Options]],","))),,W$11),"")</f>
        <v/>
      </c>
      <c r="X16" s="29" t="str" cm="1">
        <f t="array" ref="X16">IFERROR(INDEX(_xlfn.UNIQUE(TRIM(_xlfn.TEXTSPLIT(Table261425[[#This Row],[Selection Options]:[Selection Options]],","))),,X$11),"")</f>
        <v/>
      </c>
      <c r="Y16" s="30" cm="1">
        <f t="array" ref="Y16">IF(Table261425[[#This Row],[1]]="","",Table261425[[#This Row],[Weight]:[Weight]]-(Table261425[[#This Row],[Weight]:[Weight]]*((_xlfn.XMATCH(Table261425[[#This Row],[1]],Table261425[[#This Row],[1]:[11]],0))-1)/(COUNTA(Table261425[[#This Row],[1]:[11]])-COUNTBLANK(Table261425[[#This Row],[1]:[11]])-1)))</f>
        <v>1.6544117647058823E-3</v>
      </c>
      <c r="Z16" s="30" cm="1">
        <f t="array" ref="Z16">IF(Table261425[[#This Row],[2]]="","",Table261425[[#This Row],[Weight]:[Weight]]-(Table261425[[#This Row],[Weight]:[Weight]]*((_xlfn.XMATCH(Table261425[[#This Row],[2]],Table261425[[#This Row],[1]:[11]],0))-1)/(COUNTA(Table261425[[#This Row],[1]:[11]])-COUNTBLANK(Table261425[[#This Row],[1]:[11]])-1)))</f>
        <v>1.2408088235294117E-3</v>
      </c>
      <c r="AA16" s="30" cm="1">
        <f t="array" ref="AA16">IF(Table261425[[#This Row],[3]]="","",Table261425[[#This Row],[Weight]:[Weight]]-(Table261425[[#This Row],[Weight]:[Weight]]*((_xlfn.XMATCH(Table261425[[#This Row],[3]],Table261425[[#This Row],[1]:[11]],0))-1)/(COUNTA(Table261425[[#This Row],[1]:[11]])-COUNTBLANK(Table261425[[#This Row],[1]:[11]])-1)))</f>
        <v>8.2720588235294116E-4</v>
      </c>
      <c r="AB16" s="30" cm="1">
        <f t="array" ref="AB16">IF(Table261425[[#This Row],[4]]="","",Table261425[[#This Row],[Weight]:[Weight]]-(Table261425[[#This Row],[Weight]:[Weight]]*((_xlfn.XMATCH(Table261425[[#This Row],[4]],Table261425[[#This Row],[1]:[11]],0))-1)/(COUNTA(Table261425[[#This Row],[1]:[11]])-COUNTBLANK(Table261425[[#This Row],[1]:[11]])-1)))</f>
        <v>4.1360294117647064E-4</v>
      </c>
      <c r="AC16" s="30" cm="1">
        <f t="array" ref="AC16">IF(Table261425[[#This Row],[5]]="","",Table261425[[#This Row],[Weight]:[Weight]]-(Table261425[[#This Row],[Weight]:[Weight]]*((_xlfn.XMATCH(Table261425[[#This Row],[5]],Table261425[[#This Row],[1]:[11]],0))-1)/(COUNTA(Table261425[[#This Row],[1]:[11]])-COUNTBLANK(Table261425[[#This Row],[1]:[11]])-1)))</f>
        <v>0</v>
      </c>
      <c r="AD16" s="30" t="str" cm="1">
        <f t="array" ref="AD16">IF(Table261425[[#This Row],[6]]="","",Table261425[[#This Row],[Weight]:[Weight]]-(Table261425[[#This Row],[Weight]:[Weight]]*((_xlfn.XMATCH(Table261425[[#This Row],[6]],Table261425[[#This Row],[1]:[11]],0))-1)/(COUNTA(Table261425[[#This Row],[1]:[11]])-COUNTBLANK(Table261425[[#This Row],[1]:[11]])-1)))</f>
        <v/>
      </c>
      <c r="AE16" s="30" t="str" cm="1">
        <f t="array" ref="AE16">IF(Table261425[[#This Row],[7]]="","",Table261425[[#This Row],[Weight]:[Weight]]-(Table261425[[#This Row],[Weight]:[Weight]]*((_xlfn.XMATCH(Table261425[[#This Row],[7]],Table261425[[#This Row],[1]:[11]],0))-1)/(COUNTA(Table261425[[#This Row],[1]:[11]])-COUNTBLANK(Table261425[[#This Row],[1]:[11]])-1)))</f>
        <v/>
      </c>
      <c r="AF16" s="30" t="str" cm="1">
        <f t="array" ref="AF16">IF(Table261425[[#This Row],[8]]="","",Table261425[[#This Row],[Weight]:[Weight]]-(Table261425[[#This Row],[Weight]:[Weight]]*((_xlfn.XMATCH(Table261425[[#This Row],[8]],Table261425[[#This Row],[1]:[11]],0))-1)/(COUNTA(Table261425[[#This Row],[1]:[11]])-COUNTBLANK(Table261425[[#This Row],[1]:[11]])-1)))</f>
        <v/>
      </c>
      <c r="AG16" s="30" t="str" cm="1">
        <f t="array" ref="AG16">IF(Table261425[[#This Row],[9]]="","",Table261425[[#This Row],[Weight]:[Weight]]-(Table261425[[#This Row],[Weight]:[Weight]]*((_xlfn.XMATCH(Table261425[[#This Row],[9]],Table261425[[#This Row],[1]:[11]],0))-1)/(COUNTA(Table261425[[#This Row],[1]:[11]])-COUNTBLANK(Table261425[[#This Row],[1]:[11]])-1)))</f>
        <v/>
      </c>
      <c r="AH16" s="30" t="str" cm="1">
        <f t="array" ref="AH16">IF(Table261425[[#This Row],[10]]="","",Table261425[[#This Row],[Weight]:[Weight]]-(Table261425[[#This Row],[Weight]:[Weight]]*((_xlfn.XMATCH(Table261425[[#This Row],[10]],Table261425[[#This Row],[1]:[11]],0))-1)/(COUNTA(Table261425[[#This Row],[1]:[11]])-COUNTBLANK(Table261425[[#This Row],[1]:[11]])-1)))</f>
        <v/>
      </c>
      <c r="AI16" s="30" t="str" cm="1">
        <f t="array" ref="AI16">IF(Table261425[[#This Row],[11]]="","",Table261425[[#This Row],[Weight]:[Weight]]-(Table261425[[#This Row],[Weight]:[Weight]]*((_xlfn.XMATCH(Table261425[[#This Row],[11]],Table261425[[#This Row],[1]:[11]],0))-1)/(COUNTA(Table261425[[#This Row],[1]:[11]])-COUNTBLANK(Table261425[[#This Row],[1]:[11]])-1)))</f>
        <v/>
      </c>
    </row>
    <row r="17" spans="1:35" ht="120" x14ac:dyDescent="0.2">
      <c r="A17" s="20">
        <v>5</v>
      </c>
      <c r="B17" s="90" t="s">
        <v>325</v>
      </c>
      <c r="C17" s="119" t="s">
        <v>215</v>
      </c>
      <c r="D17" s="146"/>
      <c r="E17" s="146"/>
      <c r="F17" s="120" t="s">
        <v>60</v>
      </c>
      <c r="G17" s="148" cm="1">
        <f t="array" ref="G17">_xlfn.IFS(F17="","",F17="No interest",0,F17="Nice to have",1,F17="Useful",2,F17="Important",3,F17="Very important",4,F17="Critical",5,F17="Show stopper",6)</f>
        <v>6</v>
      </c>
      <c r="H17" s="149">
        <f>(G17/$G$11)*$F$11</f>
        <v>1.6544117647058823E-3</v>
      </c>
      <c r="I17" s="150" t="s">
        <v>321</v>
      </c>
      <c r="J17" s="35" t="str" cm="1">
        <f t="array" ref="J17">_xlfn.TEXTJOIN(","&amp;CHAR(10),,TEXT(Table261425[[#This Row],[12]:[22]],"0,00%"))</f>
        <v>0,00%,
0,00%,
0,00%,
0,00%,
0,00%</v>
      </c>
      <c r="K17" s="26"/>
      <c r="L17" s="27" t="e">
        <f>H17-(H17*((MATCH(Table261425[[#This Row],[Evaluators Response (SELECT)]],Table261425[[#This Row],[1]:[11]],0)-1)/(COUNTA(Table261425[[#This Row],[1]:[11]])-COUNTBLANK(Table261425[[#This Row],[1]:[11]])-1)))</f>
        <v>#N/A</v>
      </c>
      <c r="M17" s="28"/>
      <c r="N17" s="29" t="str" cm="1">
        <f t="array" ref="N17">IFERROR(INDEX(_xlfn.UNIQUE(TRIM(_xlfn.TEXTSPLIT(Table261425[[#This Row],[Selection Options]:[Selection Options]],","))),,N$11),"")</f>
        <v>100%: Supported as delivered "out of the box"</v>
      </c>
      <c r="O17" s="29" t="str" cm="1">
        <f t="array" ref="O17">IFERROR(INDEX(_xlfn.UNIQUE(TRIM(_xlfn.TEXTSPLIT(Table261425[[#This Row],[Selection Options]:[Selection Options]],","))),,O$11),"")</f>
        <v xml:space="preserve">
75%: Supported via modifications (config)</v>
      </c>
      <c r="P17" s="29" t="str" cm="1">
        <f t="array" ref="P17">IFERROR(INDEX(_xlfn.UNIQUE(TRIM(_xlfn.TEXTSPLIT(Table261425[[#This Row],[Selection Options]:[Selection Options]],","))),,P$11),"")</f>
        <v xml:space="preserve">
50%: Supported via a third party solution</v>
      </c>
      <c r="Q17" s="29" t="str" cm="1">
        <f t="array" ref="Q17">IFERROR(INDEX(_xlfn.UNIQUE(TRIM(_xlfn.TEXTSPLIT(Table261425[[#This Row],[Selection Options]:[Selection Options]],","))),,Q$11),"")</f>
        <v xml:space="preserve">
25%: Supported via customisation (source code changes)</v>
      </c>
      <c r="R17" s="29" t="str" cm="1">
        <f t="array" ref="R17">IFERROR(INDEX(_xlfn.UNIQUE(TRIM(_xlfn.TEXTSPLIT(Table261425[[#This Row],[Selection Options]:[Selection Options]],","))),,R$11),"")</f>
        <v xml:space="preserve">
 0%: Not currently supported</v>
      </c>
      <c r="S17" s="29" t="str" cm="1">
        <f t="array" ref="S17">IFERROR(INDEX(_xlfn.UNIQUE(TRIM(_xlfn.TEXTSPLIT(Table261425[[#This Row],[Selection Options]:[Selection Options]],","))),,S$11),"")</f>
        <v/>
      </c>
      <c r="T17" s="29" t="str" cm="1">
        <f t="array" ref="T17">IFERROR(INDEX(_xlfn.UNIQUE(TRIM(_xlfn.TEXTSPLIT(Table261425[[#This Row],[Selection Options]:[Selection Options]],","))),,T$11),"")</f>
        <v/>
      </c>
      <c r="U17" s="29" t="str" cm="1">
        <f t="array" ref="U17">IFERROR(INDEX(_xlfn.UNIQUE(TRIM(_xlfn.TEXTSPLIT(Table261425[[#This Row],[Selection Options]:[Selection Options]],","))),,U$11),"")</f>
        <v/>
      </c>
      <c r="V17" s="29" t="str" cm="1">
        <f t="array" ref="V17">IFERROR(INDEX(_xlfn.UNIQUE(TRIM(_xlfn.TEXTSPLIT(Table261425[[#This Row],[Selection Options]:[Selection Options]],","))),,V$11),"")</f>
        <v/>
      </c>
      <c r="W17" s="29" t="str" cm="1">
        <f t="array" ref="W17">IFERROR(INDEX(_xlfn.UNIQUE(TRIM(_xlfn.TEXTSPLIT(Table261425[[#This Row],[Selection Options]:[Selection Options]],","))),,W$11),"")</f>
        <v/>
      </c>
      <c r="X17" s="29" t="str" cm="1">
        <f t="array" ref="X17">IFERROR(INDEX(_xlfn.UNIQUE(TRIM(_xlfn.TEXTSPLIT(Table261425[[#This Row],[Selection Options]:[Selection Options]],","))),,X$11),"")</f>
        <v/>
      </c>
      <c r="Y17" s="30" cm="1">
        <f t="array" ref="Y17">IF(Table261425[[#This Row],[1]]="","",Table261425[[#This Row],[Weight]:[Weight]]-(Table261425[[#This Row],[Weight]:[Weight]]*((_xlfn.XMATCH(Table261425[[#This Row],[1]],Table261425[[#This Row],[1]:[11]],0))-1)/(COUNTA(Table261425[[#This Row],[1]:[11]])-COUNTBLANK(Table261425[[#This Row],[1]:[11]])-1)))</f>
        <v>1.6544117647058823E-3</v>
      </c>
      <c r="Z17" s="30" cm="1">
        <f t="array" ref="Z17">IF(Table261425[[#This Row],[2]]="","",Table261425[[#This Row],[Weight]:[Weight]]-(Table261425[[#This Row],[Weight]:[Weight]]*((_xlfn.XMATCH(Table261425[[#This Row],[2]],Table261425[[#This Row],[1]:[11]],0))-1)/(COUNTA(Table261425[[#This Row],[1]:[11]])-COUNTBLANK(Table261425[[#This Row],[1]:[11]])-1)))</f>
        <v>1.2408088235294117E-3</v>
      </c>
      <c r="AA17" s="30" cm="1">
        <f t="array" ref="AA17">IF(Table261425[[#This Row],[3]]="","",Table261425[[#This Row],[Weight]:[Weight]]-(Table261425[[#This Row],[Weight]:[Weight]]*((_xlfn.XMATCH(Table261425[[#This Row],[3]],Table261425[[#This Row],[1]:[11]],0))-1)/(COUNTA(Table261425[[#This Row],[1]:[11]])-COUNTBLANK(Table261425[[#This Row],[1]:[11]])-1)))</f>
        <v>8.2720588235294116E-4</v>
      </c>
      <c r="AB17" s="30" cm="1">
        <f t="array" ref="AB17">IF(Table261425[[#This Row],[4]]="","",Table261425[[#This Row],[Weight]:[Weight]]-(Table261425[[#This Row],[Weight]:[Weight]]*((_xlfn.XMATCH(Table261425[[#This Row],[4]],Table261425[[#This Row],[1]:[11]],0))-1)/(COUNTA(Table261425[[#This Row],[1]:[11]])-COUNTBLANK(Table261425[[#This Row],[1]:[11]])-1)))</f>
        <v>4.1360294117647064E-4</v>
      </c>
      <c r="AC17" s="30" cm="1">
        <f t="array" ref="AC17">IF(Table261425[[#This Row],[5]]="","",Table261425[[#This Row],[Weight]:[Weight]]-(Table261425[[#This Row],[Weight]:[Weight]]*((_xlfn.XMATCH(Table261425[[#This Row],[5]],Table261425[[#This Row],[1]:[11]],0))-1)/(COUNTA(Table261425[[#This Row],[1]:[11]])-COUNTBLANK(Table261425[[#This Row],[1]:[11]])-1)))</f>
        <v>0</v>
      </c>
      <c r="AD17" s="30" t="str" cm="1">
        <f t="array" ref="AD17">IF(Table261425[[#This Row],[6]]="","",Table261425[[#This Row],[Weight]:[Weight]]-(Table261425[[#This Row],[Weight]:[Weight]]*((_xlfn.XMATCH(Table261425[[#This Row],[6]],Table261425[[#This Row],[1]:[11]],0))-1)/(COUNTA(Table261425[[#This Row],[1]:[11]])-COUNTBLANK(Table261425[[#This Row],[1]:[11]])-1)))</f>
        <v/>
      </c>
      <c r="AE17" s="30" t="str" cm="1">
        <f t="array" ref="AE17">IF(Table261425[[#This Row],[7]]="","",Table261425[[#This Row],[Weight]:[Weight]]-(Table261425[[#This Row],[Weight]:[Weight]]*((_xlfn.XMATCH(Table261425[[#This Row],[7]],Table261425[[#This Row],[1]:[11]],0))-1)/(COUNTA(Table261425[[#This Row],[1]:[11]])-COUNTBLANK(Table261425[[#This Row],[1]:[11]])-1)))</f>
        <v/>
      </c>
      <c r="AF17" s="30" t="str" cm="1">
        <f t="array" ref="AF17">IF(Table261425[[#This Row],[8]]="","",Table261425[[#This Row],[Weight]:[Weight]]-(Table261425[[#This Row],[Weight]:[Weight]]*((_xlfn.XMATCH(Table261425[[#This Row],[8]],Table261425[[#This Row],[1]:[11]],0))-1)/(COUNTA(Table261425[[#This Row],[1]:[11]])-COUNTBLANK(Table261425[[#This Row],[1]:[11]])-1)))</f>
        <v/>
      </c>
      <c r="AG17" s="30" t="str" cm="1">
        <f t="array" ref="AG17">IF(Table261425[[#This Row],[9]]="","",Table261425[[#This Row],[Weight]:[Weight]]-(Table261425[[#This Row],[Weight]:[Weight]]*((_xlfn.XMATCH(Table261425[[#This Row],[9]],Table261425[[#This Row],[1]:[11]],0))-1)/(COUNTA(Table261425[[#This Row],[1]:[11]])-COUNTBLANK(Table261425[[#This Row],[1]:[11]])-1)))</f>
        <v/>
      </c>
      <c r="AH17" s="30" t="str" cm="1">
        <f t="array" ref="AH17">IF(Table261425[[#This Row],[10]]="","",Table261425[[#This Row],[Weight]:[Weight]]-(Table261425[[#This Row],[Weight]:[Weight]]*((_xlfn.XMATCH(Table261425[[#This Row],[10]],Table261425[[#This Row],[1]:[11]],0))-1)/(COUNTA(Table261425[[#This Row],[1]:[11]])-COUNTBLANK(Table261425[[#This Row],[1]:[11]])-1)))</f>
        <v/>
      </c>
      <c r="AI17" s="30" t="str" cm="1">
        <f t="array" ref="AI17">IF(Table261425[[#This Row],[11]]="","",Table261425[[#This Row],[Weight]:[Weight]]-(Table261425[[#This Row],[Weight]:[Weight]]*((_xlfn.XMATCH(Table261425[[#This Row],[11]],Table261425[[#This Row],[1]:[11]],0))-1)/(COUNTA(Table261425[[#This Row],[1]:[11]])-COUNTBLANK(Table261425[[#This Row],[1]:[11]])-1)))</f>
        <v/>
      </c>
    </row>
    <row r="18" spans="1:35" ht="120" x14ac:dyDescent="0.2">
      <c r="A18" s="20">
        <v>6</v>
      </c>
      <c r="B18" s="119" t="s">
        <v>326</v>
      </c>
      <c r="C18" s="119" t="s">
        <v>215</v>
      </c>
      <c r="D18" s="147"/>
      <c r="E18" s="147"/>
      <c r="F18" s="121" t="s">
        <v>60</v>
      </c>
      <c r="G18" s="151" cm="1">
        <f t="array" ref="G18">_xlfn.IFS(F18="","",F18="No interest",0,F18="Nice to have",1,F18="Useful",2,F18="Important",3,F18="Very important",4,F18="Critical",5,F18="Show stopper",6)</f>
        <v>6</v>
      </c>
      <c r="H18" s="152">
        <f t="shared" ref="H18:H37" si="1">(G18/$G$11)*$F$11</f>
        <v>1.6544117647058823E-3</v>
      </c>
      <c r="I18" s="150" t="s">
        <v>321</v>
      </c>
      <c r="J18" s="35" t="str" cm="1">
        <f t="array" ref="J18">_xlfn.TEXTJOIN(","&amp;CHAR(10),,TEXT(Table261425[[#This Row],[12]:[22]],"0,00%"))</f>
        <v>0,00%,
0,00%,
0,00%,
0,00%,
0,00%</v>
      </c>
      <c r="K18" s="36"/>
      <c r="L18" s="37" t="e">
        <f>H18-(H18*((MATCH(Table261425[[#This Row],[Evaluators Response (SELECT)]],Table261425[[#This Row],[1]:[11]],0)-1)/(COUNTA(Table261425[[#This Row],[1]:[11]])-COUNTBLANK(Table261425[[#This Row],[1]:[11]])-1)))</f>
        <v>#N/A</v>
      </c>
      <c r="M18" s="38"/>
      <c r="N18" s="29" t="str" cm="1">
        <f t="array" ref="N18">IFERROR(INDEX(_xlfn.UNIQUE(TRIM(_xlfn.TEXTSPLIT(Table261425[[#This Row],[Selection Options]:[Selection Options]],","))),,N$11),"")</f>
        <v>100%: Supported as delivered "out of the box"</v>
      </c>
      <c r="O18" s="29" t="str" cm="1">
        <f t="array" ref="O18">IFERROR(INDEX(_xlfn.UNIQUE(TRIM(_xlfn.TEXTSPLIT(Table261425[[#This Row],[Selection Options]:[Selection Options]],","))),,O$11),"")</f>
        <v xml:space="preserve">
75%: Supported via modifications (config)</v>
      </c>
      <c r="P18" s="29" t="str" cm="1">
        <f t="array" ref="P18">IFERROR(INDEX(_xlfn.UNIQUE(TRIM(_xlfn.TEXTSPLIT(Table261425[[#This Row],[Selection Options]:[Selection Options]],","))),,P$11),"")</f>
        <v xml:space="preserve">
50%: Supported via a third party solution</v>
      </c>
      <c r="Q18" s="29" t="str" cm="1">
        <f t="array" ref="Q18">IFERROR(INDEX(_xlfn.UNIQUE(TRIM(_xlfn.TEXTSPLIT(Table261425[[#This Row],[Selection Options]:[Selection Options]],","))),,Q$11),"")</f>
        <v xml:space="preserve">
25%: Supported via customisation (source code changes)</v>
      </c>
      <c r="R18" s="29" t="str" cm="1">
        <f t="array" ref="R18">IFERROR(INDEX(_xlfn.UNIQUE(TRIM(_xlfn.TEXTSPLIT(Table261425[[#This Row],[Selection Options]:[Selection Options]],","))),,R$11),"")</f>
        <v xml:space="preserve">
 0%: Not currently supported</v>
      </c>
      <c r="S18" s="29" t="str" cm="1">
        <f t="array" ref="S18">IFERROR(INDEX(_xlfn.UNIQUE(TRIM(_xlfn.TEXTSPLIT(Table261425[[#This Row],[Selection Options]:[Selection Options]],","))),,S$11),"")</f>
        <v/>
      </c>
      <c r="T18" s="29" t="str" cm="1">
        <f t="array" ref="T18">IFERROR(INDEX(_xlfn.UNIQUE(TRIM(_xlfn.TEXTSPLIT(Table261425[[#This Row],[Selection Options]:[Selection Options]],","))),,T$11),"")</f>
        <v/>
      </c>
      <c r="U18" s="29" t="str" cm="1">
        <f t="array" ref="U18">IFERROR(INDEX(_xlfn.UNIQUE(TRIM(_xlfn.TEXTSPLIT(Table261425[[#This Row],[Selection Options]:[Selection Options]],","))),,U$11),"")</f>
        <v/>
      </c>
      <c r="V18" s="29" t="str" cm="1">
        <f t="array" ref="V18">IFERROR(INDEX(_xlfn.UNIQUE(TRIM(_xlfn.TEXTSPLIT(Table261425[[#This Row],[Selection Options]:[Selection Options]],","))),,V$11),"")</f>
        <v/>
      </c>
      <c r="W18" s="29" t="str" cm="1">
        <f t="array" ref="W18">IFERROR(INDEX(_xlfn.UNIQUE(TRIM(_xlfn.TEXTSPLIT(Table261425[[#This Row],[Selection Options]:[Selection Options]],","))),,W$11),"")</f>
        <v/>
      </c>
      <c r="X18" s="29" t="str" cm="1">
        <f t="array" ref="X18">IFERROR(INDEX(_xlfn.UNIQUE(TRIM(_xlfn.TEXTSPLIT(Table261425[[#This Row],[Selection Options]:[Selection Options]],","))),,X$11),"")</f>
        <v/>
      </c>
      <c r="Y18" s="30" cm="1">
        <f t="array" ref="Y18">IF(Table261425[[#This Row],[1]]="","",Table261425[[#This Row],[Weight]:[Weight]]-(Table261425[[#This Row],[Weight]:[Weight]]*((_xlfn.XMATCH(Table261425[[#This Row],[1]],Table261425[[#This Row],[1]:[11]],0))-1)/(COUNTA(Table261425[[#This Row],[1]:[11]])-COUNTBLANK(Table261425[[#This Row],[1]:[11]])-1)))</f>
        <v>1.6544117647058823E-3</v>
      </c>
      <c r="Z18" s="30" cm="1">
        <f t="array" ref="Z18">IF(Table261425[[#This Row],[2]]="","",Table261425[[#This Row],[Weight]:[Weight]]-(Table261425[[#This Row],[Weight]:[Weight]]*((_xlfn.XMATCH(Table261425[[#This Row],[2]],Table261425[[#This Row],[1]:[11]],0))-1)/(COUNTA(Table261425[[#This Row],[1]:[11]])-COUNTBLANK(Table261425[[#This Row],[1]:[11]])-1)))</f>
        <v>1.2408088235294117E-3</v>
      </c>
      <c r="AA18" s="30" cm="1">
        <f t="array" ref="AA18">IF(Table261425[[#This Row],[3]]="","",Table261425[[#This Row],[Weight]:[Weight]]-(Table261425[[#This Row],[Weight]:[Weight]]*((_xlfn.XMATCH(Table261425[[#This Row],[3]],Table261425[[#This Row],[1]:[11]],0))-1)/(COUNTA(Table261425[[#This Row],[1]:[11]])-COUNTBLANK(Table261425[[#This Row],[1]:[11]])-1)))</f>
        <v>8.2720588235294116E-4</v>
      </c>
      <c r="AB18" s="30" cm="1">
        <f t="array" ref="AB18">IF(Table261425[[#This Row],[4]]="","",Table261425[[#This Row],[Weight]:[Weight]]-(Table261425[[#This Row],[Weight]:[Weight]]*((_xlfn.XMATCH(Table261425[[#This Row],[4]],Table261425[[#This Row],[1]:[11]],0))-1)/(COUNTA(Table261425[[#This Row],[1]:[11]])-COUNTBLANK(Table261425[[#This Row],[1]:[11]])-1)))</f>
        <v>4.1360294117647064E-4</v>
      </c>
      <c r="AC18" s="30" cm="1">
        <f t="array" ref="AC18">IF(Table261425[[#This Row],[5]]="","",Table261425[[#This Row],[Weight]:[Weight]]-(Table261425[[#This Row],[Weight]:[Weight]]*((_xlfn.XMATCH(Table261425[[#This Row],[5]],Table261425[[#This Row],[1]:[11]],0))-1)/(COUNTA(Table261425[[#This Row],[1]:[11]])-COUNTBLANK(Table261425[[#This Row],[1]:[11]])-1)))</f>
        <v>0</v>
      </c>
      <c r="AD18" s="30" t="str" cm="1">
        <f t="array" ref="AD18">IF(Table261425[[#This Row],[6]]="","",Table261425[[#This Row],[Weight]:[Weight]]-(Table261425[[#This Row],[Weight]:[Weight]]*((_xlfn.XMATCH(Table261425[[#This Row],[6]],Table261425[[#This Row],[1]:[11]],0))-1)/(COUNTA(Table261425[[#This Row],[1]:[11]])-COUNTBLANK(Table261425[[#This Row],[1]:[11]])-1)))</f>
        <v/>
      </c>
      <c r="AE18" s="30" t="str" cm="1">
        <f t="array" ref="AE18">IF(Table261425[[#This Row],[7]]="","",Table261425[[#This Row],[Weight]:[Weight]]-(Table261425[[#This Row],[Weight]:[Weight]]*((_xlfn.XMATCH(Table261425[[#This Row],[7]],Table261425[[#This Row],[1]:[11]],0))-1)/(COUNTA(Table261425[[#This Row],[1]:[11]])-COUNTBLANK(Table261425[[#This Row],[1]:[11]])-1)))</f>
        <v/>
      </c>
      <c r="AF18" s="30" t="str" cm="1">
        <f t="array" ref="AF18">IF(Table261425[[#This Row],[8]]="","",Table261425[[#This Row],[Weight]:[Weight]]-(Table261425[[#This Row],[Weight]:[Weight]]*((_xlfn.XMATCH(Table261425[[#This Row],[8]],Table261425[[#This Row],[1]:[11]],0))-1)/(COUNTA(Table261425[[#This Row],[1]:[11]])-COUNTBLANK(Table261425[[#This Row],[1]:[11]])-1)))</f>
        <v/>
      </c>
      <c r="AG18" s="30" t="str" cm="1">
        <f t="array" ref="AG18">IF(Table261425[[#This Row],[9]]="","",Table261425[[#This Row],[Weight]:[Weight]]-(Table261425[[#This Row],[Weight]:[Weight]]*((_xlfn.XMATCH(Table261425[[#This Row],[9]],Table261425[[#This Row],[1]:[11]],0))-1)/(COUNTA(Table261425[[#This Row],[1]:[11]])-COUNTBLANK(Table261425[[#This Row],[1]:[11]])-1)))</f>
        <v/>
      </c>
      <c r="AH18" s="30" t="str" cm="1">
        <f t="array" ref="AH18">IF(Table261425[[#This Row],[10]]="","",Table261425[[#This Row],[Weight]:[Weight]]-(Table261425[[#This Row],[Weight]:[Weight]]*((_xlfn.XMATCH(Table261425[[#This Row],[10]],Table261425[[#This Row],[1]:[11]],0))-1)/(COUNTA(Table261425[[#This Row],[1]:[11]])-COUNTBLANK(Table261425[[#This Row],[1]:[11]])-1)))</f>
        <v/>
      </c>
      <c r="AI18" s="30" t="str" cm="1">
        <f t="array" ref="AI18">IF(Table261425[[#This Row],[11]]="","",Table261425[[#This Row],[Weight]:[Weight]]-(Table261425[[#This Row],[Weight]:[Weight]]*((_xlfn.XMATCH(Table261425[[#This Row],[11]],Table261425[[#This Row],[1]:[11]],0))-1)/(COUNTA(Table261425[[#This Row],[1]:[11]])-COUNTBLANK(Table261425[[#This Row],[1]:[11]])-1)))</f>
        <v/>
      </c>
    </row>
    <row r="19" spans="1:35" ht="120" x14ac:dyDescent="0.2">
      <c r="A19" s="20">
        <v>7</v>
      </c>
      <c r="B19" s="119" t="s">
        <v>327</v>
      </c>
      <c r="C19" s="119" t="s">
        <v>215</v>
      </c>
      <c r="D19" s="147"/>
      <c r="E19" s="147"/>
      <c r="F19" s="121" t="s">
        <v>60</v>
      </c>
      <c r="G19" s="151" cm="1">
        <f t="array" ref="G19">_xlfn.IFS(F19="","",F19="No interest",0,F19="Nice to have",1,F19="Useful",2,F19="Important",3,F19="Very important",4,F19="Critical",5,F19="Show stopper",6)</f>
        <v>6</v>
      </c>
      <c r="H19" s="152">
        <f t="shared" si="1"/>
        <v>1.6544117647058823E-3</v>
      </c>
      <c r="I19" s="150" t="s">
        <v>321</v>
      </c>
      <c r="J19" s="35" t="str" cm="1">
        <f t="array" ref="J19">_xlfn.TEXTJOIN(","&amp;CHAR(10),,TEXT(Table261425[[#This Row],[12]:[22]],"0,00%"))</f>
        <v>0,00%,
0,00%,
0,00%,
0,00%,
0,00%</v>
      </c>
      <c r="K19" s="36"/>
      <c r="L19" s="37" t="e">
        <f>H19-(H19*((MATCH(Table261425[[#This Row],[Evaluators Response (SELECT)]],Table261425[[#This Row],[1]:[11]],0)-1)/(COUNTA(Table261425[[#This Row],[1]:[11]])-COUNTBLANK(Table261425[[#This Row],[1]:[11]])-1)))</f>
        <v>#N/A</v>
      </c>
      <c r="M19" s="38"/>
      <c r="N19" s="29" t="str" cm="1">
        <f t="array" ref="N19">IFERROR(INDEX(_xlfn.UNIQUE(TRIM(_xlfn.TEXTSPLIT(Table261425[[#This Row],[Selection Options]:[Selection Options]],","))),,N$11),"")</f>
        <v>100%: Supported as delivered "out of the box"</v>
      </c>
      <c r="O19" s="29" t="str" cm="1">
        <f t="array" ref="O19">IFERROR(INDEX(_xlfn.UNIQUE(TRIM(_xlfn.TEXTSPLIT(Table261425[[#This Row],[Selection Options]:[Selection Options]],","))),,O$11),"")</f>
        <v xml:space="preserve">
75%: Supported via modifications (config)</v>
      </c>
      <c r="P19" s="29" t="str" cm="1">
        <f t="array" ref="P19">IFERROR(INDEX(_xlfn.UNIQUE(TRIM(_xlfn.TEXTSPLIT(Table261425[[#This Row],[Selection Options]:[Selection Options]],","))),,P$11),"")</f>
        <v xml:space="preserve">
50%: Supported via a third party solution</v>
      </c>
      <c r="Q19" s="29" t="str" cm="1">
        <f t="array" ref="Q19">IFERROR(INDEX(_xlfn.UNIQUE(TRIM(_xlfn.TEXTSPLIT(Table261425[[#This Row],[Selection Options]:[Selection Options]],","))),,Q$11),"")</f>
        <v xml:space="preserve">
25%: Supported via customisation (source code changes)</v>
      </c>
      <c r="R19" s="29" t="str" cm="1">
        <f t="array" ref="R19">IFERROR(INDEX(_xlfn.UNIQUE(TRIM(_xlfn.TEXTSPLIT(Table261425[[#This Row],[Selection Options]:[Selection Options]],","))),,R$11),"")</f>
        <v xml:space="preserve">
 0%: Not currently supported</v>
      </c>
      <c r="S19" s="29" t="str" cm="1">
        <f t="array" ref="S19">IFERROR(INDEX(_xlfn.UNIQUE(TRIM(_xlfn.TEXTSPLIT(Table261425[[#This Row],[Selection Options]:[Selection Options]],","))),,S$11),"")</f>
        <v/>
      </c>
      <c r="T19" s="29" t="str" cm="1">
        <f t="array" ref="T19">IFERROR(INDEX(_xlfn.UNIQUE(TRIM(_xlfn.TEXTSPLIT(Table261425[[#This Row],[Selection Options]:[Selection Options]],","))),,T$11),"")</f>
        <v/>
      </c>
      <c r="U19" s="29" t="str" cm="1">
        <f t="array" ref="U19">IFERROR(INDEX(_xlfn.UNIQUE(TRIM(_xlfn.TEXTSPLIT(Table261425[[#This Row],[Selection Options]:[Selection Options]],","))),,U$11),"")</f>
        <v/>
      </c>
      <c r="V19" s="29" t="str" cm="1">
        <f t="array" ref="V19">IFERROR(INDEX(_xlfn.UNIQUE(TRIM(_xlfn.TEXTSPLIT(Table261425[[#This Row],[Selection Options]:[Selection Options]],","))),,V$11),"")</f>
        <v/>
      </c>
      <c r="W19" s="29" t="str" cm="1">
        <f t="array" ref="W19">IFERROR(INDEX(_xlfn.UNIQUE(TRIM(_xlfn.TEXTSPLIT(Table261425[[#This Row],[Selection Options]:[Selection Options]],","))),,W$11),"")</f>
        <v/>
      </c>
      <c r="X19" s="29" t="str" cm="1">
        <f t="array" ref="X19">IFERROR(INDEX(_xlfn.UNIQUE(TRIM(_xlfn.TEXTSPLIT(Table261425[[#This Row],[Selection Options]:[Selection Options]],","))),,X$11),"")</f>
        <v/>
      </c>
      <c r="Y19" s="30" cm="1">
        <f t="array" ref="Y19">IF(Table261425[[#This Row],[1]]="","",Table261425[[#This Row],[Weight]:[Weight]]-(Table261425[[#This Row],[Weight]:[Weight]]*((_xlfn.XMATCH(Table261425[[#This Row],[1]],Table261425[[#This Row],[1]:[11]],0))-1)/(COUNTA(Table261425[[#This Row],[1]:[11]])-COUNTBLANK(Table261425[[#This Row],[1]:[11]])-1)))</f>
        <v>1.6544117647058823E-3</v>
      </c>
      <c r="Z19" s="30" cm="1">
        <f t="array" ref="Z19">IF(Table261425[[#This Row],[2]]="","",Table261425[[#This Row],[Weight]:[Weight]]-(Table261425[[#This Row],[Weight]:[Weight]]*((_xlfn.XMATCH(Table261425[[#This Row],[2]],Table261425[[#This Row],[1]:[11]],0))-1)/(COUNTA(Table261425[[#This Row],[1]:[11]])-COUNTBLANK(Table261425[[#This Row],[1]:[11]])-1)))</f>
        <v>1.2408088235294117E-3</v>
      </c>
      <c r="AA19" s="30" cm="1">
        <f t="array" ref="AA19">IF(Table261425[[#This Row],[3]]="","",Table261425[[#This Row],[Weight]:[Weight]]-(Table261425[[#This Row],[Weight]:[Weight]]*((_xlfn.XMATCH(Table261425[[#This Row],[3]],Table261425[[#This Row],[1]:[11]],0))-1)/(COUNTA(Table261425[[#This Row],[1]:[11]])-COUNTBLANK(Table261425[[#This Row],[1]:[11]])-1)))</f>
        <v>8.2720588235294116E-4</v>
      </c>
      <c r="AB19" s="30" cm="1">
        <f t="array" ref="AB19">IF(Table261425[[#This Row],[4]]="","",Table261425[[#This Row],[Weight]:[Weight]]-(Table261425[[#This Row],[Weight]:[Weight]]*((_xlfn.XMATCH(Table261425[[#This Row],[4]],Table261425[[#This Row],[1]:[11]],0))-1)/(COUNTA(Table261425[[#This Row],[1]:[11]])-COUNTBLANK(Table261425[[#This Row],[1]:[11]])-1)))</f>
        <v>4.1360294117647064E-4</v>
      </c>
      <c r="AC19" s="30" cm="1">
        <f t="array" ref="AC19">IF(Table261425[[#This Row],[5]]="","",Table261425[[#This Row],[Weight]:[Weight]]-(Table261425[[#This Row],[Weight]:[Weight]]*((_xlfn.XMATCH(Table261425[[#This Row],[5]],Table261425[[#This Row],[1]:[11]],0))-1)/(COUNTA(Table261425[[#This Row],[1]:[11]])-COUNTBLANK(Table261425[[#This Row],[1]:[11]])-1)))</f>
        <v>0</v>
      </c>
      <c r="AD19" s="30" t="str" cm="1">
        <f t="array" ref="AD19">IF(Table261425[[#This Row],[6]]="","",Table261425[[#This Row],[Weight]:[Weight]]-(Table261425[[#This Row],[Weight]:[Weight]]*((_xlfn.XMATCH(Table261425[[#This Row],[6]],Table261425[[#This Row],[1]:[11]],0))-1)/(COUNTA(Table261425[[#This Row],[1]:[11]])-COUNTBLANK(Table261425[[#This Row],[1]:[11]])-1)))</f>
        <v/>
      </c>
      <c r="AE19" s="30" t="str" cm="1">
        <f t="array" ref="AE19">IF(Table261425[[#This Row],[7]]="","",Table261425[[#This Row],[Weight]:[Weight]]-(Table261425[[#This Row],[Weight]:[Weight]]*((_xlfn.XMATCH(Table261425[[#This Row],[7]],Table261425[[#This Row],[1]:[11]],0))-1)/(COUNTA(Table261425[[#This Row],[1]:[11]])-COUNTBLANK(Table261425[[#This Row],[1]:[11]])-1)))</f>
        <v/>
      </c>
      <c r="AF19" s="30" t="str" cm="1">
        <f t="array" ref="AF19">IF(Table261425[[#This Row],[8]]="","",Table261425[[#This Row],[Weight]:[Weight]]-(Table261425[[#This Row],[Weight]:[Weight]]*((_xlfn.XMATCH(Table261425[[#This Row],[8]],Table261425[[#This Row],[1]:[11]],0))-1)/(COUNTA(Table261425[[#This Row],[1]:[11]])-COUNTBLANK(Table261425[[#This Row],[1]:[11]])-1)))</f>
        <v/>
      </c>
      <c r="AG19" s="30" t="str" cm="1">
        <f t="array" ref="AG19">IF(Table261425[[#This Row],[9]]="","",Table261425[[#This Row],[Weight]:[Weight]]-(Table261425[[#This Row],[Weight]:[Weight]]*((_xlfn.XMATCH(Table261425[[#This Row],[9]],Table261425[[#This Row],[1]:[11]],0))-1)/(COUNTA(Table261425[[#This Row],[1]:[11]])-COUNTBLANK(Table261425[[#This Row],[1]:[11]])-1)))</f>
        <v/>
      </c>
      <c r="AH19" s="30" t="str" cm="1">
        <f t="array" ref="AH19">IF(Table261425[[#This Row],[10]]="","",Table261425[[#This Row],[Weight]:[Weight]]-(Table261425[[#This Row],[Weight]:[Weight]]*((_xlfn.XMATCH(Table261425[[#This Row],[10]],Table261425[[#This Row],[1]:[11]],0))-1)/(COUNTA(Table261425[[#This Row],[1]:[11]])-COUNTBLANK(Table261425[[#This Row],[1]:[11]])-1)))</f>
        <v/>
      </c>
      <c r="AI19" s="30" t="str" cm="1">
        <f t="array" ref="AI19">IF(Table261425[[#This Row],[11]]="","",Table261425[[#This Row],[Weight]:[Weight]]-(Table261425[[#This Row],[Weight]:[Weight]]*((_xlfn.XMATCH(Table261425[[#This Row],[11]],Table261425[[#This Row],[1]:[11]],0))-1)/(COUNTA(Table261425[[#This Row],[1]:[11]])-COUNTBLANK(Table261425[[#This Row],[1]:[11]])-1)))</f>
        <v/>
      </c>
    </row>
    <row r="20" spans="1:35" ht="120" x14ac:dyDescent="0.2">
      <c r="A20" s="20">
        <v>8</v>
      </c>
      <c r="B20" s="119" t="s">
        <v>328</v>
      </c>
      <c r="C20" s="119" t="s">
        <v>215</v>
      </c>
      <c r="D20" s="147"/>
      <c r="E20" s="147"/>
      <c r="F20" s="121" t="s">
        <v>60</v>
      </c>
      <c r="G20" s="151" cm="1">
        <f t="array" ref="G20">_xlfn.IFS(F20="","",F20="No interest",0,F20="Nice to have",1,F20="Useful",2,F20="Important",3,F20="Very important",4,F20="Critical",5,F20="Show stopper",6)</f>
        <v>6</v>
      </c>
      <c r="H20" s="152">
        <f t="shared" si="1"/>
        <v>1.6544117647058823E-3</v>
      </c>
      <c r="I20" s="150" t="s">
        <v>321</v>
      </c>
      <c r="J20" s="35" t="str" cm="1">
        <f t="array" ref="J20">_xlfn.TEXTJOIN(","&amp;CHAR(10),,TEXT(Table261425[[#This Row],[12]:[22]],"0,00%"))</f>
        <v>0,00%,
0,00%,
0,00%,
0,00%,
0,00%</v>
      </c>
      <c r="K20" s="36"/>
      <c r="L20" s="37" t="e">
        <f>H20-(H20*((MATCH(Table261425[[#This Row],[Evaluators Response (SELECT)]],Table261425[[#This Row],[1]:[11]],0)-1)/(COUNTA(Table261425[[#This Row],[1]:[11]])-COUNTBLANK(Table261425[[#This Row],[1]:[11]])-1)))</f>
        <v>#N/A</v>
      </c>
      <c r="M20" s="38"/>
      <c r="N20" s="29" t="str" cm="1">
        <f t="array" ref="N20">IFERROR(INDEX(_xlfn.UNIQUE(TRIM(_xlfn.TEXTSPLIT(Table261425[[#This Row],[Selection Options]:[Selection Options]],","))),,N$11),"")</f>
        <v>100%: Supported as delivered "out of the box"</v>
      </c>
      <c r="O20" s="29" t="str" cm="1">
        <f t="array" ref="O20">IFERROR(INDEX(_xlfn.UNIQUE(TRIM(_xlfn.TEXTSPLIT(Table261425[[#This Row],[Selection Options]:[Selection Options]],","))),,O$11),"")</f>
        <v xml:space="preserve">
75%: Supported via modifications (config)</v>
      </c>
      <c r="P20" s="29" t="str" cm="1">
        <f t="array" ref="P20">IFERROR(INDEX(_xlfn.UNIQUE(TRIM(_xlfn.TEXTSPLIT(Table261425[[#This Row],[Selection Options]:[Selection Options]],","))),,P$11),"")</f>
        <v xml:space="preserve">
50%: Supported via a third party solution</v>
      </c>
      <c r="Q20" s="29" t="str" cm="1">
        <f t="array" ref="Q20">IFERROR(INDEX(_xlfn.UNIQUE(TRIM(_xlfn.TEXTSPLIT(Table261425[[#This Row],[Selection Options]:[Selection Options]],","))),,Q$11),"")</f>
        <v xml:space="preserve">
25%: Supported via customisation (source code changes)</v>
      </c>
      <c r="R20" s="29" t="str" cm="1">
        <f t="array" ref="R20">IFERROR(INDEX(_xlfn.UNIQUE(TRIM(_xlfn.TEXTSPLIT(Table261425[[#This Row],[Selection Options]:[Selection Options]],","))),,R$11),"")</f>
        <v xml:space="preserve">
 0%: Not currently supported</v>
      </c>
      <c r="S20" s="29" t="str" cm="1">
        <f t="array" ref="S20">IFERROR(INDEX(_xlfn.UNIQUE(TRIM(_xlfn.TEXTSPLIT(Table261425[[#This Row],[Selection Options]:[Selection Options]],","))),,S$11),"")</f>
        <v/>
      </c>
      <c r="T20" s="29" t="str" cm="1">
        <f t="array" ref="T20">IFERROR(INDEX(_xlfn.UNIQUE(TRIM(_xlfn.TEXTSPLIT(Table261425[[#This Row],[Selection Options]:[Selection Options]],","))),,T$11),"")</f>
        <v/>
      </c>
      <c r="U20" s="29" t="str" cm="1">
        <f t="array" ref="U20">IFERROR(INDEX(_xlfn.UNIQUE(TRIM(_xlfn.TEXTSPLIT(Table261425[[#This Row],[Selection Options]:[Selection Options]],","))),,U$11),"")</f>
        <v/>
      </c>
      <c r="V20" s="29" t="str" cm="1">
        <f t="array" ref="V20">IFERROR(INDEX(_xlfn.UNIQUE(TRIM(_xlfn.TEXTSPLIT(Table261425[[#This Row],[Selection Options]:[Selection Options]],","))),,V$11),"")</f>
        <v/>
      </c>
      <c r="W20" s="29" t="str" cm="1">
        <f t="array" ref="W20">IFERROR(INDEX(_xlfn.UNIQUE(TRIM(_xlfn.TEXTSPLIT(Table261425[[#This Row],[Selection Options]:[Selection Options]],","))),,W$11),"")</f>
        <v/>
      </c>
      <c r="X20" s="29" t="str" cm="1">
        <f t="array" ref="X20">IFERROR(INDEX(_xlfn.UNIQUE(TRIM(_xlfn.TEXTSPLIT(Table261425[[#This Row],[Selection Options]:[Selection Options]],","))),,X$11),"")</f>
        <v/>
      </c>
      <c r="Y20" s="30" cm="1">
        <f t="array" ref="Y20">IF(Table261425[[#This Row],[1]]="","",Table261425[[#This Row],[Weight]:[Weight]]-(Table261425[[#This Row],[Weight]:[Weight]]*((_xlfn.XMATCH(Table261425[[#This Row],[1]],Table261425[[#This Row],[1]:[11]],0))-1)/(COUNTA(Table261425[[#This Row],[1]:[11]])-COUNTBLANK(Table261425[[#This Row],[1]:[11]])-1)))</f>
        <v>1.6544117647058823E-3</v>
      </c>
      <c r="Z20" s="30" cm="1">
        <f t="array" ref="Z20">IF(Table261425[[#This Row],[2]]="","",Table261425[[#This Row],[Weight]:[Weight]]-(Table261425[[#This Row],[Weight]:[Weight]]*((_xlfn.XMATCH(Table261425[[#This Row],[2]],Table261425[[#This Row],[1]:[11]],0))-1)/(COUNTA(Table261425[[#This Row],[1]:[11]])-COUNTBLANK(Table261425[[#This Row],[1]:[11]])-1)))</f>
        <v>1.2408088235294117E-3</v>
      </c>
      <c r="AA20" s="30" cm="1">
        <f t="array" ref="AA20">IF(Table261425[[#This Row],[3]]="","",Table261425[[#This Row],[Weight]:[Weight]]-(Table261425[[#This Row],[Weight]:[Weight]]*((_xlfn.XMATCH(Table261425[[#This Row],[3]],Table261425[[#This Row],[1]:[11]],0))-1)/(COUNTA(Table261425[[#This Row],[1]:[11]])-COUNTBLANK(Table261425[[#This Row],[1]:[11]])-1)))</f>
        <v>8.2720588235294116E-4</v>
      </c>
      <c r="AB20" s="30" cm="1">
        <f t="array" ref="AB20">IF(Table261425[[#This Row],[4]]="","",Table261425[[#This Row],[Weight]:[Weight]]-(Table261425[[#This Row],[Weight]:[Weight]]*((_xlfn.XMATCH(Table261425[[#This Row],[4]],Table261425[[#This Row],[1]:[11]],0))-1)/(COUNTA(Table261425[[#This Row],[1]:[11]])-COUNTBLANK(Table261425[[#This Row],[1]:[11]])-1)))</f>
        <v>4.1360294117647064E-4</v>
      </c>
      <c r="AC20" s="30" cm="1">
        <f t="array" ref="AC20">IF(Table261425[[#This Row],[5]]="","",Table261425[[#This Row],[Weight]:[Weight]]-(Table261425[[#This Row],[Weight]:[Weight]]*((_xlfn.XMATCH(Table261425[[#This Row],[5]],Table261425[[#This Row],[1]:[11]],0))-1)/(COUNTA(Table261425[[#This Row],[1]:[11]])-COUNTBLANK(Table261425[[#This Row],[1]:[11]])-1)))</f>
        <v>0</v>
      </c>
      <c r="AD20" s="30" t="str" cm="1">
        <f t="array" ref="AD20">IF(Table261425[[#This Row],[6]]="","",Table261425[[#This Row],[Weight]:[Weight]]-(Table261425[[#This Row],[Weight]:[Weight]]*((_xlfn.XMATCH(Table261425[[#This Row],[6]],Table261425[[#This Row],[1]:[11]],0))-1)/(COUNTA(Table261425[[#This Row],[1]:[11]])-COUNTBLANK(Table261425[[#This Row],[1]:[11]])-1)))</f>
        <v/>
      </c>
      <c r="AE20" s="30" t="str" cm="1">
        <f t="array" ref="AE20">IF(Table261425[[#This Row],[7]]="","",Table261425[[#This Row],[Weight]:[Weight]]-(Table261425[[#This Row],[Weight]:[Weight]]*((_xlfn.XMATCH(Table261425[[#This Row],[7]],Table261425[[#This Row],[1]:[11]],0))-1)/(COUNTA(Table261425[[#This Row],[1]:[11]])-COUNTBLANK(Table261425[[#This Row],[1]:[11]])-1)))</f>
        <v/>
      </c>
      <c r="AF20" s="30" t="str" cm="1">
        <f t="array" ref="AF20">IF(Table261425[[#This Row],[8]]="","",Table261425[[#This Row],[Weight]:[Weight]]-(Table261425[[#This Row],[Weight]:[Weight]]*((_xlfn.XMATCH(Table261425[[#This Row],[8]],Table261425[[#This Row],[1]:[11]],0))-1)/(COUNTA(Table261425[[#This Row],[1]:[11]])-COUNTBLANK(Table261425[[#This Row],[1]:[11]])-1)))</f>
        <v/>
      </c>
      <c r="AG20" s="30" t="str" cm="1">
        <f t="array" ref="AG20">IF(Table261425[[#This Row],[9]]="","",Table261425[[#This Row],[Weight]:[Weight]]-(Table261425[[#This Row],[Weight]:[Weight]]*((_xlfn.XMATCH(Table261425[[#This Row],[9]],Table261425[[#This Row],[1]:[11]],0))-1)/(COUNTA(Table261425[[#This Row],[1]:[11]])-COUNTBLANK(Table261425[[#This Row],[1]:[11]])-1)))</f>
        <v/>
      </c>
      <c r="AH20" s="30" t="str" cm="1">
        <f t="array" ref="AH20">IF(Table261425[[#This Row],[10]]="","",Table261425[[#This Row],[Weight]:[Weight]]-(Table261425[[#This Row],[Weight]:[Weight]]*((_xlfn.XMATCH(Table261425[[#This Row],[10]],Table261425[[#This Row],[1]:[11]],0))-1)/(COUNTA(Table261425[[#This Row],[1]:[11]])-COUNTBLANK(Table261425[[#This Row],[1]:[11]])-1)))</f>
        <v/>
      </c>
      <c r="AI20" s="30" t="str" cm="1">
        <f t="array" ref="AI20">IF(Table261425[[#This Row],[11]]="","",Table261425[[#This Row],[Weight]:[Weight]]-(Table261425[[#This Row],[Weight]:[Weight]]*((_xlfn.XMATCH(Table261425[[#This Row],[11]],Table261425[[#This Row],[1]:[11]],0))-1)/(COUNTA(Table261425[[#This Row],[1]:[11]])-COUNTBLANK(Table261425[[#This Row],[1]:[11]])-1)))</f>
        <v/>
      </c>
    </row>
    <row r="21" spans="1:35" ht="120" x14ac:dyDescent="0.2">
      <c r="A21" s="20">
        <v>9</v>
      </c>
      <c r="B21" s="119" t="s">
        <v>329</v>
      </c>
      <c r="C21" s="119" t="s">
        <v>215</v>
      </c>
      <c r="D21" s="146"/>
      <c r="E21" s="146"/>
      <c r="F21" s="121" t="s">
        <v>60</v>
      </c>
      <c r="G21" s="148" cm="1">
        <f t="array" ref="G21">_xlfn.IFS(F21="","",F21="No interest",0,F21="Nice to have",1,F21="Useful",2,F21="Important",3,F21="Very important",4,F21="Critical",5,F21="Show stopper",6)</f>
        <v>6</v>
      </c>
      <c r="H21" s="149">
        <f t="shared" si="1"/>
        <v>1.6544117647058823E-3</v>
      </c>
      <c r="I21" s="150" t="s">
        <v>321</v>
      </c>
      <c r="J21" s="35" t="str" cm="1">
        <f t="array" ref="J21">_xlfn.TEXTJOIN(","&amp;CHAR(10),,TEXT(Table261425[[#This Row],[12]:[22]],"0,00%"))</f>
        <v>0,00%,
0,00%,
0,00%,
0,00%,
0,00%</v>
      </c>
      <c r="K21" s="26"/>
      <c r="L21" s="27" t="e">
        <f>H21-(H21*((MATCH(Table261425[[#This Row],[Evaluators Response (SELECT)]],Table261425[[#This Row],[1]:[11]],0)-1)/(COUNTA(Table261425[[#This Row],[1]:[11]])-COUNTBLANK(Table261425[[#This Row],[1]:[11]])-1)))</f>
        <v>#N/A</v>
      </c>
      <c r="M21" s="28"/>
      <c r="N21" s="29" t="str" cm="1">
        <f t="array" ref="N21">IFERROR(INDEX(_xlfn.UNIQUE(TRIM(_xlfn.TEXTSPLIT(Table261425[[#This Row],[Selection Options]:[Selection Options]],","))),,N$11),"")</f>
        <v>100%: Supported as delivered "out of the box"</v>
      </c>
      <c r="O21" s="29" t="str" cm="1">
        <f t="array" ref="O21">IFERROR(INDEX(_xlfn.UNIQUE(TRIM(_xlfn.TEXTSPLIT(Table261425[[#This Row],[Selection Options]:[Selection Options]],","))),,O$11),"")</f>
        <v xml:space="preserve">
75%: Supported via modifications (config)</v>
      </c>
      <c r="P21" s="29" t="str" cm="1">
        <f t="array" ref="P21">IFERROR(INDEX(_xlfn.UNIQUE(TRIM(_xlfn.TEXTSPLIT(Table261425[[#This Row],[Selection Options]:[Selection Options]],","))),,P$11),"")</f>
        <v xml:space="preserve">
50%: Supported via a third party solution</v>
      </c>
      <c r="Q21" s="29" t="str" cm="1">
        <f t="array" ref="Q21">IFERROR(INDEX(_xlfn.UNIQUE(TRIM(_xlfn.TEXTSPLIT(Table261425[[#This Row],[Selection Options]:[Selection Options]],","))),,Q$11),"")</f>
        <v xml:space="preserve">
25%: Supported via customisation (source code changes)</v>
      </c>
      <c r="R21" s="29" t="str" cm="1">
        <f t="array" ref="R21">IFERROR(INDEX(_xlfn.UNIQUE(TRIM(_xlfn.TEXTSPLIT(Table261425[[#This Row],[Selection Options]:[Selection Options]],","))),,R$11),"")</f>
        <v xml:space="preserve">
 0%: Not currently supported</v>
      </c>
      <c r="S21" s="29" t="str" cm="1">
        <f t="array" ref="S21">IFERROR(INDEX(_xlfn.UNIQUE(TRIM(_xlfn.TEXTSPLIT(Table261425[[#This Row],[Selection Options]:[Selection Options]],","))),,S$11),"")</f>
        <v/>
      </c>
      <c r="T21" s="29" t="str" cm="1">
        <f t="array" ref="T21">IFERROR(INDEX(_xlfn.UNIQUE(TRIM(_xlfn.TEXTSPLIT(Table261425[[#This Row],[Selection Options]:[Selection Options]],","))),,T$11),"")</f>
        <v/>
      </c>
      <c r="U21" s="29" t="str" cm="1">
        <f t="array" ref="U21">IFERROR(INDEX(_xlfn.UNIQUE(TRIM(_xlfn.TEXTSPLIT(Table261425[[#This Row],[Selection Options]:[Selection Options]],","))),,U$11),"")</f>
        <v/>
      </c>
      <c r="V21" s="29" t="str" cm="1">
        <f t="array" ref="V21">IFERROR(INDEX(_xlfn.UNIQUE(TRIM(_xlfn.TEXTSPLIT(Table261425[[#This Row],[Selection Options]:[Selection Options]],","))),,V$11),"")</f>
        <v/>
      </c>
      <c r="W21" s="29" t="str" cm="1">
        <f t="array" ref="W21">IFERROR(INDEX(_xlfn.UNIQUE(TRIM(_xlfn.TEXTSPLIT(Table261425[[#This Row],[Selection Options]:[Selection Options]],","))),,W$11),"")</f>
        <v/>
      </c>
      <c r="X21" s="29" t="str" cm="1">
        <f t="array" ref="X21">IFERROR(INDEX(_xlfn.UNIQUE(TRIM(_xlfn.TEXTSPLIT(Table261425[[#This Row],[Selection Options]:[Selection Options]],","))),,X$11),"")</f>
        <v/>
      </c>
      <c r="Y21" s="30" cm="1">
        <f t="array" ref="Y21">IF(Table261425[[#This Row],[1]]="","",Table261425[[#This Row],[Weight]:[Weight]]-(Table261425[[#This Row],[Weight]:[Weight]]*((_xlfn.XMATCH(Table261425[[#This Row],[1]],Table261425[[#This Row],[1]:[11]],0))-1)/(COUNTA(Table261425[[#This Row],[1]:[11]])-COUNTBLANK(Table261425[[#This Row],[1]:[11]])-1)))</f>
        <v>1.6544117647058823E-3</v>
      </c>
      <c r="Z21" s="30" cm="1">
        <f t="array" ref="Z21">IF(Table261425[[#This Row],[2]]="","",Table261425[[#This Row],[Weight]:[Weight]]-(Table261425[[#This Row],[Weight]:[Weight]]*((_xlfn.XMATCH(Table261425[[#This Row],[2]],Table261425[[#This Row],[1]:[11]],0))-1)/(COUNTA(Table261425[[#This Row],[1]:[11]])-COUNTBLANK(Table261425[[#This Row],[1]:[11]])-1)))</f>
        <v>1.2408088235294117E-3</v>
      </c>
      <c r="AA21" s="30" cm="1">
        <f t="array" ref="AA21">IF(Table261425[[#This Row],[3]]="","",Table261425[[#This Row],[Weight]:[Weight]]-(Table261425[[#This Row],[Weight]:[Weight]]*((_xlfn.XMATCH(Table261425[[#This Row],[3]],Table261425[[#This Row],[1]:[11]],0))-1)/(COUNTA(Table261425[[#This Row],[1]:[11]])-COUNTBLANK(Table261425[[#This Row],[1]:[11]])-1)))</f>
        <v>8.2720588235294116E-4</v>
      </c>
      <c r="AB21" s="30" cm="1">
        <f t="array" ref="AB21">IF(Table261425[[#This Row],[4]]="","",Table261425[[#This Row],[Weight]:[Weight]]-(Table261425[[#This Row],[Weight]:[Weight]]*((_xlfn.XMATCH(Table261425[[#This Row],[4]],Table261425[[#This Row],[1]:[11]],0))-1)/(COUNTA(Table261425[[#This Row],[1]:[11]])-COUNTBLANK(Table261425[[#This Row],[1]:[11]])-1)))</f>
        <v>4.1360294117647064E-4</v>
      </c>
      <c r="AC21" s="30" cm="1">
        <f t="array" ref="AC21">IF(Table261425[[#This Row],[5]]="","",Table261425[[#This Row],[Weight]:[Weight]]-(Table261425[[#This Row],[Weight]:[Weight]]*((_xlfn.XMATCH(Table261425[[#This Row],[5]],Table261425[[#This Row],[1]:[11]],0))-1)/(COUNTA(Table261425[[#This Row],[1]:[11]])-COUNTBLANK(Table261425[[#This Row],[1]:[11]])-1)))</f>
        <v>0</v>
      </c>
      <c r="AD21" s="30" t="str" cm="1">
        <f t="array" ref="AD21">IF(Table261425[[#This Row],[6]]="","",Table261425[[#This Row],[Weight]:[Weight]]-(Table261425[[#This Row],[Weight]:[Weight]]*((_xlfn.XMATCH(Table261425[[#This Row],[6]],Table261425[[#This Row],[1]:[11]],0))-1)/(COUNTA(Table261425[[#This Row],[1]:[11]])-COUNTBLANK(Table261425[[#This Row],[1]:[11]])-1)))</f>
        <v/>
      </c>
      <c r="AE21" s="30" t="str" cm="1">
        <f t="array" ref="AE21">IF(Table261425[[#This Row],[7]]="","",Table261425[[#This Row],[Weight]:[Weight]]-(Table261425[[#This Row],[Weight]:[Weight]]*((_xlfn.XMATCH(Table261425[[#This Row],[7]],Table261425[[#This Row],[1]:[11]],0))-1)/(COUNTA(Table261425[[#This Row],[1]:[11]])-COUNTBLANK(Table261425[[#This Row],[1]:[11]])-1)))</f>
        <v/>
      </c>
      <c r="AF21" s="30" t="str" cm="1">
        <f t="array" ref="AF21">IF(Table261425[[#This Row],[8]]="","",Table261425[[#This Row],[Weight]:[Weight]]-(Table261425[[#This Row],[Weight]:[Weight]]*((_xlfn.XMATCH(Table261425[[#This Row],[8]],Table261425[[#This Row],[1]:[11]],0))-1)/(COUNTA(Table261425[[#This Row],[1]:[11]])-COUNTBLANK(Table261425[[#This Row],[1]:[11]])-1)))</f>
        <v/>
      </c>
      <c r="AG21" s="30" t="str" cm="1">
        <f t="array" ref="AG21">IF(Table261425[[#This Row],[9]]="","",Table261425[[#This Row],[Weight]:[Weight]]-(Table261425[[#This Row],[Weight]:[Weight]]*((_xlfn.XMATCH(Table261425[[#This Row],[9]],Table261425[[#This Row],[1]:[11]],0))-1)/(COUNTA(Table261425[[#This Row],[1]:[11]])-COUNTBLANK(Table261425[[#This Row],[1]:[11]])-1)))</f>
        <v/>
      </c>
      <c r="AH21" s="30" t="str" cm="1">
        <f t="array" ref="AH21">IF(Table261425[[#This Row],[10]]="","",Table261425[[#This Row],[Weight]:[Weight]]-(Table261425[[#This Row],[Weight]:[Weight]]*((_xlfn.XMATCH(Table261425[[#This Row],[10]],Table261425[[#This Row],[1]:[11]],0))-1)/(COUNTA(Table261425[[#This Row],[1]:[11]])-COUNTBLANK(Table261425[[#This Row],[1]:[11]])-1)))</f>
        <v/>
      </c>
      <c r="AI21" s="30" t="str" cm="1">
        <f t="array" ref="AI21">IF(Table261425[[#This Row],[11]]="","",Table261425[[#This Row],[Weight]:[Weight]]-(Table261425[[#This Row],[Weight]:[Weight]]*((_xlfn.XMATCH(Table261425[[#This Row],[11]],Table261425[[#This Row],[1]:[11]],0))-1)/(COUNTA(Table261425[[#This Row],[1]:[11]])-COUNTBLANK(Table261425[[#This Row],[1]:[11]])-1)))</f>
        <v/>
      </c>
    </row>
    <row r="22" spans="1:35" ht="120" x14ac:dyDescent="0.2">
      <c r="A22" s="20">
        <v>10</v>
      </c>
      <c r="B22" s="90" t="s">
        <v>330</v>
      </c>
      <c r="C22" s="119" t="s">
        <v>215</v>
      </c>
      <c r="D22" s="146"/>
      <c r="E22" s="146"/>
      <c r="F22" s="120" t="s">
        <v>60</v>
      </c>
      <c r="G22" s="148" cm="1">
        <f t="array" ref="G22">_xlfn.IFS(F22="","",F22="No interest",0,F22="Nice to have",1,F22="Useful",2,F22="Important",3,F22="Very important",4,F22="Critical",5,F22="Show stopper",6)</f>
        <v>6</v>
      </c>
      <c r="H22" s="149">
        <f t="shared" si="1"/>
        <v>1.6544117647058823E-3</v>
      </c>
      <c r="I22" s="150" t="s">
        <v>321</v>
      </c>
      <c r="J22" s="35" t="str" cm="1">
        <f t="array" ref="J22">_xlfn.TEXTJOIN(","&amp;CHAR(10),,TEXT(Table261425[[#This Row],[12]:[22]],"0,00%"))</f>
        <v>0,00%,
0,00%,
0,00%,
0,00%,
0,00%</v>
      </c>
      <c r="K22" s="26"/>
      <c r="L22" s="27" t="e">
        <f>H22-(H22*((MATCH(Table261425[[#This Row],[Evaluators Response (SELECT)]],Table261425[[#This Row],[1]:[11]],0)-1)/(COUNTA(Table261425[[#This Row],[1]:[11]])-COUNTBLANK(Table261425[[#This Row],[1]:[11]])-1)))</f>
        <v>#N/A</v>
      </c>
      <c r="M22" s="28"/>
      <c r="N22" s="29" t="str" cm="1">
        <f t="array" ref="N22">IFERROR(INDEX(_xlfn.UNIQUE(TRIM(_xlfn.TEXTSPLIT(Table261425[[#This Row],[Selection Options]:[Selection Options]],","))),,N$11),"")</f>
        <v>100%: Supported as delivered "out of the box"</v>
      </c>
      <c r="O22" s="29" t="str" cm="1">
        <f t="array" ref="O22">IFERROR(INDEX(_xlfn.UNIQUE(TRIM(_xlfn.TEXTSPLIT(Table261425[[#This Row],[Selection Options]:[Selection Options]],","))),,O$11),"")</f>
        <v xml:space="preserve">
75%: Supported via modifications (config)</v>
      </c>
      <c r="P22" s="29" t="str" cm="1">
        <f t="array" ref="P22">IFERROR(INDEX(_xlfn.UNIQUE(TRIM(_xlfn.TEXTSPLIT(Table261425[[#This Row],[Selection Options]:[Selection Options]],","))),,P$11),"")</f>
        <v xml:space="preserve">
50%: Supported via a third party solution</v>
      </c>
      <c r="Q22" s="29" t="str" cm="1">
        <f t="array" ref="Q22">IFERROR(INDEX(_xlfn.UNIQUE(TRIM(_xlfn.TEXTSPLIT(Table261425[[#This Row],[Selection Options]:[Selection Options]],","))),,Q$11),"")</f>
        <v xml:space="preserve">
25%: Supported via customisation (source code changes)</v>
      </c>
      <c r="R22" s="29" t="str" cm="1">
        <f t="array" ref="R22">IFERROR(INDEX(_xlfn.UNIQUE(TRIM(_xlfn.TEXTSPLIT(Table261425[[#This Row],[Selection Options]:[Selection Options]],","))),,R$11),"")</f>
        <v xml:space="preserve">
 0%: Not currently supported</v>
      </c>
      <c r="S22" s="29" t="str" cm="1">
        <f t="array" ref="S22">IFERROR(INDEX(_xlfn.UNIQUE(TRIM(_xlfn.TEXTSPLIT(Table261425[[#This Row],[Selection Options]:[Selection Options]],","))),,S$11),"")</f>
        <v/>
      </c>
      <c r="T22" s="29" t="str" cm="1">
        <f t="array" ref="T22">IFERROR(INDEX(_xlfn.UNIQUE(TRIM(_xlfn.TEXTSPLIT(Table261425[[#This Row],[Selection Options]:[Selection Options]],","))),,T$11),"")</f>
        <v/>
      </c>
      <c r="U22" s="29" t="str" cm="1">
        <f t="array" ref="U22">IFERROR(INDEX(_xlfn.UNIQUE(TRIM(_xlfn.TEXTSPLIT(Table261425[[#This Row],[Selection Options]:[Selection Options]],","))),,U$11),"")</f>
        <v/>
      </c>
      <c r="V22" s="29" t="str" cm="1">
        <f t="array" ref="V22">IFERROR(INDEX(_xlfn.UNIQUE(TRIM(_xlfn.TEXTSPLIT(Table261425[[#This Row],[Selection Options]:[Selection Options]],","))),,V$11),"")</f>
        <v/>
      </c>
      <c r="W22" s="29" t="str" cm="1">
        <f t="array" ref="W22">IFERROR(INDEX(_xlfn.UNIQUE(TRIM(_xlfn.TEXTSPLIT(Table261425[[#This Row],[Selection Options]:[Selection Options]],","))),,W$11),"")</f>
        <v/>
      </c>
      <c r="X22" s="29" t="str" cm="1">
        <f t="array" ref="X22">IFERROR(INDEX(_xlfn.UNIQUE(TRIM(_xlfn.TEXTSPLIT(Table261425[[#This Row],[Selection Options]:[Selection Options]],","))),,X$11),"")</f>
        <v/>
      </c>
      <c r="Y22" s="30" cm="1">
        <f t="array" ref="Y22">IF(Table261425[[#This Row],[1]]="","",Table261425[[#This Row],[Weight]:[Weight]]-(Table261425[[#This Row],[Weight]:[Weight]]*((_xlfn.XMATCH(Table261425[[#This Row],[1]],Table261425[[#This Row],[1]:[11]],0))-1)/(COUNTA(Table261425[[#This Row],[1]:[11]])-COUNTBLANK(Table261425[[#This Row],[1]:[11]])-1)))</f>
        <v>1.6544117647058823E-3</v>
      </c>
      <c r="Z22" s="30" cm="1">
        <f t="array" ref="Z22">IF(Table261425[[#This Row],[2]]="","",Table261425[[#This Row],[Weight]:[Weight]]-(Table261425[[#This Row],[Weight]:[Weight]]*((_xlfn.XMATCH(Table261425[[#This Row],[2]],Table261425[[#This Row],[1]:[11]],0))-1)/(COUNTA(Table261425[[#This Row],[1]:[11]])-COUNTBLANK(Table261425[[#This Row],[1]:[11]])-1)))</f>
        <v>1.2408088235294117E-3</v>
      </c>
      <c r="AA22" s="30" cm="1">
        <f t="array" ref="AA22">IF(Table261425[[#This Row],[3]]="","",Table261425[[#This Row],[Weight]:[Weight]]-(Table261425[[#This Row],[Weight]:[Weight]]*((_xlfn.XMATCH(Table261425[[#This Row],[3]],Table261425[[#This Row],[1]:[11]],0))-1)/(COUNTA(Table261425[[#This Row],[1]:[11]])-COUNTBLANK(Table261425[[#This Row],[1]:[11]])-1)))</f>
        <v>8.2720588235294116E-4</v>
      </c>
      <c r="AB22" s="30" cm="1">
        <f t="array" ref="AB22">IF(Table261425[[#This Row],[4]]="","",Table261425[[#This Row],[Weight]:[Weight]]-(Table261425[[#This Row],[Weight]:[Weight]]*((_xlfn.XMATCH(Table261425[[#This Row],[4]],Table261425[[#This Row],[1]:[11]],0))-1)/(COUNTA(Table261425[[#This Row],[1]:[11]])-COUNTBLANK(Table261425[[#This Row],[1]:[11]])-1)))</f>
        <v>4.1360294117647064E-4</v>
      </c>
      <c r="AC22" s="30" cm="1">
        <f t="array" ref="AC22">IF(Table261425[[#This Row],[5]]="","",Table261425[[#This Row],[Weight]:[Weight]]-(Table261425[[#This Row],[Weight]:[Weight]]*((_xlfn.XMATCH(Table261425[[#This Row],[5]],Table261425[[#This Row],[1]:[11]],0))-1)/(COUNTA(Table261425[[#This Row],[1]:[11]])-COUNTBLANK(Table261425[[#This Row],[1]:[11]])-1)))</f>
        <v>0</v>
      </c>
      <c r="AD22" s="30" t="str" cm="1">
        <f t="array" ref="AD22">IF(Table261425[[#This Row],[6]]="","",Table261425[[#This Row],[Weight]:[Weight]]-(Table261425[[#This Row],[Weight]:[Weight]]*((_xlfn.XMATCH(Table261425[[#This Row],[6]],Table261425[[#This Row],[1]:[11]],0))-1)/(COUNTA(Table261425[[#This Row],[1]:[11]])-COUNTBLANK(Table261425[[#This Row],[1]:[11]])-1)))</f>
        <v/>
      </c>
      <c r="AE22" s="30" t="str" cm="1">
        <f t="array" ref="AE22">IF(Table261425[[#This Row],[7]]="","",Table261425[[#This Row],[Weight]:[Weight]]-(Table261425[[#This Row],[Weight]:[Weight]]*((_xlfn.XMATCH(Table261425[[#This Row],[7]],Table261425[[#This Row],[1]:[11]],0))-1)/(COUNTA(Table261425[[#This Row],[1]:[11]])-COUNTBLANK(Table261425[[#This Row],[1]:[11]])-1)))</f>
        <v/>
      </c>
      <c r="AF22" s="30" t="str" cm="1">
        <f t="array" ref="AF22">IF(Table261425[[#This Row],[8]]="","",Table261425[[#This Row],[Weight]:[Weight]]-(Table261425[[#This Row],[Weight]:[Weight]]*((_xlfn.XMATCH(Table261425[[#This Row],[8]],Table261425[[#This Row],[1]:[11]],0))-1)/(COUNTA(Table261425[[#This Row],[1]:[11]])-COUNTBLANK(Table261425[[#This Row],[1]:[11]])-1)))</f>
        <v/>
      </c>
      <c r="AG22" s="30" t="str" cm="1">
        <f t="array" ref="AG22">IF(Table261425[[#This Row],[9]]="","",Table261425[[#This Row],[Weight]:[Weight]]-(Table261425[[#This Row],[Weight]:[Weight]]*((_xlfn.XMATCH(Table261425[[#This Row],[9]],Table261425[[#This Row],[1]:[11]],0))-1)/(COUNTA(Table261425[[#This Row],[1]:[11]])-COUNTBLANK(Table261425[[#This Row],[1]:[11]])-1)))</f>
        <v/>
      </c>
      <c r="AH22" s="30" t="str" cm="1">
        <f t="array" ref="AH22">IF(Table261425[[#This Row],[10]]="","",Table261425[[#This Row],[Weight]:[Weight]]-(Table261425[[#This Row],[Weight]:[Weight]]*((_xlfn.XMATCH(Table261425[[#This Row],[10]],Table261425[[#This Row],[1]:[11]],0))-1)/(COUNTA(Table261425[[#This Row],[1]:[11]])-COUNTBLANK(Table261425[[#This Row],[1]:[11]])-1)))</f>
        <v/>
      </c>
      <c r="AI22" s="30" t="str" cm="1">
        <f t="array" ref="AI22">IF(Table261425[[#This Row],[11]]="","",Table261425[[#This Row],[Weight]:[Weight]]-(Table261425[[#This Row],[Weight]:[Weight]]*((_xlfn.XMATCH(Table261425[[#This Row],[11]],Table261425[[#This Row],[1]:[11]],0))-1)/(COUNTA(Table261425[[#This Row],[1]:[11]])-COUNTBLANK(Table261425[[#This Row],[1]:[11]])-1)))</f>
        <v/>
      </c>
    </row>
    <row r="23" spans="1:35" ht="120" x14ac:dyDescent="0.2">
      <c r="A23" s="20">
        <v>11</v>
      </c>
      <c r="B23" s="90" t="s">
        <v>331</v>
      </c>
      <c r="C23" s="119" t="s">
        <v>215</v>
      </c>
      <c r="D23" s="146"/>
      <c r="E23" s="146"/>
      <c r="F23" s="120" t="s">
        <v>56</v>
      </c>
      <c r="G23" s="148" cm="1">
        <f t="array" ref="G23">_xlfn.IFS(F23="","",F23="No interest",0,F23="Nice to have",1,F23="Useful",2,F23="Important",3,F23="Very important",4,F23="Critical",5,F23="Show stopper",6)</f>
        <v>3</v>
      </c>
      <c r="H23" s="149">
        <f t="shared" si="1"/>
        <v>8.2720588235294116E-4</v>
      </c>
      <c r="I23" s="150" t="s">
        <v>321</v>
      </c>
      <c r="J23" s="35" t="str" cm="1">
        <f t="array" ref="J23">_xlfn.TEXTJOIN(","&amp;CHAR(10),,TEXT(Table261425[[#This Row],[12]:[22]],"0,00%"))</f>
        <v>0,00%,
0,00%,
0,00%,
0,00%,
0,00%</v>
      </c>
      <c r="K23" s="26"/>
      <c r="L23" s="27" t="e">
        <f>H23-(H23*((MATCH(Table261425[[#This Row],[Evaluators Response (SELECT)]],Table261425[[#This Row],[1]:[11]],0)-1)/(COUNTA(Table261425[[#This Row],[1]:[11]])-COUNTBLANK(Table261425[[#This Row],[1]:[11]])-1)))</f>
        <v>#N/A</v>
      </c>
      <c r="M23" s="28"/>
      <c r="N23" s="29" t="str" cm="1">
        <f t="array" ref="N23">IFERROR(INDEX(_xlfn.UNIQUE(TRIM(_xlfn.TEXTSPLIT(Table261425[[#This Row],[Selection Options]:[Selection Options]],","))),,N$11),"")</f>
        <v>100%: Supported as delivered "out of the box"</v>
      </c>
      <c r="O23" s="29" t="str" cm="1">
        <f t="array" ref="O23">IFERROR(INDEX(_xlfn.UNIQUE(TRIM(_xlfn.TEXTSPLIT(Table261425[[#This Row],[Selection Options]:[Selection Options]],","))),,O$11),"")</f>
        <v xml:space="preserve">
75%: Supported via modifications (config)</v>
      </c>
      <c r="P23" s="29" t="str" cm="1">
        <f t="array" ref="P23">IFERROR(INDEX(_xlfn.UNIQUE(TRIM(_xlfn.TEXTSPLIT(Table261425[[#This Row],[Selection Options]:[Selection Options]],","))),,P$11),"")</f>
        <v xml:space="preserve">
50%: Supported via a third party solution</v>
      </c>
      <c r="Q23" s="29" t="str" cm="1">
        <f t="array" ref="Q23">IFERROR(INDEX(_xlfn.UNIQUE(TRIM(_xlfn.TEXTSPLIT(Table261425[[#This Row],[Selection Options]:[Selection Options]],","))),,Q$11),"")</f>
        <v xml:space="preserve">
25%: Supported via customisation (source code changes)</v>
      </c>
      <c r="R23" s="29" t="str" cm="1">
        <f t="array" ref="R23">IFERROR(INDEX(_xlfn.UNIQUE(TRIM(_xlfn.TEXTSPLIT(Table261425[[#This Row],[Selection Options]:[Selection Options]],","))),,R$11),"")</f>
        <v xml:space="preserve">
 0%: Not currently supported</v>
      </c>
      <c r="S23" s="29" t="str" cm="1">
        <f t="array" ref="S23">IFERROR(INDEX(_xlfn.UNIQUE(TRIM(_xlfn.TEXTSPLIT(Table261425[[#This Row],[Selection Options]:[Selection Options]],","))),,S$11),"")</f>
        <v/>
      </c>
      <c r="T23" s="29" t="str" cm="1">
        <f t="array" ref="T23">IFERROR(INDEX(_xlfn.UNIQUE(TRIM(_xlfn.TEXTSPLIT(Table261425[[#This Row],[Selection Options]:[Selection Options]],","))),,T$11),"")</f>
        <v/>
      </c>
      <c r="U23" s="29" t="str" cm="1">
        <f t="array" ref="U23">IFERROR(INDEX(_xlfn.UNIQUE(TRIM(_xlfn.TEXTSPLIT(Table261425[[#This Row],[Selection Options]:[Selection Options]],","))),,U$11),"")</f>
        <v/>
      </c>
      <c r="V23" s="29" t="str" cm="1">
        <f t="array" ref="V23">IFERROR(INDEX(_xlfn.UNIQUE(TRIM(_xlfn.TEXTSPLIT(Table261425[[#This Row],[Selection Options]:[Selection Options]],","))),,V$11),"")</f>
        <v/>
      </c>
      <c r="W23" s="29" t="str" cm="1">
        <f t="array" ref="W23">IFERROR(INDEX(_xlfn.UNIQUE(TRIM(_xlfn.TEXTSPLIT(Table261425[[#This Row],[Selection Options]:[Selection Options]],","))),,W$11),"")</f>
        <v/>
      </c>
      <c r="X23" s="29" t="str" cm="1">
        <f t="array" ref="X23">IFERROR(INDEX(_xlfn.UNIQUE(TRIM(_xlfn.TEXTSPLIT(Table261425[[#This Row],[Selection Options]:[Selection Options]],","))),,X$11),"")</f>
        <v/>
      </c>
      <c r="Y23" s="30" cm="1">
        <f t="array" ref="Y23">IF(Table261425[[#This Row],[1]]="","",Table261425[[#This Row],[Weight]:[Weight]]-(Table261425[[#This Row],[Weight]:[Weight]]*((_xlfn.XMATCH(Table261425[[#This Row],[1]],Table261425[[#This Row],[1]:[11]],0))-1)/(COUNTA(Table261425[[#This Row],[1]:[11]])-COUNTBLANK(Table261425[[#This Row],[1]:[11]])-1)))</f>
        <v>8.2720588235294116E-4</v>
      </c>
      <c r="Z23" s="30" cm="1">
        <f t="array" ref="Z23">IF(Table261425[[#This Row],[2]]="","",Table261425[[#This Row],[Weight]:[Weight]]-(Table261425[[#This Row],[Weight]:[Weight]]*((_xlfn.XMATCH(Table261425[[#This Row],[2]],Table261425[[#This Row],[1]:[11]],0))-1)/(COUNTA(Table261425[[#This Row],[1]:[11]])-COUNTBLANK(Table261425[[#This Row],[1]:[11]])-1)))</f>
        <v>6.2040441176470585E-4</v>
      </c>
      <c r="AA23" s="30" cm="1">
        <f t="array" ref="AA23">IF(Table261425[[#This Row],[3]]="","",Table261425[[#This Row],[Weight]:[Weight]]-(Table261425[[#This Row],[Weight]:[Weight]]*((_xlfn.XMATCH(Table261425[[#This Row],[3]],Table261425[[#This Row],[1]:[11]],0))-1)/(COUNTA(Table261425[[#This Row],[1]:[11]])-COUNTBLANK(Table261425[[#This Row],[1]:[11]])-1)))</f>
        <v>4.1360294117647058E-4</v>
      </c>
      <c r="AB23" s="30" cm="1">
        <f t="array" ref="AB23">IF(Table261425[[#This Row],[4]]="","",Table261425[[#This Row],[Weight]:[Weight]]-(Table261425[[#This Row],[Weight]:[Weight]]*((_xlfn.XMATCH(Table261425[[#This Row],[4]],Table261425[[#This Row],[1]:[11]],0))-1)/(COUNTA(Table261425[[#This Row],[1]:[11]])-COUNTBLANK(Table261425[[#This Row],[1]:[11]])-1)))</f>
        <v>2.0680147058823532E-4</v>
      </c>
      <c r="AC23" s="30" cm="1">
        <f t="array" ref="AC23">IF(Table261425[[#This Row],[5]]="","",Table261425[[#This Row],[Weight]:[Weight]]-(Table261425[[#This Row],[Weight]:[Weight]]*((_xlfn.XMATCH(Table261425[[#This Row],[5]],Table261425[[#This Row],[1]:[11]],0))-1)/(COUNTA(Table261425[[#This Row],[1]:[11]])-COUNTBLANK(Table261425[[#This Row],[1]:[11]])-1)))</f>
        <v>0</v>
      </c>
      <c r="AD23" s="30" t="str" cm="1">
        <f t="array" ref="AD23">IF(Table261425[[#This Row],[6]]="","",Table261425[[#This Row],[Weight]:[Weight]]-(Table261425[[#This Row],[Weight]:[Weight]]*((_xlfn.XMATCH(Table261425[[#This Row],[6]],Table261425[[#This Row],[1]:[11]],0))-1)/(COUNTA(Table261425[[#This Row],[1]:[11]])-COUNTBLANK(Table261425[[#This Row],[1]:[11]])-1)))</f>
        <v/>
      </c>
      <c r="AE23" s="30" t="str" cm="1">
        <f t="array" ref="AE23">IF(Table261425[[#This Row],[7]]="","",Table261425[[#This Row],[Weight]:[Weight]]-(Table261425[[#This Row],[Weight]:[Weight]]*((_xlfn.XMATCH(Table261425[[#This Row],[7]],Table261425[[#This Row],[1]:[11]],0))-1)/(COUNTA(Table261425[[#This Row],[1]:[11]])-COUNTBLANK(Table261425[[#This Row],[1]:[11]])-1)))</f>
        <v/>
      </c>
      <c r="AF23" s="30" t="str" cm="1">
        <f t="array" ref="AF23">IF(Table261425[[#This Row],[8]]="","",Table261425[[#This Row],[Weight]:[Weight]]-(Table261425[[#This Row],[Weight]:[Weight]]*((_xlfn.XMATCH(Table261425[[#This Row],[8]],Table261425[[#This Row],[1]:[11]],0))-1)/(COUNTA(Table261425[[#This Row],[1]:[11]])-COUNTBLANK(Table261425[[#This Row],[1]:[11]])-1)))</f>
        <v/>
      </c>
      <c r="AG23" s="30" t="str" cm="1">
        <f t="array" ref="AG23">IF(Table261425[[#This Row],[9]]="","",Table261425[[#This Row],[Weight]:[Weight]]-(Table261425[[#This Row],[Weight]:[Weight]]*((_xlfn.XMATCH(Table261425[[#This Row],[9]],Table261425[[#This Row],[1]:[11]],0))-1)/(COUNTA(Table261425[[#This Row],[1]:[11]])-COUNTBLANK(Table261425[[#This Row],[1]:[11]])-1)))</f>
        <v/>
      </c>
      <c r="AH23" s="30" t="str" cm="1">
        <f t="array" ref="AH23">IF(Table261425[[#This Row],[10]]="","",Table261425[[#This Row],[Weight]:[Weight]]-(Table261425[[#This Row],[Weight]:[Weight]]*((_xlfn.XMATCH(Table261425[[#This Row],[10]],Table261425[[#This Row],[1]:[11]],0))-1)/(COUNTA(Table261425[[#This Row],[1]:[11]])-COUNTBLANK(Table261425[[#This Row],[1]:[11]])-1)))</f>
        <v/>
      </c>
      <c r="AI23" s="30" t="str" cm="1">
        <f t="array" ref="AI23">IF(Table261425[[#This Row],[11]]="","",Table261425[[#This Row],[Weight]:[Weight]]-(Table261425[[#This Row],[Weight]:[Weight]]*((_xlfn.XMATCH(Table261425[[#This Row],[11]],Table261425[[#This Row],[1]:[11]],0))-1)/(COUNTA(Table261425[[#This Row],[1]:[11]])-COUNTBLANK(Table261425[[#This Row],[1]:[11]])-1)))</f>
        <v/>
      </c>
    </row>
    <row r="24" spans="1:35" ht="120" x14ac:dyDescent="0.2">
      <c r="A24" s="20">
        <v>12</v>
      </c>
      <c r="B24" s="90" t="s">
        <v>332</v>
      </c>
      <c r="C24" s="119" t="s">
        <v>215</v>
      </c>
      <c r="D24" s="146"/>
      <c r="E24" s="146"/>
      <c r="F24" s="120" t="s">
        <v>60</v>
      </c>
      <c r="G24" s="148" cm="1">
        <f t="array" ref="G24">_xlfn.IFS(F24="","",F24="No interest",0,F24="Nice to have",1,F24="Useful",2,F24="Important",3,F24="Very important",4,F24="Critical",5,F24="Show stopper",6)</f>
        <v>6</v>
      </c>
      <c r="H24" s="149">
        <f t="shared" si="1"/>
        <v>1.6544117647058823E-3</v>
      </c>
      <c r="I24" s="150" t="s">
        <v>321</v>
      </c>
      <c r="J24" s="35" t="str" cm="1">
        <f t="array" ref="J24">_xlfn.TEXTJOIN(","&amp;CHAR(10),,TEXT(Table261425[[#This Row],[12]:[22]],"0,00%"))</f>
        <v>0,00%,
0,00%,
0,00%,
0,00%,
0,00%</v>
      </c>
      <c r="K24" s="26"/>
      <c r="L24" s="27" t="e">
        <f>H24-(H24*((MATCH(Table261425[[#This Row],[Evaluators Response (SELECT)]],Table261425[[#This Row],[1]:[11]],0)-1)/(COUNTA(Table261425[[#This Row],[1]:[11]])-COUNTBLANK(Table261425[[#This Row],[1]:[11]])-1)))</f>
        <v>#N/A</v>
      </c>
      <c r="M24" s="28"/>
      <c r="N24" s="29" t="str" cm="1">
        <f t="array" ref="N24">IFERROR(INDEX(_xlfn.UNIQUE(TRIM(_xlfn.TEXTSPLIT(Table261425[[#This Row],[Selection Options]:[Selection Options]],","))),,N$11),"")</f>
        <v>100%: Supported as delivered "out of the box"</v>
      </c>
      <c r="O24" s="29" t="str" cm="1">
        <f t="array" ref="O24">IFERROR(INDEX(_xlfn.UNIQUE(TRIM(_xlfn.TEXTSPLIT(Table261425[[#This Row],[Selection Options]:[Selection Options]],","))),,O$11),"")</f>
        <v xml:space="preserve">
75%: Supported via modifications (config)</v>
      </c>
      <c r="P24" s="29" t="str" cm="1">
        <f t="array" ref="P24">IFERROR(INDEX(_xlfn.UNIQUE(TRIM(_xlfn.TEXTSPLIT(Table261425[[#This Row],[Selection Options]:[Selection Options]],","))),,P$11),"")</f>
        <v xml:space="preserve">
50%: Supported via a third party solution</v>
      </c>
      <c r="Q24" s="29" t="str" cm="1">
        <f t="array" ref="Q24">IFERROR(INDEX(_xlfn.UNIQUE(TRIM(_xlfn.TEXTSPLIT(Table261425[[#This Row],[Selection Options]:[Selection Options]],","))),,Q$11),"")</f>
        <v xml:space="preserve">
25%: Supported via customisation (source code changes)</v>
      </c>
      <c r="R24" s="29" t="str" cm="1">
        <f t="array" ref="R24">IFERROR(INDEX(_xlfn.UNIQUE(TRIM(_xlfn.TEXTSPLIT(Table261425[[#This Row],[Selection Options]:[Selection Options]],","))),,R$11),"")</f>
        <v xml:space="preserve">
 0%: Not currently supported</v>
      </c>
      <c r="S24" s="29" t="str" cm="1">
        <f t="array" ref="S24">IFERROR(INDEX(_xlfn.UNIQUE(TRIM(_xlfn.TEXTSPLIT(Table261425[[#This Row],[Selection Options]:[Selection Options]],","))),,S$11),"")</f>
        <v/>
      </c>
      <c r="T24" s="29" t="str" cm="1">
        <f t="array" ref="T24">IFERROR(INDEX(_xlfn.UNIQUE(TRIM(_xlfn.TEXTSPLIT(Table261425[[#This Row],[Selection Options]:[Selection Options]],","))),,T$11),"")</f>
        <v/>
      </c>
      <c r="U24" s="29" t="str" cm="1">
        <f t="array" ref="U24">IFERROR(INDEX(_xlfn.UNIQUE(TRIM(_xlfn.TEXTSPLIT(Table261425[[#This Row],[Selection Options]:[Selection Options]],","))),,U$11),"")</f>
        <v/>
      </c>
      <c r="V24" s="29" t="str" cm="1">
        <f t="array" ref="V24">IFERROR(INDEX(_xlfn.UNIQUE(TRIM(_xlfn.TEXTSPLIT(Table261425[[#This Row],[Selection Options]:[Selection Options]],","))),,V$11),"")</f>
        <v/>
      </c>
      <c r="W24" s="29" t="str" cm="1">
        <f t="array" ref="W24">IFERROR(INDEX(_xlfn.UNIQUE(TRIM(_xlfn.TEXTSPLIT(Table261425[[#This Row],[Selection Options]:[Selection Options]],","))),,W$11),"")</f>
        <v/>
      </c>
      <c r="X24" s="29" t="str" cm="1">
        <f t="array" ref="X24">IFERROR(INDEX(_xlfn.UNIQUE(TRIM(_xlfn.TEXTSPLIT(Table261425[[#This Row],[Selection Options]:[Selection Options]],","))),,X$11),"")</f>
        <v/>
      </c>
      <c r="Y24" s="30" cm="1">
        <f t="array" ref="Y24">IF(Table261425[[#This Row],[1]]="","",Table261425[[#This Row],[Weight]:[Weight]]-(Table261425[[#This Row],[Weight]:[Weight]]*((_xlfn.XMATCH(Table261425[[#This Row],[1]],Table261425[[#This Row],[1]:[11]],0))-1)/(COUNTA(Table261425[[#This Row],[1]:[11]])-COUNTBLANK(Table261425[[#This Row],[1]:[11]])-1)))</f>
        <v>1.6544117647058823E-3</v>
      </c>
      <c r="Z24" s="30" cm="1">
        <f t="array" ref="Z24">IF(Table261425[[#This Row],[2]]="","",Table261425[[#This Row],[Weight]:[Weight]]-(Table261425[[#This Row],[Weight]:[Weight]]*((_xlfn.XMATCH(Table261425[[#This Row],[2]],Table261425[[#This Row],[1]:[11]],0))-1)/(COUNTA(Table261425[[#This Row],[1]:[11]])-COUNTBLANK(Table261425[[#This Row],[1]:[11]])-1)))</f>
        <v>1.2408088235294117E-3</v>
      </c>
      <c r="AA24" s="30" cm="1">
        <f t="array" ref="AA24">IF(Table261425[[#This Row],[3]]="","",Table261425[[#This Row],[Weight]:[Weight]]-(Table261425[[#This Row],[Weight]:[Weight]]*((_xlfn.XMATCH(Table261425[[#This Row],[3]],Table261425[[#This Row],[1]:[11]],0))-1)/(COUNTA(Table261425[[#This Row],[1]:[11]])-COUNTBLANK(Table261425[[#This Row],[1]:[11]])-1)))</f>
        <v>8.2720588235294116E-4</v>
      </c>
      <c r="AB24" s="30" cm="1">
        <f t="array" ref="AB24">IF(Table261425[[#This Row],[4]]="","",Table261425[[#This Row],[Weight]:[Weight]]-(Table261425[[#This Row],[Weight]:[Weight]]*((_xlfn.XMATCH(Table261425[[#This Row],[4]],Table261425[[#This Row],[1]:[11]],0))-1)/(COUNTA(Table261425[[#This Row],[1]:[11]])-COUNTBLANK(Table261425[[#This Row],[1]:[11]])-1)))</f>
        <v>4.1360294117647064E-4</v>
      </c>
      <c r="AC24" s="30" cm="1">
        <f t="array" ref="AC24">IF(Table261425[[#This Row],[5]]="","",Table261425[[#This Row],[Weight]:[Weight]]-(Table261425[[#This Row],[Weight]:[Weight]]*((_xlfn.XMATCH(Table261425[[#This Row],[5]],Table261425[[#This Row],[1]:[11]],0))-1)/(COUNTA(Table261425[[#This Row],[1]:[11]])-COUNTBLANK(Table261425[[#This Row],[1]:[11]])-1)))</f>
        <v>0</v>
      </c>
      <c r="AD24" s="30" t="str" cm="1">
        <f t="array" ref="AD24">IF(Table261425[[#This Row],[6]]="","",Table261425[[#This Row],[Weight]:[Weight]]-(Table261425[[#This Row],[Weight]:[Weight]]*((_xlfn.XMATCH(Table261425[[#This Row],[6]],Table261425[[#This Row],[1]:[11]],0))-1)/(COUNTA(Table261425[[#This Row],[1]:[11]])-COUNTBLANK(Table261425[[#This Row],[1]:[11]])-1)))</f>
        <v/>
      </c>
      <c r="AE24" s="30" t="str" cm="1">
        <f t="array" ref="AE24">IF(Table261425[[#This Row],[7]]="","",Table261425[[#This Row],[Weight]:[Weight]]-(Table261425[[#This Row],[Weight]:[Weight]]*((_xlfn.XMATCH(Table261425[[#This Row],[7]],Table261425[[#This Row],[1]:[11]],0))-1)/(COUNTA(Table261425[[#This Row],[1]:[11]])-COUNTBLANK(Table261425[[#This Row],[1]:[11]])-1)))</f>
        <v/>
      </c>
      <c r="AF24" s="30" t="str" cm="1">
        <f t="array" ref="AF24">IF(Table261425[[#This Row],[8]]="","",Table261425[[#This Row],[Weight]:[Weight]]-(Table261425[[#This Row],[Weight]:[Weight]]*((_xlfn.XMATCH(Table261425[[#This Row],[8]],Table261425[[#This Row],[1]:[11]],0))-1)/(COUNTA(Table261425[[#This Row],[1]:[11]])-COUNTBLANK(Table261425[[#This Row],[1]:[11]])-1)))</f>
        <v/>
      </c>
      <c r="AG24" s="30" t="str" cm="1">
        <f t="array" ref="AG24">IF(Table261425[[#This Row],[9]]="","",Table261425[[#This Row],[Weight]:[Weight]]-(Table261425[[#This Row],[Weight]:[Weight]]*((_xlfn.XMATCH(Table261425[[#This Row],[9]],Table261425[[#This Row],[1]:[11]],0))-1)/(COUNTA(Table261425[[#This Row],[1]:[11]])-COUNTBLANK(Table261425[[#This Row],[1]:[11]])-1)))</f>
        <v/>
      </c>
      <c r="AH24" s="30" t="str" cm="1">
        <f t="array" ref="AH24">IF(Table261425[[#This Row],[10]]="","",Table261425[[#This Row],[Weight]:[Weight]]-(Table261425[[#This Row],[Weight]:[Weight]]*((_xlfn.XMATCH(Table261425[[#This Row],[10]],Table261425[[#This Row],[1]:[11]],0))-1)/(COUNTA(Table261425[[#This Row],[1]:[11]])-COUNTBLANK(Table261425[[#This Row],[1]:[11]])-1)))</f>
        <v/>
      </c>
      <c r="AI24" s="30" t="str" cm="1">
        <f t="array" ref="AI24">IF(Table261425[[#This Row],[11]]="","",Table261425[[#This Row],[Weight]:[Weight]]-(Table261425[[#This Row],[Weight]:[Weight]]*((_xlfn.XMATCH(Table261425[[#This Row],[11]],Table261425[[#This Row],[1]:[11]],0))-1)/(COUNTA(Table261425[[#This Row],[1]:[11]])-COUNTBLANK(Table261425[[#This Row],[1]:[11]])-1)))</f>
        <v/>
      </c>
    </row>
    <row r="25" spans="1:35" ht="120" x14ac:dyDescent="0.2">
      <c r="A25" s="20">
        <v>13</v>
      </c>
      <c r="B25" s="90" t="s">
        <v>333</v>
      </c>
      <c r="C25" s="119" t="s">
        <v>215</v>
      </c>
      <c r="D25" s="146"/>
      <c r="E25" s="146"/>
      <c r="F25" s="120" t="s">
        <v>60</v>
      </c>
      <c r="G25" s="148" cm="1">
        <f t="array" ref="G25">_xlfn.IFS(F25="","",F25="No interest",0,F25="Nice to have",1,F25="Useful",2,F25="Important",3,F25="Very important",4,F25="Critical",5,F25="Show stopper",6)</f>
        <v>6</v>
      </c>
      <c r="H25" s="149">
        <f t="shared" si="1"/>
        <v>1.6544117647058823E-3</v>
      </c>
      <c r="I25" s="150" t="s">
        <v>321</v>
      </c>
      <c r="J25" s="35" t="str" cm="1">
        <f t="array" ref="J25">_xlfn.TEXTJOIN(","&amp;CHAR(10),,TEXT(Table261425[[#This Row],[12]:[22]],"0,00%"))</f>
        <v>0,00%,
0,00%,
0,00%,
0,00%,
0,00%</v>
      </c>
      <c r="K25" s="26"/>
      <c r="L25" s="27" t="e">
        <f>H25-(H25*((MATCH(Table261425[[#This Row],[Evaluators Response (SELECT)]],Table261425[[#This Row],[1]:[11]],0)-1)/(COUNTA(Table261425[[#This Row],[1]:[11]])-COUNTBLANK(Table261425[[#This Row],[1]:[11]])-1)))</f>
        <v>#N/A</v>
      </c>
      <c r="M25" s="28"/>
      <c r="N25" s="29" t="str" cm="1">
        <f t="array" ref="N25">IFERROR(INDEX(_xlfn.UNIQUE(TRIM(_xlfn.TEXTSPLIT(Table261425[[#This Row],[Selection Options]:[Selection Options]],","))),,N$11),"")</f>
        <v>100%: Supported as delivered "out of the box"</v>
      </c>
      <c r="O25" s="29" t="str" cm="1">
        <f t="array" ref="O25">IFERROR(INDEX(_xlfn.UNIQUE(TRIM(_xlfn.TEXTSPLIT(Table261425[[#This Row],[Selection Options]:[Selection Options]],","))),,O$11),"")</f>
        <v xml:space="preserve">
75%: Supported via modifications (config)</v>
      </c>
      <c r="P25" s="29" t="str" cm="1">
        <f t="array" ref="P25">IFERROR(INDEX(_xlfn.UNIQUE(TRIM(_xlfn.TEXTSPLIT(Table261425[[#This Row],[Selection Options]:[Selection Options]],","))),,P$11),"")</f>
        <v xml:space="preserve">
50%: Supported via a third party solution</v>
      </c>
      <c r="Q25" s="29" t="str" cm="1">
        <f t="array" ref="Q25">IFERROR(INDEX(_xlfn.UNIQUE(TRIM(_xlfn.TEXTSPLIT(Table261425[[#This Row],[Selection Options]:[Selection Options]],","))),,Q$11),"")</f>
        <v xml:space="preserve">
25%: Supported via customisation (source code changes)</v>
      </c>
      <c r="R25" s="29" t="str" cm="1">
        <f t="array" ref="R25">IFERROR(INDEX(_xlfn.UNIQUE(TRIM(_xlfn.TEXTSPLIT(Table261425[[#This Row],[Selection Options]:[Selection Options]],","))),,R$11),"")</f>
        <v xml:space="preserve">
 0%: Not currently supported</v>
      </c>
      <c r="S25" s="29" t="str" cm="1">
        <f t="array" ref="S25">IFERROR(INDEX(_xlfn.UNIQUE(TRIM(_xlfn.TEXTSPLIT(Table261425[[#This Row],[Selection Options]:[Selection Options]],","))),,S$11),"")</f>
        <v/>
      </c>
      <c r="T25" s="29" t="str" cm="1">
        <f t="array" ref="T25">IFERROR(INDEX(_xlfn.UNIQUE(TRIM(_xlfn.TEXTSPLIT(Table261425[[#This Row],[Selection Options]:[Selection Options]],","))),,T$11),"")</f>
        <v/>
      </c>
      <c r="U25" s="29" t="str" cm="1">
        <f t="array" ref="U25">IFERROR(INDEX(_xlfn.UNIQUE(TRIM(_xlfn.TEXTSPLIT(Table261425[[#This Row],[Selection Options]:[Selection Options]],","))),,U$11),"")</f>
        <v/>
      </c>
      <c r="V25" s="29" t="str" cm="1">
        <f t="array" ref="V25">IFERROR(INDEX(_xlfn.UNIQUE(TRIM(_xlfn.TEXTSPLIT(Table261425[[#This Row],[Selection Options]:[Selection Options]],","))),,V$11),"")</f>
        <v/>
      </c>
      <c r="W25" s="29" t="str" cm="1">
        <f t="array" ref="W25">IFERROR(INDEX(_xlfn.UNIQUE(TRIM(_xlfn.TEXTSPLIT(Table261425[[#This Row],[Selection Options]:[Selection Options]],","))),,W$11),"")</f>
        <v/>
      </c>
      <c r="X25" s="29" t="str" cm="1">
        <f t="array" ref="X25">IFERROR(INDEX(_xlfn.UNIQUE(TRIM(_xlfn.TEXTSPLIT(Table261425[[#This Row],[Selection Options]:[Selection Options]],","))),,X$11),"")</f>
        <v/>
      </c>
      <c r="Y25" s="30" cm="1">
        <f t="array" ref="Y25">IF(Table261425[[#This Row],[1]]="","",Table261425[[#This Row],[Weight]:[Weight]]-(Table261425[[#This Row],[Weight]:[Weight]]*((_xlfn.XMATCH(Table261425[[#This Row],[1]],Table261425[[#This Row],[1]:[11]],0))-1)/(COUNTA(Table261425[[#This Row],[1]:[11]])-COUNTBLANK(Table261425[[#This Row],[1]:[11]])-1)))</f>
        <v>1.6544117647058823E-3</v>
      </c>
      <c r="Z25" s="30" cm="1">
        <f t="array" ref="Z25">IF(Table261425[[#This Row],[2]]="","",Table261425[[#This Row],[Weight]:[Weight]]-(Table261425[[#This Row],[Weight]:[Weight]]*((_xlfn.XMATCH(Table261425[[#This Row],[2]],Table261425[[#This Row],[1]:[11]],0))-1)/(COUNTA(Table261425[[#This Row],[1]:[11]])-COUNTBLANK(Table261425[[#This Row],[1]:[11]])-1)))</f>
        <v>1.2408088235294117E-3</v>
      </c>
      <c r="AA25" s="30" cm="1">
        <f t="array" ref="AA25">IF(Table261425[[#This Row],[3]]="","",Table261425[[#This Row],[Weight]:[Weight]]-(Table261425[[#This Row],[Weight]:[Weight]]*((_xlfn.XMATCH(Table261425[[#This Row],[3]],Table261425[[#This Row],[1]:[11]],0))-1)/(COUNTA(Table261425[[#This Row],[1]:[11]])-COUNTBLANK(Table261425[[#This Row],[1]:[11]])-1)))</f>
        <v>8.2720588235294116E-4</v>
      </c>
      <c r="AB25" s="30" cm="1">
        <f t="array" ref="AB25">IF(Table261425[[#This Row],[4]]="","",Table261425[[#This Row],[Weight]:[Weight]]-(Table261425[[#This Row],[Weight]:[Weight]]*((_xlfn.XMATCH(Table261425[[#This Row],[4]],Table261425[[#This Row],[1]:[11]],0))-1)/(COUNTA(Table261425[[#This Row],[1]:[11]])-COUNTBLANK(Table261425[[#This Row],[1]:[11]])-1)))</f>
        <v>4.1360294117647064E-4</v>
      </c>
      <c r="AC25" s="30" cm="1">
        <f t="array" ref="AC25">IF(Table261425[[#This Row],[5]]="","",Table261425[[#This Row],[Weight]:[Weight]]-(Table261425[[#This Row],[Weight]:[Weight]]*((_xlfn.XMATCH(Table261425[[#This Row],[5]],Table261425[[#This Row],[1]:[11]],0))-1)/(COUNTA(Table261425[[#This Row],[1]:[11]])-COUNTBLANK(Table261425[[#This Row],[1]:[11]])-1)))</f>
        <v>0</v>
      </c>
      <c r="AD25" s="30" t="str" cm="1">
        <f t="array" ref="AD25">IF(Table261425[[#This Row],[6]]="","",Table261425[[#This Row],[Weight]:[Weight]]-(Table261425[[#This Row],[Weight]:[Weight]]*((_xlfn.XMATCH(Table261425[[#This Row],[6]],Table261425[[#This Row],[1]:[11]],0))-1)/(COUNTA(Table261425[[#This Row],[1]:[11]])-COUNTBLANK(Table261425[[#This Row],[1]:[11]])-1)))</f>
        <v/>
      </c>
      <c r="AE25" s="30" t="str" cm="1">
        <f t="array" ref="AE25">IF(Table261425[[#This Row],[7]]="","",Table261425[[#This Row],[Weight]:[Weight]]-(Table261425[[#This Row],[Weight]:[Weight]]*((_xlfn.XMATCH(Table261425[[#This Row],[7]],Table261425[[#This Row],[1]:[11]],0))-1)/(COUNTA(Table261425[[#This Row],[1]:[11]])-COUNTBLANK(Table261425[[#This Row],[1]:[11]])-1)))</f>
        <v/>
      </c>
      <c r="AF25" s="30" t="str" cm="1">
        <f t="array" ref="AF25">IF(Table261425[[#This Row],[8]]="","",Table261425[[#This Row],[Weight]:[Weight]]-(Table261425[[#This Row],[Weight]:[Weight]]*((_xlfn.XMATCH(Table261425[[#This Row],[8]],Table261425[[#This Row],[1]:[11]],0))-1)/(COUNTA(Table261425[[#This Row],[1]:[11]])-COUNTBLANK(Table261425[[#This Row],[1]:[11]])-1)))</f>
        <v/>
      </c>
      <c r="AG25" s="30" t="str" cm="1">
        <f t="array" ref="AG25">IF(Table261425[[#This Row],[9]]="","",Table261425[[#This Row],[Weight]:[Weight]]-(Table261425[[#This Row],[Weight]:[Weight]]*((_xlfn.XMATCH(Table261425[[#This Row],[9]],Table261425[[#This Row],[1]:[11]],0))-1)/(COUNTA(Table261425[[#This Row],[1]:[11]])-COUNTBLANK(Table261425[[#This Row],[1]:[11]])-1)))</f>
        <v/>
      </c>
      <c r="AH25" s="30" t="str" cm="1">
        <f t="array" ref="AH25">IF(Table261425[[#This Row],[10]]="","",Table261425[[#This Row],[Weight]:[Weight]]-(Table261425[[#This Row],[Weight]:[Weight]]*((_xlfn.XMATCH(Table261425[[#This Row],[10]],Table261425[[#This Row],[1]:[11]],0))-1)/(COUNTA(Table261425[[#This Row],[1]:[11]])-COUNTBLANK(Table261425[[#This Row],[1]:[11]])-1)))</f>
        <v/>
      </c>
      <c r="AI25" s="30" t="str" cm="1">
        <f t="array" ref="AI25">IF(Table261425[[#This Row],[11]]="","",Table261425[[#This Row],[Weight]:[Weight]]-(Table261425[[#This Row],[Weight]:[Weight]]*((_xlfn.XMATCH(Table261425[[#This Row],[11]],Table261425[[#This Row],[1]:[11]],0))-1)/(COUNTA(Table261425[[#This Row],[1]:[11]])-COUNTBLANK(Table261425[[#This Row],[1]:[11]])-1)))</f>
        <v/>
      </c>
    </row>
    <row r="26" spans="1:35" ht="120" x14ac:dyDescent="0.2">
      <c r="A26" s="20">
        <v>14</v>
      </c>
      <c r="B26" s="90" t="s">
        <v>334</v>
      </c>
      <c r="C26" s="119" t="s">
        <v>215</v>
      </c>
      <c r="D26" s="146"/>
      <c r="E26" s="146"/>
      <c r="F26" s="120" t="s">
        <v>60</v>
      </c>
      <c r="G26" s="148" cm="1">
        <f t="array" ref="G26">_xlfn.IFS(F26="","",F26="No interest",0,F26="Nice to have",1,F26="Useful",2,F26="Important",3,F26="Very important",4,F26="Critical",5,F26="Show stopper",6)</f>
        <v>6</v>
      </c>
      <c r="H26" s="149">
        <f t="shared" si="1"/>
        <v>1.6544117647058823E-3</v>
      </c>
      <c r="I26" s="150" t="s">
        <v>321</v>
      </c>
      <c r="J26" s="35" t="str" cm="1">
        <f t="array" ref="J26">_xlfn.TEXTJOIN(","&amp;CHAR(10),,TEXT(Table261425[[#This Row],[12]:[22]],"0,00%"))</f>
        <v>0,00%,
0,00%,
0,00%,
0,00%,
0,00%</v>
      </c>
      <c r="K26" s="26"/>
      <c r="L26" s="27" t="e">
        <f>H26-(H26*((MATCH(Table261425[[#This Row],[Evaluators Response (SELECT)]],Table261425[[#This Row],[1]:[11]],0)-1)/(COUNTA(Table261425[[#This Row],[1]:[11]])-COUNTBLANK(Table261425[[#This Row],[1]:[11]])-1)))</f>
        <v>#N/A</v>
      </c>
      <c r="M26" s="28"/>
      <c r="N26" s="29" t="str" cm="1">
        <f t="array" ref="N26">IFERROR(INDEX(_xlfn.UNIQUE(TRIM(_xlfn.TEXTSPLIT(Table261425[[#This Row],[Selection Options]:[Selection Options]],","))),,N$11),"")</f>
        <v>100%: Supported as delivered "out of the box"</v>
      </c>
      <c r="O26" s="29" t="str" cm="1">
        <f t="array" ref="O26">IFERROR(INDEX(_xlfn.UNIQUE(TRIM(_xlfn.TEXTSPLIT(Table261425[[#This Row],[Selection Options]:[Selection Options]],","))),,O$11),"")</f>
        <v xml:space="preserve">
75%: Supported via modifications (config)</v>
      </c>
      <c r="P26" s="29" t="str" cm="1">
        <f t="array" ref="P26">IFERROR(INDEX(_xlfn.UNIQUE(TRIM(_xlfn.TEXTSPLIT(Table261425[[#This Row],[Selection Options]:[Selection Options]],","))),,P$11),"")</f>
        <v xml:space="preserve">
50%: Supported via a third party solution</v>
      </c>
      <c r="Q26" s="29" t="str" cm="1">
        <f t="array" ref="Q26">IFERROR(INDEX(_xlfn.UNIQUE(TRIM(_xlfn.TEXTSPLIT(Table261425[[#This Row],[Selection Options]:[Selection Options]],","))),,Q$11),"")</f>
        <v xml:space="preserve">
25%: Supported via customisation (source code changes)</v>
      </c>
      <c r="R26" s="29" t="str" cm="1">
        <f t="array" ref="R26">IFERROR(INDEX(_xlfn.UNIQUE(TRIM(_xlfn.TEXTSPLIT(Table261425[[#This Row],[Selection Options]:[Selection Options]],","))),,R$11),"")</f>
        <v xml:space="preserve">
 0%: Not currently supported</v>
      </c>
      <c r="S26" s="29" t="str" cm="1">
        <f t="array" ref="S26">IFERROR(INDEX(_xlfn.UNIQUE(TRIM(_xlfn.TEXTSPLIT(Table261425[[#This Row],[Selection Options]:[Selection Options]],","))),,S$11),"")</f>
        <v/>
      </c>
      <c r="T26" s="29" t="str" cm="1">
        <f t="array" ref="T26">IFERROR(INDEX(_xlfn.UNIQUE(TRIM(_xlfn.TEXTSPLIT(Table261425[[#This Row],[Selection Options]:[Selection Options]],","))),,T$11),"")</f>
        <v/>
      </c>
      <c r="U26" s="29" t="str" cm="1">
        <f t="array" ref="U26">IFERROR(INDEX(_xlfn.UNIQUE(TRIM(_xlfn.TEXTSPLIT(Table261425[[#This Row],[Selection Options]:[Selection Options]],","))),,U$11),"")</f>
        <v/>
      </c>
      <c r="V26" s="29" t="str" cm="1">
        <f t="array" ref="V26">IFERROR(INDEX(_xlfn.UNIQUE(TRIM(_xlfn.TEXTSPLIT(Table261425[[#This Row],[Selection Options]:[Selection Options]],","))),,V$11),"")</f>
        <v/>
      </c>
      <c r="W26" s="29" t="str" cm="1">
        <f t="array" ref="W26">IFERROR(INDEX(_xlfn.UNIQUE(TRIM(_xlfn.TEXTSPLIT(Table261425[[#This Row],[Selection Options]:[Selection Options]],","))),,W$11),"")</f>
        <v/>
      </c>
      <c r="X26" s="29" t="str" cm="1">
        <f t="array" ref="X26">IFERROR(INDEX(_xlfn.UNIQUE(TRIM(_xlfn.TEXTSPLIT(Table261425[[#This Row],[Selection Options]:[Selection Options]],","))),,X$11),"")</f>
        <v/>
      </c>
      <c r="Y26" s="30" cm="1">
        <f t="array" ref="Y26">IF(Table261425[[#This Row],[1]]="","",Table261425[[#This Row],[Weight]:[Weight]]-(Table261425[[#This Row],[Weight]:[Weight]]*((_xlfn.XMATCH(Table261425[[#This Row],[1]],Table261425[[#This Row],[1]:[11]],0))-1)/(COUNTA(Table261425[[#This Row],[1]:[11]])-COUNTBLANK(Table261425[[#This Row],[1]:[11]])-1)))</f>
        <v>1.6544117647058823E-3</v>
      </c>
      <c r="Z26" s="30" cm="1">
        <f t="array" ref="Z26">IF(Table261425[[#This Row],[2]]="","",Table261425[[#This Row],[Weight]:[Weight]]-(Table261425[[#This Row],[Weight]:[Weight]]*((_xlfn.XMATCH(Table261425[[#This Row],[2]],Table261425[[#This Row],[1]:[11]],0))-1)/(COUNTA(Table261425[[#This Row],[1]:[11]])-COUNTBLANK(Table261425[[#This Row],[1]:[11]])-1)))</f>
        <v>1.2408088235294117E-3</v>
      </c>
      <c r="AA26" s="30" cm="1">
        <f t="array" ref="AA26">IF(Table261425[[#This Row],[3]]="","",Table261425[[#This Row],[Weight]:[Weight]]-(Table261425[[#This Row],[Weight]:[Weight]]*((_xlfn.XMATCH(Table261425[[#This Row],[3]],Table261425[[#This Row],[1]:[11]],0))-1)/(COUNTA(Table261425[[#This Row],[1]:[11]])-COUNTBLANK(Table261425[[#This Row],[1]:[11]])-1)))</f>
        <v>8.2720588235294116E-4</v>
      </c>
      <c r="AB26" s="30" cm="1">
        <f t="array" ref="AB26">IF(Table261425[[#This Row],[4]]="","",Table261425[[#This Row],[Weight]:[Weight]]-(Table261425[[#This Row],[Weight]:[Weight]]*((_xlfn.XMATCH(Table261425[[#This Row],[4]],Table261425[[#This Row],[1]:[11]],0))-1)/(COUNTA(Table261425[[#This Row],[1]:[11]])-COUNTBLANK(Table261425[[#This Row],[1]:[11]])-1)))</f>
        <v>4.1360294117647064E-4</v>
      </c>
      <c r="AC26" s="30" cm="1">
        <f t="array" ref="AC26">IF(Table261425[[#This Row],[5]]="","",Table261425[[#This Row],[Weight]:[Weight]]-(Table261425[[#This Row],[Weight]:[Weight]]*((_xlfn.XMATCH(Table261425[[#This Row],[5]],Table261425[[#This Row],[1]:[11]],0))-1)/(COUNTA(Table261425[[#This Row],[1]:[11]])-COUNTBLANK(Table261425[[#This Row],[1]:[11]])-1)))</f>
        <v>0</v>
      </c>
      <c r="AD26" s="30" t="str" cm="1">
        <f t="array" ref="AD26">IF(Table261425[[#This Row],[6]]="","",Table261425[[#This Row],[Weight]:[Weight]]-(Table261425[[#This Row],[Weight]:[Weight]]*((_xlfn.XMATCH(Table261425[[#This Row],[6]],Table261425[[#This Row],[1]:[11]],0))-1)/(COUNTA(Table261425[[#This Row],[1]:[11]])-COUNTBLANK(Table261425[[#This Row],[1]:[11]])-1)))</f>
        <v/>
      </c>
      <c r="AE26" s="30" t="str" cm="1">
        <f t="array" ref="AE26">IF(Table261425[[#This Row],[7]]="","",Table261425[[#This Row],[Weight]:[Weight]]-(Table261425[[#This Row],[Weight]:[Weight]]*((_xlfn.XMATCH(Table261425[[#This Row],[7]],Table261425[[#This Row],[1]:[11]],0))-1)/(COUNTA(Table261425[[#This Row],[1]:[11]])-COUNTBLANK(Table261425[[#This Row],[1]:[11]])-1)))</f>
        <v/>
      </c>
      <c r="AF26" s="30" t="str" cm="1">
        <f t="array" ref="AF26">IF(Table261425[[#This Row],[8]]="","",Table261425[[#This Row],[Weight]:[Weight]]-(Table261425[[#This Row],[Weight]:[Weight]]*((_xlfn.XMATCH(Table261425[[#This Row],[8]],Table261425[[#This Row],[1]:[11]],0))-1)/(COUNTA(Table261425[[#This Row],[1]:[11]])-COUNTBLANK(Table261425[[#This Row],[1]:[11]])-1)))</f>
        <v/>
      </c>
      <c r="AG26" s="30" t="str" cm="1">
        <f t="array" ref="AG26">IF(Table261425[[#This Row],[9]]="","",Table261425[[#This Row],[Weight]:[Weight]]-(Table261425[[#This Row],[Weight]:[Weight]]*((_xlfn.XMATCH(Table261425[[#This Row],[9]],Table261425[[#This Row],[1]:[11]],0))-1)/(COUNTA(Table261425[[#This Row],[1]:[11]])-COUNTBLANK(Table261425[[#This Row],[1]:[11]])-1)))</f>
        <v/>
      </c>
      <c r="AH26" s="30" t="str" cm="1">
        <f t="array" ref="AH26">IF(Table261425[[#This Row],[10]]="","",Table261425[[#This Row],[Weight]:[Weight]]-(Table261425[[#This Row],[Weight]:[Weight]]*((_xlfn.XMATCH(Table261425[[#This Row],[10]],Table261425[[#This Row],[1]:[11]],0))-1)/(COUNTA(Table261425[[#This Row],[1]:[11]])-COUNTBLANK(Table261425[[#This Row],[1]:[11]])-1)))</f>
        <v/>
      </c>
      <c r="AI26" s="30" t="str" cm="1">
        <f t="array" ref="AI26">IF(Table261425[[#This Row],[11]]="","",Table261425[[#This Row],[Weight]:[Weight]]-(Table261425[[#This Row],[Weight]:[Weight]]*((_xlfn.XMATCH(Table261425[[#This Row],[11]],Table261425[[#This Row],[1]:[11]],0))-1)/(COUNTA(Table261425[[#This Row],[1]:[11]])-COUNTBLANK(Table261425[[#This Row],[1]:[11]])-1)))</f>
        <v/>
      </c>
    </row>
    <row r="27" spans="1:35" ht="120" x14ac:dyDescent="0.2">
      <c r="A27" s="20">
        <v>15</v>
      </c>
      <c r="B27" s="90" t="s">
        <v>335</v>
      </c>
      <c r="C27" s="119" t="s">
        <v>215</v>
      </c>
      <c r="D27" s="153"/>
      <c r="E27" s="153"/>
      <c r="F27" s="120" t="s">
        <v>188</v>
      </c>
      <c r="G27" s="148" cm="1">
        <f t="array" ref="G27">_xlfn.IFS(F27="","",F27="No interest",0,F27="Nice to have",1,F27="Useful",2,F27="Important",3,F27="Very important",4,F27="Critical",5,F27="Show stopper",6)</f>
        <v>5</v>
      </c>
      <c r="H27" s="149">
        <f t="shared" si="1"/>
        <v>1.3786764705882354E-3</v>
      </c>
      <c r="I27" s="150" t="s">
        <v>321</v>
      </c>
      <c r="J27" s="35" t="str" cm="1">
        <f t="array" ref="J27">_xlfn.TEXTJOIN(","&amp;CHAR(10),,TEXT(Table261425[[#This Row],[12]:[22]],"0,00%"))</f>
        <v>0,00%,
0,00%,
0,00%,
0,00%,
0,00%</v>
      </c>
      <c r="K27" s="26"/>
      <c r="L27" s="27" t="e">
        <f>H27-(H27*((MATCH(Table261425[[#This Row],[Evaluators Response (SELECT)]],Table261425[[#This Row],[1]:[11]],0)-1)/(COUNTA(Table261425[[#This Row],[1]:[11]])-COUNTBLANK(Table261425[[#This Row],[1]:[11]])-1)))</f>
        <v>#N/A</v>
      </c>
      <c r="M27" s="28"/>
      <c r="N27" s="29" t="str" cm="1">
        <f t="array" ref="N27">IFERROR(INDEX(_xlfn.UNIQUE(TRIM(_xlfn.TEXTSPLIT(Table261425[[#This Row],[Selection Options]:[Selection Options]],","))),,N$11),"")</f>
        <v>100%: Supported as delivered "out of the box"</v>
      </c>
      <c r="O27" s="29" t="str" cm="1">
        <f t="array" ref="O27">IFERROR(INDEX(_xlfn.UNIQUE(TRIM(_xlfn.TEXTSPLIT(Table261425[[#This Row],[Selection Options]:[Selection Options]],","))),,O$11),"")</f>
        <v xml:space="preserve">
75%: Supported via modifications (config)</v>
      </c>
      <c r="P27" s="29" t="str" cm="1">
        <f t="array" ref="P27">IFERROR(INDEX(_xlfn.UNIQUE(TRIM(_xlfn.TEXTSPLIT(Table261425[[#This Row],[Selection Options]:[Selection Options]],","))),,P$11),"")</f>
        <v xml:space="preserve">
50%: Supported via a third party solution</v>
      </c>
      <c r="Q27" s="29" t="str" cm="1">
        <f t="array" ref="Q27">IFERROR(INDEX(_xlfn.UNIQUE(TRIM(_xlfn.TEXTSPLIT(Table261425[[#This Row],[Selection Options]:[Selection Options]],","))),,Q$11),"")</f>
        <v xml:space="preserve">
25%: Supported via customisation (source code changes)</v>
      </c>
      <c r="R27" s="29" t="str" cm="1">
        <f t="array" ref="R27">IFERROR(INDEX(_xlfn.UNIQUE(TRIM(_xlfn.TEXTSPLIT(Table261425[[#This Row],[Selection Options]:[Selection Options]],","))),,R$11),"")</f>
        <v xml:space="preserve">
 0%: Not currently supported</v>
      </c>
      <c r="S27" s="29" t="str" cm="1">
        <f t="array" ref="S27">IFERROR(INDEX(_xlfn.UNIQUE(TRIM(_xlfn.TEXTSPLIT(Table261425[[#This Row],[Selection Options]:[Selection Options]],","))),,S$11),"")</f>
        <v/>
      </c>
      <c r="T27" s="29" t="str" cm="1">
        <f t="array" ref="T27">IFERROR(INDEX(_xlfn.UNIQUE(TRIM(_xlfn.TEXTSPLIT(Table261425[[#This Row],[Selection Options]:[Selection Options]],","))),,T$11),"")</f>
        <v/>
      </c>
      <c r="U27" s="29" t="str" cm="1">
        <f t="array" ref="U27">IFERROR(INDEX(_xlfn.UNIQUE(TRIM(_xlfn.TEXTSPLIT(Table261425[[#This Row],[Selection Options]:[Selection Options]],","))),,U$11),"")</f>
        <v/>
      </c>
      <c r="V27" s="29" t="str" cm="1">
        <f t="array" ref="V27">IFERROR(INDEX(_xlfn.UNIQUE(TRIM(_xlfn.TEXTSPLIT(Table261425[[#This Row],[Selection Options]:[Selection Options]],","))),,V$11),"")</f>
        <v/>
      </c>
      <c r="W27" s="29" t="str" cm="1">
        <f t="array" ref="W27">IFERROR(INDEX(_xlfn.UNIQUE(TRIM(_xlfn.TEXTSPLIT(Table261425[[#This Row],[Selection Options]:[Selection Options]],","))),,W$11),"")</f>
        <v/>
      </c>
      <c r="X27" s="29" t="str" cm="1">
        <f t="array" ref="X27">IFERROR(INDEX(_xlfn.UNIQUE(TRIM(_xlfn.TEXTSPLIT(Table261425[[#This Row],[Selection Options]:[Selection Options]],","))),,X$11),"")</f>
        <v/>
      </c>
      <c r="Y27" s="30" cm="1">
        <f t="array" ref="Y27">IF(Table261425[[#This Row],[1]]="","",Table261425[[#This Row],[Weight]:[Weight]]-(Table261425[[#This Row],[Weight]:[Weight]]*((_xlfn.XMATCH(Table261425[[#This Row],[1]],Table261425[[#This Row],[1]:[11]],0))-1)/(COUNTA(Table261425[[#This Row],[1]:[11]])-COUNTBLANK(Table261425[[#This Row],[1]:[11]])-1)))</f>
        <v>1.3786764705882354E-3</v>
      </c>
      <c r="Z27" s="30" cm="1">
        <f t="array" ref="Z27">IF(Table261425[[#This Row],[2]]="","",Table261425[[#This Row],[Weight]:[Weight]]-(Table261425[[#This Row],[Weight]:[Weight]]*((_xlfn.XMATCH(Table261425[[#This Row],[2]],Table261425[[#This Row],[1]:[11]],0))-1)/(COUNTA(Table261425[[#This Row],[1]:[11]])-COUNTBLANK(Table261425[[#This Row],[1]:[11]])-1)))</f>
        <v>1.0340073529411765E-3</v>
      </c>
      <c r="AA27" s="30" cm="1">
        <f t="array" ref="AA27">IF(Table261425[[#This Row],[3]]="","",Table261425[[#This Row],[Weight]:[Weight]]-(Table261425[[#This Row],[Weight]:[Weight]]*((_xlfn.XMATCH(Table261425[[#This Row],[3]],Table261425[[#This Row],[1]:[11]],0))-1)/(COUNTA(Table261425[[#This Row],[1]:[11]])-COUNTBLANK(Table261425[[#This Row],[1]:[11]])-1)))</f>
        <v>6.8933823529411769E-4</v>
      </c>
      <c r="AB27" s="30" cm="1">
        <f t="array" ref="AB27">IF(Table261425[[#This Row],[4]]="","",Table261425[[#This Row],[Weight]:[Weight]]-(Table261425[[#This Row],[Weight]:[Weight]]*((_xlfn.XMATCH(Table261425[[#This Row],[4]],Table261425[[#This Row],[1]:[11]],0))-1)/(COUNTA(Table261425[[#This Row],[1]:[11]])-COUNTBLANK(Table261425[[#This Row],[1]:[11]])-1)))</f>
        <v>3.446691176470589E-4</v>
      </c>
      <c r="AC27" s="30" cm="1">
        <f t="array" ref="AC27">IF(Table261425[[#This Row],[5]]="","",Table261425[[#This Row],[Weight]:[Weight]]-(Table261425[[#This Row],[Weight]:[Weight]]*((_xlfn.XMATCH(Table261425[[#This Row],[5]],Table261425[[#This Row],[1]:[11]],0))-1)/(COUNTA(Table261425[[#This Row],[1]:[11]])-COUNTBLANK(Table261425[[#This Row],[1]:[11]])-1)))</f>
        <v>0</v>
      </c>
      <c r="AD27" s="30" t="str" cm="1">
        <f t="array" ref="AD27">IF(Table261425[[#This Row],[6]]="","",Table261425[[#This Row],[Weight]:[Weight]]-(Table261425[[#This Row],[Weight]:[Weight]]*((_xlfn.XMATCH(Table261425[[#This Row],[6]],Table261425[[#This Row],[1]:[11]],0))-1)/(COUNTA(Table261425[[#This Row],[1]:[11]])-COUNTBLANK(Table261425[[#This Row],[1]:[11]])-1)))</f>
        <v/>
      </c>
      <c r="AE27" s="30" t="str" cm="1">
        <f t="array" ref="AE27">IF(Table261425[[#This Row],[7]]="","",Table261425[[#This Row],[Weight]:[Weight]]-(Table261425[[#This Row],[Weight]:[Weight]]*((_xlfn.XMATCH(Table261425[[#This Row],[7]],Table261425[[#This Row],[1]:[11]],0))-1)/(COUNTA(Table261425[[#This Row],[1]:[11]])-COUNTBLANK(Table261425[[#This Row],[1]:[11]])-1)))</f>
        <v/>
      </c>
      <c r="AF27" s="30" t="str" cm="1">
        <f t="array" ref="AF27">IF(Table261425[[#This Row],[8]]="","",Table261425[[#This Row],[Weight]:[Weight]]-(Table261425[[#This Row],[Weight]:[Weight]]*((_xlfn.XMATCH(Table261425[[#This Row],[8]],Table261425[[#This Row],[1]:[11]],0))-1)/(COUNTA(Table261425[[#This Row],[1]:[11]])-COUNTBLANK(Table261425[[#This Row],[1]:[11]])-1)))</f>
        <v/>
      </c>
      <c r="AG27" s="30" t="str" cm="1">
        <f t="array" ref="AG27">IF(Table261425[[#This Row],[9]]="","",Table261425[[#This Row],[Weight]:[Weight]]-(Table261425[[#This Row],[Weight]:[Weight]]*((_xlfn.XMATCH(Table261425[[#This Row],[9]],Table261425[[#This Row],[1]:[11]],0))-1)/(COUNTA(Table261425[[#This Row],[1]:[11]])-COUNTBLANK(Table261425[[#This Row],[1]:[11]])-1)))</f>
        <v/>
      </c>
      <c r="AH27" s="30" t="str" cm="1">
        <f t="array" ref="AH27">IF(Table261425[[#This Row],[10]]="","",Table261425[[#This Row],[Weight]:[Weight]]-(Table261425[[#This Row],[Weight]:[Weight]]*((_xlfn.XMATCH(Table261425[[#This Row],[10]],Table261425[[#This Row],[1]:[11]],0))-1)/(COUNTA(Table261425[[#This Row],[1]:[11]])-COUNTBLANK(Table261425[[#This Row],[1]:[11]])-1)))</f>
        <v/>
      </c>
      <c r="AI27" s="30" t="str" cm="1">
        <f t="array" ref="AI27">IF(Table261425[[#This Row],[11]]="","",Table261425[[#This Row],[Weight]:[Weight]]-(Table261425[[#This Row],[Weight]:[Weight]]*((_xlfn.XMATCH(Table261425[[#This Row],[11]],Table261425[[#This Row],[1]:[11]],0))-1)/(COUNTA(Table261425[[#This Row],[1]:[11]])-COUNTBLANK(Table261425[[#This Row],[1]:[11]])-1)))</f>
        <v/>
      </c>
    </row>
    <row r="28" spans="1:35" ht="120" x14ac:dyDescent="0.2">
      <c r="A28" s="20">
        <v>16</v>
      </c>
      <c r="B28" s="90" t="s">
        <v>336</v>
      </c>
      <c r="C28" s="119" t="s">
        <v>215</v>
      </c>
      <c r="D28" s="153"/>
      <c r="E28" s="153"/>
      <c r="F28" s="120" t="s">
        <v>60</v>
      </c>
      <c r="G28" s="148" cm="1">
        <f t="array" ref="G28">_xlfn.IFS(F28="","",F28="No interest",0,F28="Nice to have",1,F28="Useful",2,F28="Important",3,F28="Very important",4,F28="Critical",5,F28="Show stopper",6)</f>
        <v>6</v>
      </c>
      <c r="H28" s="149">
        <f t="shared" si="1"/>
        <v>1.6544117647058823E-3</v>
      </c>
      <c r="I28" s="150" t="s">
        <v>321</v>
      </c>
      <c r="J28" s="35" t="str" cm="1">
        <f t="array" ref="J28">_xlfn.TEXTJOIN(","&amp;CHAR(10),,TEXT(Table261425[[#This Row],[12]:[22]],"0,00%"))</f>
        <v>0,00%,
0,00%,
0,00%,
0,00%,
0,00%</v>
      </c>
      <c r="K28" s="26"/>
      <c r="L28" s="27" t="e">
        <f>H28-(H28*((MATCH(Table261425[[#This Row],[Evaluators Response (SELECT)]],Table261425[[#This Row],[1]:[11]],0)-1)/(COUNTA(Table261425[[#This Row],[1]:[11]])-COUNTBLANK(Table261425[[#This Row],[1]:[11]])-1)))</f>
        <v>#N/A</v>
      </c>
      <c r="M28" s="28"/>
      <c r="N28" s="29" t="str" cm="1">
        <f t="array" ref="N28">IFERROR(INDEX(_xlfn.UNIQUE(TRIM(_xlfn.TEXTSPLIT(Table261425[[#This Row],[Selection Options]:[Selection Options]],","))),,N$11),"")</f>
        <v>100%: Supported as delivered "out of the box"</v>
      </c>
      <c r="O28" s="29" t="str" cm="1">
        <f t="array" ref="O28">IFERROR(INDEX(_xlfn.UNIQUE(TRIM(_xlfn.TEXTSPLIT(Table261425[[#This Row],[Selection Options]:[Selection Options]],","))),,O$11),"")</f>
        <v xml:space="preserve">
75%: Supported via modifications (config)</v>
      </c>
      <c r="P28" s="29" t="str" cm="1">
        <f t="array" ref="P28">IFERROR(INDEX(_xlfn.UNIQUE(TRIM(_xlfn.TEXTSPLIT(Table261425[[#This Row],[Selection Options]:[Selection Options]],","))),,P$11),"")</f>
        <v xml:space="preserve">
50%: Supported via a third party solution</v>
      </c>
      <c r="Q28" s="29" t="str" cm="1">
        <f t="array" ref="Q28">IFERROR(INDEX(_xlfn.UNIQUE(TRIM(_xlfn.TEXTSPLIT(Table261425[[#This Row],[Selection Options]:[Selection Options]],","))),,Q$11),"")</f>
        <v xml:space="preserve">
25%: Supported via customisation (source code changes)</v>
      </c>
      <c r="R28" s="29" t="str" cm="1">
        <f t="array" ref="R28">IFERROR(INDEX(_xlfn.UNIQUE(TRIM(_xlfn.TEXTSPLIT(Table261425[[#This Row],[Selection Options]:[Selection Options]],","))),,R$11),"")</f>
        <v xml:space="preserve">
 0%: Not currently supported</v>
      </c>
      <c r="S28" s="29" t="str" cm="1">
        <f t="array" ref="S28">IFERROR(INDEX(_xlfn.UNIQUE(TRIM(_xlfn.TEXTSPLIT(Table261425[[#This Row],[Selection Options]:[Selection Options]],","))),,S$11),"")</f>
        <v/>
      </c>
      <c r="T28" s="29" t="str" cm="1">
        <f t="array" ref="T28">IFERROR(INDEX(_xlfn.UNIQUE(TRIM(_xlfn.TEXTSPLIT(Table261425[[#This Row],[Selection Options]:[Selection Options]],","))),,T$11),"")</f>
        <v/>
      </c>
      <c r="U28" s="29" t="str" cm="1">
        <f t="array" ref="U28">IFERROR(INDEX(_xlfn.UNIQUE(TRIM(_xlfn.TEXTSPLIT(Table261425[[#This Row],[Selection Options]:[Selection Options]],","))),,U$11),"")</f>
        <v/>
      </c>
      <c r="V28" s="29" t="str" cm="1">
        <f t="array" ref="V28">IFERROR(INDEX(_xlfn.UNIQUE(TRIM(_xlfn.TEXTSPLIT(Table261425[[#This Row],[Selection Options]:[Selection Options]],","))),,V$11),"")</f>
        <v/>
      </c>
      <c r="W28" s="29" t="str" cm="1">
        <f t="array" ref="W28">IFERROR(INDEX(_xlfn.UNIQUE(TRIM(_xlfn.TEXTSPLIT(Table261425[[#This Row],[Selection Options]:[Selection Options]],","))),,W$11),"")</f>
        <v/>
      </c>
      <c r="X28" s="29" t="str" cm="1">
        <f t="array" ref="X28">IFERROR(INDEX(_xlfn.UNIQUE(TRIM(_xlfn.TEXTSPLIT(Table261425[[#This Row],[Selection Options]:[Selection Options]],","))),,X$11),"")</f>
        <v/>
      </c>
      <c r="Y28" s="30" cm="1">
        <f t="array" ref="Y28">IF(Table261425[[#This Row],[1]]="","",Table261425[[#This Row],[Weight]:[Weight]]-(Table261425[[#This Row],[Weight]:[Weight]]*((_xlfn.XMATCH(Table261425[[#This Row],[1]],Table261425[[#This Row],[1]:[11]],0))-1)/(COUNTA(Table261425[[#This Row],[1]:[11]])-COUNTBLANK(Table261425[[#This Row],[1]:[11]])-1)))</f>
        <v>1.6544117647058823E-3</v>
      </c>
      <c r="Z28" s="30" cm="1">
        <f t="array" ref="Z28">IF(Table261425[[#This Row],[2]]="","",Table261425[[#This Row],[Weight]:[Weight]]-(Table261425[[#This Row],[Weight]:[Weight]]*((_xlfn.XMATCH(Table261425[[#This Row],[2]],Table261425[[#This Row],[1]:[11]],0))-1)/(COUNTA(Table261425[[#This Row],[1]:[11]])-COUNTBLANK(Table261425[[#This Row],[1]:[11]])-1)))</f>
        <v>1.2408088235294117E-3</v>
      </c>
      <c r="AA28" s="30" cm="1">
        <f t="array" ref="AA28">IF(Table261425[[#This Row],[3]]="","",Table261425[[#This Row],[Weight]:[Weight]]-(Table261425[[#This Row],[Weight]:[Weight]]*((_xlfn.XMATCH(Table261425[[#This Row],[3]],Table261425[[#This Row],[1]:[11]],0))-1)/(COUNTA(Table261425[[#This Row],[1]:[11]])-COUNTBLANK(Table261425[[#This Row],[1]:[11]])-1)))</f>
        <v>8.2720588235294116E-4</v>
      </c>
      <c r="AB28" s="30" cm="1">
        <f t="array" ref="AB28">IF(Table261425[[#This Row],[4]]="","",Table261425[[#This Row],[Weight]:[Weight]]-(Table261425[[#This Row],[Weight]:[Weight]]*((_xlfn.XMATCH(Table261425[[#This Row],[4]],Table261425[[#This Row],[1]:[11]],0))-1)/(COUNTA(Table261425[[#This Row],[1]:[11]])-COUNTBLANK(Table261425[[#This Row],[1]:[11]])-1)))</f>
        <v>4.1360294117647064E-4</v>
      </c>
      <c r="AC28" s="30" cm="1">
        <f t="array" ref="AC28">IF(Table261425[[#This Row],[5]]="","",Table261425[[#This Row],[Weight]:[Weight]]-(Table261425[[#This Row],[Weight]:[Weight]]*((_xlfn.XMATCH(Table261425[[#This Row],[5]],Table261425[[#This Row],[1]:[11]],0))-1)/(COUNTA(Table261425[[#This Row],[1]:[11]])-COUNTBLANK(Table261425[[#This Row],[1]:[11]])-1)))</f>
        <v>0</v>
      </c>
      <c r="AD28" s="30" t="str" cm="1">
        <f t="array" ref="AD28">IF(Table261425[[#This Row],[6]]="","",Table261425[[#This Row],[Weight]:[Weight]]-(Table261425[[#This Row],[Weight]:[Weight]]*((_xlfn.XMATCH(Table261425[[#This Row],[6]],Table261425[[#This Row],[1]:[11]],0))-1)/(COUNTA(Table261425[[#This Row],[1]:[11]])-COUNTBLANK(Table261425[[#This Row],[1]:[11]])-1)))</f>
        <v/>
      </c>
      <c r="AE28" s="30" t="str" cm="1">
        <f t="array" ref="AE28">IF(Table261425[[#This Row],[7]]="","",Table261425[[#This Row],[Weight]:[Weight]]-(Table261425[[#This Row],[Weight]:[Weight]]*((_xlfn.XMATCH(Table261425[[#This Row],[7]],Table261425[[#This Row],[1]:[11]],0))-1)/(COUNTA(Table261425[[#This Row],[1]:[11]])-COUNTBLANK(Table261425[[#This Row],[1]:[11]])-1)))</f>
        <v/>
      </c>
      <c r="AF28" s="30" t="str" cm="1">
        <f t="array" ref="AF28">IF(Table261425[[#This Row],[8]]="","",Table261425[[#This Row],[Weight]:[Weight]]-(Table261425[[#This Row],[Weight]:[Weight]]*((_xlfn.XMATCH(Table261425[[#This Row],[8]],Table261425[[#This Row],[1]:[11]],0))-1)/(COUNTA(Table261425[[#This Row],[1]:[11]])-COUNTBLANK(Table261425[[#This Row],[1]:[11]])-1)))</f>
        <v/>
      </c>
      <c r="AG28" s="30" t="str" cm="1">
        <f t="array" ref="AG28">IF(Table261425[[#This Row],[9]]="","",Table261425[[#This Row],[Weight]:[Weight]]-(Table261425[[#This Row],[Weight]:[Weight]]*((_xlfn.XMATCH(Table261425[[#This Row],[9]],Table261425[[#This Row],[1]:[11]],0))-1)/(COUNTA(Table261425[[#This Row],[1]:[11]])-COUNTBLANK(Table261425[[#This Row],[1]:[11]])-1)))</f>
        <v/>
      </c>
      <c r="AH28" s="30" t="str" cm="1">
        <f t="array" ref="AH28">IF(Table261425[[#This Row],[10]]="","",Table261425[[#This Row],[Weight]:[Weight]]-(Table261425[[#This Row],[Weight]:[Weight]]*((_xlfn.XMATCH(Table261425[[#This Row],[10]],Table261425[[#This Row],[1]:[11]],0))-1)/(COUNTA(Table261425[[#This Row],[1]:[11]])-COUNTBLANK(Table261425[[#This Row],[1]:[11]])-1)))</f>
        <v/>
      </c>
      <c r="AI28" s="30" t="str" cm="1">
        <f t="array" ref="AI28">IF(Table261425[[#This Row],[11]]="","",Table261425[[#This Row],[Weight]:[Weight]]-(Table261425[[#This Row],[Weight]:[Weight]]*((_xlfn.XMATCH(Table261425[[#This Row],[11]],Table261425[[#This Row],[1]:[11]],0))-1)/(COUNTA(Table261425[[#This Row],[1]:[11]])-COUNTBLANK(Table261425[[#This Row],[1]:[11]])-1)))</f>
        <v/>
      </c>
    </row>
    <row r="29" spans="1:35" ht="120" x14ac:dyDescent="0.2">
      <c r="A29" s="20">
        <v>17</v>
      </c>
      <c r="B29" s="90" t="s">
        <v>337</v>
      </c>
      <c r="C29" s="119" t="s">
        <v>215</v>
      </c>
      <c r="D29" s="153"/>
      <c r="E29" s="153"/>
      <c r="F29" s="120" t="s">
        <v>60</v>
      </c>
      <c r="G29" s="148" cm="1">
        <f t="array" ref="G29">_xlfn.IFS(F29="","",F29="No interest",0,F29="Nice to have",1,F29="Useful",2,F29="Important",3,F29="Very important",4,F29="Critical",5,F29="Show stopper",6)</f>
        <v>6</v>
      </c>
      <c r="H29" s="149">
        <f t="shared" si="1"/>
        <v>1.6544117647058823E-3</v>
      </c>
      <c r="I29" s="150" t="s">
        <v>321</v>
      </c>
      <c r="J29" s="35" t="str" cm="1">
        <f t="array" ref="J29">_xlfn.TEXTJOIN(","&amp;CHAR(10),,TEXT(Table261425[[#This Row],[12]:[22]],"0,00%"))</f>
        <v>0,00%,
0,00%,
0,00%,
0,00%,
0,00%</v>
      </c>
      <c r="K29" s="26"/>
      <c r="L29" s="27" t="e">
        <f>H29-(H29*((MATCH(Table261425[[#This Row],[Evaluators Response (SELECT)]],Table261425[[#This Row],[1]:[11]],0)-1)/(COUNTA(Table261425[[#This Row],[1]:[11]])-COUNTBLANK(Table261425[[#This Row],[1]:[11]])-1)))</f>
        <v>#N/A</v>
      </c>
      <c r="M29" s="28"/>
      <c r="N29" s="29" t="str" cm="1">
        <f t="array" ref="N29">IFERROR(INDEX(_xlfn.UNIQUE(TRIM(_xlfn.TEXTSPLIT(Table261425[[#This Row],[Selection Options]:[Selection Options]],","))),,N$11),"")</f>
        <v>100%: Supported as delivered "out of the box"</v>
      </c>
      <c r="O29" s="29" t="str" cm="1">
        <f t="array" ref="O29">IFERROR(INDEX(_xlfn.UNIQUE(TRIM(_xlfn.TEXTSPLIT(Table261425[[#This Row],[Selection Options]:[Selection Options]],","))),,O$11),"")</f>
        <v xml:space="preserve">
75%: Supported via modifications (config)</v>
      </c>
      <c r="P29" s="29" t="str" cm="1">
        <f t="array" ref="P29">IFERROR(INDEX(_xlfn.UNIQUE(TRIM(_xlfn.TEXTSPLIT(Table261425[[#This Row],[Selection Options]:[Selection Options]],","))),,P$11),"")</f>
        <v xml:space="preserve">
50%: Supported via a third party solution</v>
      </c>
      <c r="Q29" s="29" t="str" cm="1">
        <f t="array" ref="Q29">IFERROR(INDEX(_xlfn.UNIQUE(TRIM(_xlfn.TEXTSPLIT(Table261425[[#This Row],[Selection Options]:[Selection Options]],","))),,Q$11),"")</f>
        <v xml:space="preserve">
25%: Supported via customisation (source code changes)</v>
      </c>
      <c r="R29" s="29" t="str" cm="1">
        <f t="array" ref="R29">IFERROR(INDEX(_xlfn.UNIQUE(TRIM(_xlfn.TEXTSPLIT(Table261425[[#This Row],[Selection Options]:[Selection Options]],","))),,R$11),"")</f>
        <v xml:space="preserve">
 0%: Not currently supported</v>
      </c>
      <c r="S29" s="29" t="str" cm="1">
        <f t="array" ref="S29">IFERROR(INDEX(_xlfn.UNIQUE(TRIM(_xlfn.TEXTSPLIT(Table261425[[#This Row],[Selection Options]:[Selection Options]],","))),,S$11),"")</f>
        <v/>
      </c>
      <c r="T29" s="29" t="str" cm="1">
        <f t="array" ref="T29">IFERROR(INDEX(_xlfn.UNIQUE(TRIM(_xlfn.TEXTSPLIT(Table261425[[#This Row],[Selection Options]:[Selection Options]],","))),,T$11),"")</f>
        <v/>
      </c>
      <c r="U29" s="29" t="str" cm="1">
        <f t="array" ref="U29">IFERROR(INDEX(_xlfn.UNIQUE(TRIM(_xlfn.TEXTSPLIT(Table261425[[#This Row],[Selection Options]:[Selection Options]],","))),,U$11),"")</f>
        <v/>
      </c>
      <c r="V29" s="29" t="str" cm="1">
        <f t="array" ref="V29">IFERROR(INDEX(_xlfn.UNIQUE(TRIM(_xlfn.TEXTSPLIT(Table261425[[#This Row],[Selection Options]:[Selection Options]],","))),,V$11),"")</f>
        <v/>
      </c>
      <c r="W29" s="29" t="str" cm="1">
        <f t="array" ref="W29">IFERROR(INDEX(_xlfn.UNIQUE(TRIM(_xlfn.TEXTSPLIT(Table261425[[#This Row],[Selection Options]:[Selection Options]],","))),,W$11),"")</f>
        <v/>
      </c>
      <c r="X29" s="29" t="str" cm="1">
        <f t="array" ref="X29">IFERROR(INDEX(_xlfn.UNIQUE(TRIM(_xlfn.TEXTSPLIT(Table261425[[#This Row],[Selection Options]:[Selection Options]],","))),,X$11),"")</f>
        <v/>
      </c>
      <c r="Y29" s="30" cm="1">
        <f t="array" ref="Y29">IF(Table261425[[#This Row],[1]]="","",Table261425[[#This Row],[Weight]:[Weight]]-(Table261425[[#This Row],[Weight]:[Weight]]*((_xlfn.XMATCH(Table261425[[#This Row],[1]],Table261425[[#This Row],[1]:[11]],0))-1)/(COUNTA(Table261425[[#This Row],[1]:[11]])-COUNTBLANK(Table261425[[#This Row],[1]:[11]])-1)))</f>
        <v>1.6544117647058823E-3</v>
      </c>
      <c r="Z29" s="30" cm="1">
        <f t="array" ref="Z29">IF(Table261425[[#This Row],[2]]="","",Table261425[[#This Row],[Weight]:[Weight]]-(Table261425[[#This Row],[Weight]:[Weight]]*((_xlfn.XMATCH(Table261425[[#This Row],[2]],Table261425[[#This Row],[1]:[11]],0))-1)/(COUNTA(Table261425[[#This Row],[1]:[11]])-COUNTBLANK(Table261425[[#This Row],[1]:[11]])-1)))</f>
        <v>1.2408088235294117E-3</v>
      </c>
      <c r="AA29" s="30" cm="1">
        <f t="array" ref="AA29">IF(Table261425[[#This Row],[3]]="","",Table261425[[#This Row],[Weight]:[Weight]]-(Table261425[[#This Row],[Weight]:[Weight]]*((_xlfn.XMATCH(Table261425[[#This Row],[3]],Table261425[[#This Row],[1]:[11]],0))-1)/(COUNTA(Table261425[[#This Row],[1]:[11]])-COUNTBLANK(Table261425[[#This Row],[1]:[11]])-1)))</f>
        <v>8.2720588235294116E-4</v>
      </c>
      <c r="AB29" s="30" cm="1">
        <f t="array" ref="AB29">IF(Table261425[[#This Row],[4]]="","",Table261425[[#This Row],[Weight]:[Weight]]-(Table261425[[#This Row],[Weight]:[Weight]]*((_xlfn.XMATCH(Table261425[[#This Row],[4]],Table261425[[#This Row],[1]:[11]],0))-1)/(COUNTA(Table261425[[#This Row],[1]:[11]])-COUNTBLANK(Table261425[[#This Row],[1]:[11]])-1)))</f>
        <v>4.1360294117647064E-4</v>
      </c>
      <c r="AC29" s="30" cm="1">
        <f t="array" ref="AC29">IF(Table261425[[#This Row],[5]]="","",Table261425[[#This Row],[Weight]:[Weight]]-(Table261425[[#This Row],[Weight]:[Weight]]*((_xlfn.XMATCH(Table261425[[#This Row],[5]],Table261425[[#This Row],[1]:[11]],0))-1)/(COUNTA(Table261425[[#This Row],[1]:[11]])-COUNTBLANK(Table261425[[#This Row],[1]:[11]])-1)))</f>
        <v>0</v>
      </c>
      <c r="AD29" s="30" t="str" cm="1">
        <f t="array" ref="AD29">IF(Table261425[[#This Row],[6]]="","",Table261425[[#This Row],[Weight]:[Weight]]-(Table261425[[#This Row],[Weight]:[Weight]]*((_xlfn.XMATCH(Table261425[[#This Row],[6]],Table261425[[#This Row],[1]:[11]],0))-1)/(COUNTA(Table261425[[#This Row],[1]:[11]])-COUNTBLANK(Table261425[[#This Row],[1]:[11]])-1)))</f>
        <v/>
      </c>
      <c r="AE29" s="30" t="str" cm="1">
        <f t="array" ref="AE29">IF(Table261425[[#This Row],[7]]="","",Table261425[[#This Row],[Weight]:[Weight]]-(Table261425[[#This Row],[Weight]:[Weight]]*((_xlfn.XMATCH(Table261425[[#This Row],[7]],Table261425[[#This Row],[1]:[11]],0))-1)/(COUNTA(Table261425[[#This Row],[1]:[11]])-COUNTBLANK(Table261425[[#This Row],[1]:[11]])-1)))</f>
        <v/>
      </c>
      <c r="AF29" s="30" t="str" cm="1">
        <f t="array" ref="AF29">IF(Table261425[[#This Row],[8]]="","",Table261425[[#This Row],[Weight]:[Weight]]-(Table261425[[#This Row],[Weight]:[Weight]]*((_xlfn.XMATCH(Table261425[[#This Row],[8]],Table261425[[#This Row],[1]:[11]],0))-1)/(COUNTA(Table261425[[#This Row],[1]:[11]])-COUNTBLANK(Table261425[[#This Row],[1]:[11]])-1)))</f>
        <v/>
      </c>
      <c r="AG29" s="30" t="str" cm="1">
        <f t="array" ref="AG29">IF(Table261425[[#This Row],[9]]="","",Table261425[[#This Row],[Weight]:[Weight]]-(Table261425[[#This Row],[Weight]:[Weight]]*((_xlfn.XMATCH(Table261425[[#This Row],[9]],Table261425[[#This Row],[1]:[11]],0))-1)/(COUNTA(Table261425[[#This Row],[1]:[11]])-COUNTBLANK(Table261425[[#This Row],[1]:[11]])-1)))</f>
        <v/>
      </c>
      <c r="AH29" s="30" t="str" cm="1">
        <f t="array" ref="AH29">IF(Table261425[[#This Row],[10]]="","",Table261425[[#This Row],[Weight]:[Weight]]-(Table261425[[#This Row],[Weight]:[Weight]]*((_xlfn.XMATCH(Table261425[[#This Row],[10]],Table261425[[#This Row],[1]:[11]],0))-1)/(COUNTA(Table261425[[#This Row],[1]:[11]])-COUNTBLANK(Table261425[[#This Row],[1]:[11]])-1)))</f>
        <v/>
      </c>
      <c r="AI29" s="30" t="str" cm="1">
        <f t="array" ref="AI29">IF(Table261425[[#This Row],[11]]="","",Table261425[[#This Row],[Weight]:[Weight]]-(Table261425[[#This Row],[Weight]:[Weight]]*((_xlfn.XMATCH(Table261425[[#This Row],[11]],Table261425[[#This Row],[1]:[11]],0))-1)/(COUNTA(Table261425[[#This Row],[1]:[11]])-COUNTBLANK(Table261425[[#This Row],[1]:[11]])-1)))</f>
        <v/>
      </c>
    </row>
    <row r="30" spans="1:35" ht="120" x14ac:dyDescent="0.2">
      <c r="A30" s="20">
        <v>18</v>
      </c>
      <c r="B30" s="90" t="s">
        <v>246</v>
      </c>
      <c r="C30" s="119" t="s">
        <v>215</v>
      </c>
      <c r="D30" s="153"/>
      <c r="E30" s="153"/>
      <c r="F30" s="120" t="s">
        <v>60</v>
      </c>
      <c r="G30" s="148" cm="1">
        <f t="array" ref="G30">_xlfn.IFS(F30="","",F30="No interest",0,F30="Nice to have",1,F30="Useful",2,F30="Important",3,F30="Very important",4,F30="Critical",5,F30="Show stopper",6)</f>
        <v>6</v>
      </c>
      <c r="H30" s="149">
        <f t="shared" si="1"/>
        <v>1.6544117647058823E-3</v>
      </c>
      <c r="I30" s="150" t="s">
        <v>321</v>
      </c>
      <c r="J30" s="35" t="str" cm="1">
        <f t="array" ref="J30">_xlfn.TEXTJOIN(","&amp;CHAR(10),,TEXT(Table261425[[#This Row],[12]:[22]],"0,00%"))</f>
        <v>0,00%,
0,00%,
0,00%,
0,00%,
0,00%</v>
      </c>
      <c r="K30" s="26"/>
      <c r="L30" s="27" t="e">
        <f>H30-(H30*((MATCH(Table261425[[#This Row],[Evaluators Response (SELECT)]],Table261425[[#This Row],[1]:[11]],0)-1)/(COUNTA(Table261425[[#This Row],[1]:[11]])-COUNTBLANK(Table261425[[#This Row],[1]:[11]])-1)))</f>
        <v>#N/A</v>
      </c>
      <c r="M30" s="28"/>
      <c r="N30" s="29" t="str" cm="1">
        <f t="array" ref="N30">IFERROR(INDEX(_xlfn.UNIQUE(TRIM(_xlfn.TEXTSPLIT(Table261425[[#This Row],[Selection Options]:[Selection Options]],","))),,N$11),"")</f>
        <v>100%: Supported as delivered "out of the box"</v>
      </c>
      <c r="O30" s="29" t="str" cm="1">
        <f t="array" ref="O30">IFERROR(INDEX(_xlfn.UNIQUE(TRIM(_xlfn.TEXTSPLIT(Table261425[[#This Row],[Selection Options]:[Selection Options]],","))),,O$11),"")</f>
        <v xml:space="preserve">
75%: Supported via modifications (config)</v>
      </c>
      <c r="P30" s="29" t="str" cm="1">
        <f t="array" ref="P30">IFERROR(INDEX(_xlfn.UNIQUE(TRIM(_xlfn.TEXTSPLIT(Table261425[[#This Row],[Selection Options]:[Selection Options]],","))),,P$11),"")</f>
        <v xml:space="preserve">
50%: Supported via a third party solution</v>
      </c>
      <c r="Q30" s="29" t="str" cm="1">
        <f t="array" ref="Q30">IFERROR(INDEX(_xlfn.UNIQUE(TRIM(_xlfn.TEXTSPLIT(Table261425[[#This Row],[Selection Options]:[Selection Options]],","))),,Q$11),"")</f>
        <v xml:space="preserve">
25%: Supported via customisation (source code changes)</v>
      </c>
      <c r="R30" s="29" t="str" cm="1">
        <f t="array" ref="R30">IFERROR(INDEX(_xlfn.UNIQUE(TRIM(_xlfn.TEXTSPLIT(Table261425[[#This Row],[Selection Options]:[Selection Options]],","))),,R$11),"")</f>
        <v xml:space="preserve">
 0%: Not currently supported</v>
      </c>
      <c r="S30" s="29" t="str" cm="1">
        <f t="array" ref="S30">IFERROR(INDEX(_xlfn.UNIQUE(TRIM(_xlfn.TEXTSPLIT(Table261425[[#This Row],[Selection Options]:[Selection Options]],","))),,S$11),"")</f>
        <v/>
      </c>
      <c r="T30" s="29" t="str" cm="1">
        <f t="array" ref="T30">IFERROR(INDEX(_xlfn.UNIQUE(TRIM(_xlfn.TEXTSPLIT(Table261425[[#This Row],[Selection Options]:[Selection Options]],","))),,T$11),"")</f>
        <v/>
      </c>
      <c r="U30" s="29" t="str" cm="1">
        <f t="array" ref="U30">IFERROR(INDEX(_xlfn.UNIQUE(TRIM(_xlfn.TEXTSPLIT(Table261425[[#This Row],[Selection Options]:[Selection Options]],","))),,U$11),"")</f>
        <v/>
      </c>
      <c r="V30" s="29" t="str" cm="1">
        <f t="array" ref="V30">IFERROR(INDEX(_xlfn.UNIQUE(TRIM(_xlfn.TEXTSPLIT(Table261425[[#This Row],[Selection Options]:[Selection Options]],","))),,V$11),"")</f>
        <v/>
      </c>
      <c r="W30" s="29" t="str" cm="1">
        <f t="array" ref="W30">IFERROR(INDEX(_xlfn.UNIQUE(TRIM(_xlfn.TEXTSPLIT(Table261425[[#This Row],[Selection Options]:[Selection Options]],","))),,W$11),"")</f>
        <v/>
      </c>
      <c r="X30" s="29" t="str" cm="1">
        <f t="array" ref="X30">IFERROR(INDEX(_xlfn.UNIQUE(TRIM(_xlfn.TEXTSPLIT(Table261425[[#This Row],[Selection Options]:[Selection Options]],","))),,X$11),"")</f>
        <v/>
      </c>
      <c r="Y30" s="30" cm="1">
        <f t="array" ref="Y30">IF(Table261425[[#This Row],[1]]="","",Table261425[[#This Row],[Weight]:[Weight]]-(Table261425[[#This Row],[Weight]:[Weight]]*((_xlfn.XMATCH(Table261425[[#This Row],[1]],Table261425[[#This Row],[1]:[11]],0))-1)/(COUNTA(Table261425[[#This Row],[1]:[11]])-COUNTBLANK(Table261425[[#This Row],[1]:[11]])-1)))</f>
        <v>1.6544117647058823E-3</v>
      </c>
      <c r="Z30" s="30" cm="1">
        <f t="array" ref="Z30">IF(Table261425[[#This Row],[2]]="","",Table261425[[#This Row],[Weight]:[Weight]]-(Table261425[[#This Row],[Weight]:[Weight]]*((_xlfn.XMATCH(Table261425[[#This Row],[2]],Table261425[[#This Row],[1]:[11]],0))-1)/(COUNTA(Table261425[[#This Row],[1]:[11]])-COUNTBLANK(Table261425[[#This Row],[1]:[11]])-1)))</f>
        <v>1.2408088235294117E-3</v>
      </c>
      <c r="AA30" s="30" cm="1">
        <f t="array" ref="AA30">IF(Table261425[[#This Row],[3]]="","",Table261425[[#This Row],[Weight]:[Weight]]-(Table261425[[#This Row],[Weight]:[Weight]]*((_xlfn.XMATCH(Table261425[[#This Row],[3]],Table261425[[#This Row],[1]:[11]],0))-1)/(COUNTA(Table261425[[#This Row],[1]:[11]])-COUNTBLANK(Table261425[[#This Row],[1]:[11]])-1)))</f>
        <v>8.2720588235294116E-4</v>
      </c>
      <c r="AB30" s="30" cm="1">
        <f t="array" ref="AB30">IF(Table261425[[#This Row],[4]]="","",Table261425[[#This Row],[Weight]:[Weight]]-(Table261425[[#This Row],[Weight]:[Weight]]*((_xlfn.XMATCH(Table261425[[#This Row],[4]],Table261425[[#This Row],[1]:[11]],0))-1)/(COUNTA(Table261425[[#This Row],[1]:[11]])-COUNTBLANK(Table261425[[#This Row],[1]:[11]])-1)))</f>
        <v>4.1360294117647064E-4</v>
      </c>
      <c r="AC30" s="30" cm="1">
        <f t="array" ref="AC30">IF(Table261425[[#This Row],[5]]="","",Table261425[[#This Row],[Weight]:[Weight]]-(Table261425[[#This Row],[Weight]:[Weight]]*((_xlfn.XMATCH(Table261425[[#This Row],[5]],Table261425[[#This Row],[1]:[11]],0))-1)/(COUNTA(Table261425[[#This Row],[1]:[11]])-COUNTBLANK(Table261425[[#This Row],[1]:[11]])-1)))</f>
        <v>0</v>
      </c>
      <c r="AD30" s="30" t="str" cm="1">
        <f t="array" ref="AD30">IF(Table261425[[#This Row],[6]]="","",Table261425[[#This Row],[Weight]:[Weight]]-(Table261425[[#This Row],[Weight]:[Weight]]*((_xlfn.XMATCH(Table261425[[#This Row],[6]],Table261425[[#This Row],[1]:[11]],0))-1)/(COUNTA(Table261425[[#This Row],[1]:[11]])-COUNTBLANK(Table261425[[#This Row],[1]:[11]])-1)))</f>
        <v/>
      </c>
      <c r="AE30" s="30" t="str" cm="1">
        <f t="array" ref="AE30">IF(Table261425[[#This Row],[7]]="","",Table261425[[#This Row],[Weight]:[Weight]]-(Table261425[[#This Row],[Weight]:[Weight]]*((_xlfn.XMATCH(Table261425[[#This Row],[7]],Table261425[[#This Row],[1]:[11]],0))-1)/(COUNTA(Table261425[[#This Row],[1]:[11]])-COUNTBLANK(Table261425[[#This Row],[1]:[11]])-1)))</f>
        <v/>
      </c>
      <c r="AF30" s="30" t="str" cm="1">
        <f t="array" ref="AF30">IF(Table261425[[#This Row],[8]]="","",Table261425[[#This Row],[Weight]:[Weight]]-(Table261425[[#This Row],[Weight]:[Weight]]*((_xlfn.XMATCH(Table261425[[#This Row],[8]],Table261425[[#This Row],[1]:[11]],0))-1)/(COUNTA(Table261425[[#This Row],[1]:[11]])-COUNTBLANK(Table261425[[#This Row],[1]:[11]])-1)))</f>
        <v/>
      </c>
      <c r="AG30" s="30" t="str" cm="1">
        <f t="array" ref="AG30">IF(Table261425[[#This Row],[9]]="","",Table261425[[#This Row],[Weight]:[Weight]]-(Table261425[[#This Row],[Weight]:[Weight]]*((_xlfn.XMATCH(Table261425[[#This Row],[9]],Table261425[[#This Row],[1]:[11]],0))-1)/(COUNTA(Table261425[[#This Row],[1]:[11]])-COUNTBLANK(Table261425[[#This Row],[1]:[11]])-1)))</f>
        <v/>
      </c>
      <c r="AH30" s="30" t="str" cm="1">
        <f t="array" ref="AH30">IF(Table261425[[#This Row],[10]]="","",Table261425[[#This Row],[Weight]:[Weight]]-(Table261425[[#This Row],[Weight]:[Weight]]*((_xlfn.XMATCH(Table261425[[#This Row],[10]],Table261425[[#This Row],[1]:[11]],0))-1)/(COUNTA(Table261425[[#This Row],[1]:[11]])-COUNTBLANK(Table261425[[#This Row],[1]:[11]])-1)))</f>
        <v/>
      </c>
      <c r="AI30" s="30" t="str" cm="1">
        <f t="array" ref="AI30">IF(Table261425[[#This Row],[11]]="","",Table261425[[#This Row],[Weight]:[Weight]]-(Table261425[[#This Row],[Weight]:[Weight]]*((_xlfn.XMATCH(Table261425[[#This Row],[11]],Table261425[[#This Row],[1]:[11]],0))-1)/(COUNTA(Table261425[[#This Row],[1]:[11]])-COUNTBLANK(Table261425[[#This Row],[1]:[11]])-1)))</f>
        <v/>
      </c>
    </row>
    <row r="31" spans="1:35" ht="120" x14ac:dyDescent="0.2">
      <c r="A31" s="20">
        <v>19</v>
      </c>
      <c r="B31" s="90" t="s">
        <v>338</v>
      </c>
      <c r="C31" s="119" t="s">
        <v>215</v>
      </c>
      <c r="D31" s="153"/>
      <c r="E31" s="153"/>
      <c r="F31" s="120" t="s">
        <v>188</v>
      </c>
      <c r="G31" s="148" cm="1">
        <f t="array" ref="G31">_xlfn.IFS(F31="","",F31="No interest",0,F31="Nice to have",1,F31="Useful",2,F31="Important",3,F31="Very important",4,F31="Critical",5,F31="Show stopper",6)</f>
        <v>5</v>
      </c>
      <c r="H31" s="149">
        <f t="shared" si="1"/>
        <v>1.3786764705882354E-3</v>
      </c>
      <c r="I31" s="150" t="s">
        <v>321</v>
      </c>
      <c r="J31" s="35" t="str" cm="1">
        <f t="array" ref="J31">_xlfn.TEXTJOIN(","&amp;CHAR(10),,TEXT(Table261425[[#This Row],[12]:[22]],"0,00%"))</f>
        <v>0,00%,
0,00%,
0,00%,
0,00%,
0,00%</v>
      </c>
      <c r="K31" s="26"/>
      <c r="L31" s="27" t="e">
        <f>H31-(H31*((MATCH(Table261425[[#This Row],[Evaluators Response (SELECT)]],Table261425[[#This Row],[1]:[11]],0)-1)/(COUNTA(Table261425[[#This Row],[1]:[11]])-COUNTBLANK(Table261425[[#This Row],[1]:[11]])-1)))</f>
        <v>#N/A</v>
      </c>
      <c r="M31" s="28"/>
      <c r="N31" s="29" t="str" cm="1">
        <f t="array" ref="N31">IFERROR(INDEX(_xlfn.UNIQUE(TRIM(_xlfn.TEXTSPLIT(Table261425[[#This Row],[Selection Options]:[Selection Options]],","))),,N$11),"")</f>
        <v>100%: Supported as delivered "out of the box"</v>
      </c>
      <c r="O31" s="29" t="str" cm="1">
        <f t="array" ref="O31">IFERROR(INDEX(_xlfn.UNIQUE(TRIM(_xlfn.TEXTSPLIT(Table261425[[#This Row],[Selection Options]:[Selection Options]],","))),,O$11),"")</f>
        <v xml:space="preserve">
75%: Supported via modifications (config)</v>
      </c>
      <c r="P31" s="29" t="str" cm="1">
        <f t="array" ref="P31">IFERROR(INDEX(_xlfn.UNIQUE(TRIM(_xlfn.TEXTSPLIT(Table261425[[#This Row],[Selection Options]:[Selection Options]],","))),,P$11),"")</f>
        <v xml:space="preserve">
50%: Supported via a third party solution</v>
      </c>
      <c r="Q31" s="29" t="str" cm="1">
        <f t="array" ref="Q31">IFERROR(INDEX(_xlfn.UNIQUE(TRIM(_xlfn.TEXTSPLIT(Table261425[[#This Row],[Selection Options]:[Selection Options]],","))),,Q$11),"")</f>
        <v xml:space="preserve">
25%: Supported via customisation (source code changes)</v>
      </c>
      <c r="R31" s="29" t="str" cm="1">
        <f t="array" ref="R31">IFERROR(INDEX(_xlfn.UNIQUE(TRIM(_xlfn.TEXTSPLIT(Table261425[[#This Row],[Selection Options]:[Selection Options]],","))),,R$11),"")</f>
        <v xml:space="preserve">
 0%: Not currently supported</v>
      </c>
      <c r="S31" s="29" t="str" cm="1">
        <f t="array" ref="S31">IFERROR(INDEX(_xlfn.UNIQUE(TRIM(_xlfn.TEXTSPLIT(Table261425[[#This Row],[Selection Options]:[Selection Options]],","))),,S$11),"")</f>
        <v/>
      </c>
      <c r="T31" s="29" t="str" cm="1">
        <f t="array" ref="T31">IFERROR(INDEX(_xlfn.UNIQUE(TRIM(_xlfn.TEXTSPLIT(Table261425[[#This Row],[Selection Options]:[Selection Options]],","))),,T$11),"")</f>
        <v/>
      </c>
      <c r="U31" s="29" t="str" cm="1">
        <f t="array" ref="U31">IFERROR(INDEX(_xlfn.UNIQUE(TRIM(_xlfn.TEXTSPLIT(Table261425[[#This Row],[Selection Options]:[Selection Options]],","))),,U$11),"")</f>
        <v/>
      </c>
      <c r="V31" s="29" t="str" cm="1">
        <f t="array" ref="V31">IFERROR(INDEX(_xlfn.UNIQUE(TRIM(_xlfn.TEXTSPLIT(Table261425[[#This Row],[Selection Options]:[Selection Options]],","))),,V$11),"")</f>
        <v/>
      </c>
      <c r="W31" s="29" t="str" cm="1">
        <f t="array" ref="W31">IFERROR(INDEX(_xlfn.UNIQUE(TRIM(_xlfn.TEXTSPLIT(Table261425[[#This Row],[Selection Options]:[Selection Options]],","))),,W$11),"")</f>
        <v/>
      </c>
      <c r="X31" s="29" t="str" cm="1">
        <f t="array" ref="X31">IFERROR(INDEX(_xlfn.UNIQUE(TRIM(_xlfn.TEXTSPLIT(Table261425[[#This Row],[Selection Options]:[Selection Options]],","))),,X$11),"")</f>
        <v/>
      </c>
      <c r="Y31" s="30" cm="1">
        <f t="array" ref="Y31">IF(Table261425[[#This Row],[1]]="","",Table261425[[#This Row],[Weight]:[Weight]]-(Table261425[[#This Row],[Weight]:[Weight]]*((_xlfn.XMATCH(Table261425[[#This Row],[1]],Table261425[[#This Row],[1]:[11]],0))-1)/(COUNTA(Table261425[[#This Row],[1]:[11]])-COUNTBLANK(Table261425[[#This Row],[1]:[11]])-1)))</f>
        <v>1.3786764705882354E-3</v>
      </c>
      <c r="Z31" s="30" cm="1">
        <f t="array" ref="Z31">IF(Table261425[[#This Row],[2]]="","",Table261425[[#This Row],[Weight]:[Weight]]-(Table261425[[#This Row],[Weight]:[Weight]]*((_xlfn.XMATCH(Table261425[[#This Row],[2]],Table261425[[#This Row],[1]:[11]],0))-1)/(COUNTA(Table261425[[#This Row],[1]:[11]])-COUNTBLANK(Table261425[[#This Row],[1]:[11]])-1)))</f>
        <v>1.0340073529411765E-3</v>
      </c>
      <c r="AA31" s="30" cm="1">
        <f t="array" ref="AA31">IF(Table261425[[#This Row],[3]]="","",Table261425[[#This Row],[Weight]:[Weight]]-(Table261425[[#This Row],[Weight]:[Weight]]*((_xlfn.XMATCH(Table261425[[#This Row],[3]],Table261425[[#This Row],[1]:[11]],0))-1)/(COUNTA(Table261425[[#This Row],[1]:[11]])-COUNTBLANK(Table261425[[#This Row],[1]:[11]])-1)))</f>
        <v>6.8933823529411769E-4</v>
      </c>
      <c r="AB31" s="30" cm="1">
        <f t="array" ref="AB31">IF(Table261425[[#This Row],[4]]="","",Table261425[[#This Row],[Weight]:[Weight]]-(Table261425[[#This Row],[Weight]:[Weight]]*((_xlfn.XMATCH(Table261425[[#This Row],[4]],Table261425[[#This Row],[1]:[11]],0))-1)/(COUNTA(Table261425[[#This Row],[1]:[11]])-COUNTBLANK(Table261425[[#This Row],[1]:[11]])-1)))</f>
        <v>3.446691176470589E-4</v>
      </c>
      <c r="AC31" s="30" cm="1">
        <f t="array" ref="AC31">IF(Table261425[[#This Row],[5]]="","",Table261425[[#This Row],[Weight]:[Weight]]-(Table261425[[#This Row],[Weight]:[Weight]]*((_xlfn.XMATCH(Table261425[[#This Row],[5]],Table261425[[#This Row],[1]:[11]],0))-1)/(COUNTA(Table261425[[#This Row],[1]:[11]])-COUNTBLANK(Table261425[[#This Row],[1]:[11]])-1)))</f>
        <v>0</v>
      </c>
      <c r="AD31" s="30" t="str" cm="1">
        <f t="array" ref="AD31">IF(Table261425[[#This Row],[6]]="","",Table261425[[#This Row],[Weight]:[Weight]]-(Table261425[[#This Row],[Weight]:[Weight]]*((_xlfn.XMATCH(Table261425[[#This Row],[6]],Table261425[[#This Row],[1]:[11]],0))-1)/(COUNTA(Table261425[[#This Row],[1]:[11]])-COUNTBLANK(Table261425[[#This Row],[1]:[11]])-1)))</f>
        <v/>
      </c>
      <c r="AE31" s="30" t="str" cm="1">
        <f t="array" ref="AE31">IF(Table261425[[#This Row],[7]]="","",Table261425[[#This Row],[Weight]:[Weight]]-(Table261425[[#This Row],[Weight]:[Weight]]*((_xlfn.XMATCH(Table261425[[#This Row],[7]],Table261425[[#This Row],[1]:[11]],0))-1)/(COUNTA(Table261425[[#This Row],[1]:[11]])-COUNTBLANK(Table261425[[#This Row],[1]:[11]])-1)))</f>
        <v/>
      </c>
      <c r="AF31" s="30" t="str" cm="1">
        <f t="array" ref="AF31">IF(Table261425[[#This Row],[8]]="","",Table261425[[#This Row],[Weight]:[Weight]]-(Table261425[[#This Row],[Weight]:[Weight]]*((_xlfn.XMATCH(Table261425[[#This Row],[8]],Table261425[[#This Row],[1]:[11]],0))-1)/(COUNTA(Table261425[[#This Row],[1]:[11]])-COUNTBLANK(Table261425[[#This Row],[1]:[11]])-1)))</f>
        <v/>
      </c>
      <c r="AG31" s="30" t="str" cm="1">
        <f t="array" ref="AG31">IF(Table261425[[#This Row],[9]]="","",Table261425[[#This Row],[Weight]:[Weight]]-(Table261425[[#This Row],[Weight]:[Weight]]*((_xlfn.XMATCH(Table261425[[#This Row],[9]],Table261425[[#This Row],[1]:[11]],0))-1)/(COUNTA(Table261425[[#This Row],[1]:[11]])-COUNTBLANK(Table261425[[#This Row],[1]:[11]])-1)))</f>
        <v/>
      </c>
      <c r="AH31" s="30" t="str" cm="1">
        <f t="array" ref="AH31">IF(Table261425[[#This Row],[10]]="","",Table261425[[#This Row],[Weight]:[Weight]]-(Table261425[[#This Row],[Weight]:[Weight]]*((_xlfn.XMATCH(Table261425[[#This Row],[10]],Table261425[[#This Row],[1]:[11]],0))-1)/(COUNTA(Table261425[[#This Row],[1]:[11]])-COUNTBLANK(Table261425[[#This Row],[1]:[11]])-1)))</f>
        <v/>
      </c>
      <c r="AI31" s="30" t="str" cm="1">
        <f t="array" ref="AI31">IF(Table261425[[#This Row],[11]]="","",Table261425[[#This Row],[Weight]:[Weight]]-(Table261425[[#This Row],[Weight]:[Weight]]*((_xlfn.XMATCH(Table261425[[#This Row],[11]],Table261425[[#This Row],[1]:[11]],0))-1)/(COUNTA(Table261425[[#This Row],[1]:[11]])-COUNTBLANK(Table261425[[#This Row],[1]:[11]])-1)))</f>
        <v/>
      </c>
    </row>
    <row r="32" spans="1:35" ht="120" x14ac:dyDescent="0.2">
      <c r="A32" s="20">
        <v>20</v>
      </c>
      <c r="B32" s="90" t="s">
        <v>339</v>
      </c>
      <c r="C32" s="119" t="s">
        <v>215</v>
      </c>
      <c r="D32" s="153"/>
      <c r="E32" s="153"/>
      <c r="F32" s="120" t="s">
        <v>188</v>
      </c>
      <c r="G32" s="148" cm="1">
        <f t="array" ref="G32">_xlfn.IFS(F32="","",F32="No interest",0,F32="Nice to have",1,F32="Useful",2,F32="Important",3,F32="Very important",4,F32="Critical",5,F32="Show stopper",6)</f>
        <v>5</v>
      </c>
      <c r="H32" s="149">
        <f t="shared" si="1"/>
        <v>1.3786764705882354E-3</v>
      </c>
      <c r="I32" s="150" t="s">
        <v>321</v>
      </c>
      <c r="J32" s="35" t="str" cm="1">
        <f t="array" ref="J32">_xlfn.TEXTJOIN(","&amp;CHAR(10),,TEXT(Table261425[[#This Row],[12]:[22]],"0,00%"))</f>
        <v>0,00%,
0,00%,
0,00%,
0,00%,
0,00%</v>
      </c>
      <c r="K32" s="26"/>
      <c r="L32" s="27" t="e">
        <f>H32-(H32*((MATCH(Table261425[[#This Row],[Evaluators Response (SELECT)]],Table261425[[#This Row],[1]:[11]],0)-1)/(COUNTA(Table261425[[#This Row],[1]:[11]])-COUNTBLANK(Table261425[[#This Row],[1]:[11]])-1)))</f>
        <v>#N/A</v>
      </c>
      <c r="M32" s="28"/>
      <c r="N32" s="29" t="str" cm="1">
        <f t="array" ref="N32">IFERROR(INDEX(_xlfn.UNIQUE(TRIM(_xlfn.TEXTSPLIT(Table261425[[#This Row],[Selection Options]:[Selection Options]],","))),,N$11),"")</f>
        <v>100%: Supported as delivered "out of the box"</v>
      </c>
      <c r="O32" s="29" t="str" cm="1">
        <f t="array" ref="O32">IFERROR(INDEX(_xlfn.UNIQUE(TRIM(_xlfn.TEXTSPLIT(Table261425[[#This Row],[Selection Options]:[Selection Options]],","))),,O$11),"")</f>
        <v xml:space="preserve">
75%: Supported via modifications (config)</v>
      </c>
      <c r="P32" s="29" t="str" cm="1">
        <f t="array" ref="P32">IFERROR(INDEX(_xlfn.UNIQUE(TRIM(_xlfn.TEXTSPLIT(Table261425[[#This Row],[Selection Options]:[Selection Options]],","))),,P$11),"")</f>
        <v xml:space="preserve">
50%: Supported via a third party solution</v>
      </c>
      <c r="Q32" s="29" t="str" cm="1">
        <f t="array" ref="Q32">IFERROR(INDEX(_xlfn.UNIQUE(TRIM(_xlfn.TEXTSPLIT(Table261425[[#This Row],[Selection Options]:[Selection Options]],","))),,Q$11),"")</f>
        <v xml:space="preserve">
25%: Supported via customisation (source code changes)</v>
      </c>
      <c r="R32" s="29" t="str" cm="1">
        <f t="array" ref="R32">IFERROR(INDEX(_xlfn.UNIQUE(TRIM(_xlfn.TEXTSPLIT(Table261425[[#This Row],[Selection Options]:[Selection Options]],","))),,R$11),"")</f>
        <v xml:space="preserve">
 0%: Not currently supported</v>
      </c>
      <c r="S32" s="29" t="str" cm="1">
        <f t="array" ref="S32">IFERROR(INDEX(_xlfn.UNIQUE(TRIM(_xlfn.TEXTSPLIT(Table261425[[#This Row],[Selection Options]:[Selection Options]],","))),,S$11),"")</f>
        <v/>
      </c>
      <c r="T32" s="29" t="str" cm="1">
        <f t="array" ref="T32">IFERROR(INDEX(_xlfn.UNIQUE(TRIM(_xlfn.TEXTSPLIT(Table261425[[#This Row],[Selection Options]:[Selection Options]],","))),,T$11),"")</f>
        <v/>
      </c>
      <c r="U32" s="29" t="str" cm="1">
        <f t="array" ref="U32">IFERROR(INDEX(_xlfn.UNIQUE(TRIM(_xlfn.TEXTSPLIT(Table261425[[#This Row],[Selection Options]:[Selection Options]],","))),,U$11),"")</f>
        <v/>
      </c>
      <c r="V32" s="29" t="str" cm="1">
        <f t="array" ref="V32">IFERROR(INDEX(_xlfn.UNIQUE(TRIM(_xlfn.TEXTSPLIT(Table261425[[#This Row],[Selection Options]:[Selection Options]],","))),,V$11),"")</f>
        <v/>
      </c>
      <c r="W32" s="29" t="str" cm="1">
        <f t="array" ref="W32">IFERROR(INDEX(_xlfn.UNIQUE(TRIM(_xlfn.TEXTSPLIT(Table261425[[#This Row],[Selection Options]:[Selection Options]],","))),,W$11),"")</f>
        <v/>
      </c>
      <c r="X32" s="29" t="str" cm="1">
        <f t="array" ref="X32">IFERROR(INDEX(_xlfn.UNIQUE(TRIM(_xlfn.TEXTSPLIT(Table261425[[#This Row],[Selection Options]:[Selection Options]],","))),,X$11),"")</f>
        <v/>
      </c>
      <c r="Y32" s="30" cm="1">
        <f t="array" ref="Y32">IF(Table261425[[#This Row],[1]]="","",Table261425[[#This Row],[Weight]:[Weight]]-(Table261425[[#This Row],[Weight]:[Weight]]*((_xlfn.XMATCH(Table261425[[#This Row],[1]],Table261425[[#This Row],[1]:[11]],0))-1)/(COUNTA(Table261425[[#This Row],[1]:[11]])-COUNTBLANK(Table261425[[#This Row],[1]:[11]])-1)))</f>
        <v>1.3786764705882354E-3</v>
      </c>
      <c r="Z32" s="30" cm="1">
        <f t="array" ref="Z32">IF(Table261425[[#This Row],[2]]="","",Table261425[[#This Row],[Weight]:[Weight]]-(Table261425[[#This Row],[Weight]:[Weight]]*((_xlfn.XMATCH(Table261425[[#This Row],[2]],Table261425[[#This Row],[1]:[11]],0))-1)/(COUNTA(Table261425[[#This Row],[1]:[11]])-COUNTBLANK(Table261425[[#This Row],[1]:[11]])-1)))</f>
        <v>1.0340073529411765E-3</v>
      </c>
      <c r="AA32" s="30" cm="1">
        <f t="array" ref="AA32">IF(Table261425[[#This Row],[3]]="","",Table261425[[#This Row],[Weight]:[Weight]]-(Table261425[[#This Row],[Weight]:[Weight]]*((_xlfn.XMATCH(Table261425[[#This Row],[3]],Table261425[[#This Row],[1]:[11]],0))-1)/(COUNTA(Table261425[[#This Row],[1]:[11]])-COUNTBLANK(Table261425[[#This Row],[1]:[11]])-1)))</f>
        <v>6.8933823529411769E-4</v>
      </c>
      <c r="AB32" s="30" cm="1">
        <f t="array" ref="AB32">IF(Table261425[[#This Row],[4]]="","",Table261425[[#This Row],[Weight]:[Weight]]-(Table261425[[#This Row],[Weight]:[Weight]]*((_xlfn.XMATCH(Table261425[[#This Row],[4]],Table261425[[#This Row],[1]:[11]],0))-1)/(COUNTA(Table261425[[#This Row],[1]:[11]])-COUNTBLANK(Table261425[[#This Row],[1]:[11]])-1)))</f>
        <v>3.446691176470589E-4</v>
      </c>
      <c r="AC32" s="30" cm="1">
        <f t="array" ref="AC32">IF(Table261425[[#This Row],[5]]="","",Table261425[[#This Row],[Weight]:[Weight]]-(Table261425[[#This Row],[Weight]:[Weight]]*((_xlfn.XMATCH(Table261425[[#This Row],[5]],Table261425[[#This Row],[1]:[11]],0))-1)/(COUNTA(Table261425[[#This Row],[1]:[11]])-COUNTBLANK(Table261425[[#This Row],[1]:[11]])-1)))</f>
        <v>0</v>
      </c>
      <c r="AD32" s="30" t="str" cm="1">
        <f t="array" ref="AD32">IF(Table261425[[#This Row],[6]]="","",Table261425[[#This Row],[Weight]:[Weight]]-(Table261425[[#This Row],[Weight]:[Weight]]*((_xlfn.XMATCH(Table261425[[#This Row],[6]],Table261425[[#This Row],[1]:[11]],0))-1)/(COUNTA(Table261425[[#This Row],[1]:[11]])-COUNTBLANK(Table261425[[#This Row],[1]:[11]])-1)))</f>
        <v/>
      </c>
      <c r="AE32" s="30" t="str" cm="1">
        <f t="array" ref="AE32">IF(Table261425[[#This Row],[7]]="","",Table261425[[#This Row],[Weight]:[Weight]]-(Table261425[[#This Row],[Weight]:[Weight]]*((_xlfn.XMATCH(Table261425[[#This Row],[7]],Table261425[[#This Row],[1]:[11]],0))-1)/(COUNTA(Table261425[[#This Row],[1]:[11]])-COUNTBLANK(Table261425[[#This Row],[1]:[11]])-1)))</f>
        <v/>
      </c>
      <c r="AF32" s="30" t="str" cm="1">
        <f t="array" ref="AF32">IF(Table261425[[#This Row],[8]]="","",Table261425[[#This Row],[Weight]:[Weight]]-(Table261425[[#This Row],[Weight]:[Weight]]*((_xlfn.XMATCH(Table261425[[#This Row],[8]],Table261425[[#This Row],[1]:[11]],0))-1)/(COUNTA(Table261425[[#This Row],[1]:[11]])-COUNTBLANK(Table261425[[#This Row],[1]:[11]])-1)))</f>
        <v/>
      </c>
      <c r="AG32" s="30" t="str" cm="1">
        <f t="array" ref="AG32">IF(Table261425[[#This Row],[9]]="","",Table261425[[#This Row],[Weight]:[Weight]]-(Table261425[[#This Row],[Weight]:[Weight]]*((_xlfn.XMATCH(Table261425[[#This Row],[9]],Table261425[[#This Row],[1]:[11]],0))-1)/(COUNTA(Table261425[[#This Row],[1]:[11]])-COUNTBLANK(Table261425[[#This Row],[1]:[11]])-1)))</f>
        <v/>
      </c>
      <c r="AH32" s="30" t="str" cm="1">
        <f t="array" ref="AH32">IF(Table261425[[#This Row],[10]]="","",Table261425[[#This Row],[Weight]:[Weight]]-(Table261425[[#This Row],[Weight]:[Weight]]*((_xlfn.XMATCH(Table261425[[#This Row],[10]],Table261425[[#This Row],[1]:[11]],0))-1)/(COUNTA(Table261425[[#This Row],[1]:[11]])-COUNTBLANK(Table261425[[#This Row],[1]:[11]])-1)))</f>
        <v/>
      </c>
      <c r="AI32" s="30" t="str" cm="1">
        <f t="array" ref="AI32">IF(Table261425[[#This Row],[11]]="","",Table261425[[#This Row],[Weight]:[Weight]]-(Table261425[[#This Row],[Weight]:[Weight]]*((_xlfn.XMATCH(Table261425[[#This Row],[11]],Table261425[[#This Row],[1]:[11]],0))-1)/(COUNTA(Table261425[[#This Row],[1]:[11]])-COUNTBLANK(Table261425[[#This Row],[1]:[11]])-1)))</f>
        <v/>
      </c>
    </row>
    <row r="33" spans="1:35" ht="120" x14ac:dyDescent="0.2">
      <c r="A33" s="20">
        <v>21</v>
      </c>
      <c r="B33" s="90" t="s">
        <v>340</v>
      </c>
      <c r="C33" s="119" t="s">
        <v>215</v>
      </c>
      <c r="D33" s="153"/>
      <c r="E33" s="153"/>
      <c r="F33" s="120" t="s">
        <v>256</v>
      </c>
      <c r="G33" s="148" cm="1">
        <f t="array" ref="G33">_xlfn.IFS(F33="","",F33="No interest",0,F33="Nice to have",1,F33="Useful",2,F33="Important",3,F33="Very important",4,F33="Critical",5,F33="Show stopper",6)</f>
        <v>2</v>
      </c>
      <c r="H33" s="149">
        <f t="shared" si="1"/>
        <v>5.5147058823529411E-4</v>
      </c>
      <c r="I33" s="150" t="s">
        <v>321</v>
      </c>
      <c r="J33" s="35" t="str" cm="1">
        <f t="array" ref="J33">_xlfn.TEXTJOIN(","&amp;CHAR(10),,TEXT(Table261425[[#This Row],[12]:[22]],"0,00%"))</f>
        <v>0,00%,
0,00%,
0,00%,
0,00%,
0,00%</v>
      </c>
      <c r="K33" s="26"/>
      <c r="L33" s="27" t="e">
        <f>H33-(H33*((MATCH(Table261425[[#This Row],[Evaluators Response (SELECT)]],Table261425[[#This Row],[1]:[11]],0)-1)/(COUNTA(Table261425[[#This Row],[1]:[11]])-COUNTBLANK(Table261425[[#This Row],[1]:[11]])-1)))</f>
        <v>#N/A</v>
      </c>
      <c r="M33" s="28"/>
      <c r="N33" s="29" t="str" cm="1">
        <f t="array" ref="N33">IFERROR(INDEX(_xlfn.UNIQUE(TRIM(_xlfn.TEXTSPLIT(Table261425[[#This Row],[Selection Options]:[Selection Options]],","))),,N$11),"")</f>
        <v>100%: Supported as delivered "out of the box"</v>
      </c>
      <c r="O33" s="29" t="str" cm="1">
        <f t="array" ref="O33">IFERROR(INDEX(_xlfn.UNIQUE(TRIM(_xlfn.TEXTSPLIT(Table261425[[#This Row],[Selection Options]:[Selection Options]],","))),,O$11),"")</f>
        <v xml:space="preserve">
75%: Supported via modifications (config)</v>
      </c>
      <c r="P33" s="29" t="str" cm="1">
        <f t="array" ref="P33">IFERROR(INDEX(_xlfn.UNIQUE(TRIM(_xlfn.TEXTSPLIT(Table261425[[#This Row],[Selection Options]:[Selection Options]],","))),,P$11),"")</f>
        <v xml:space="preserve">
50%: Supported via a third party solution</v>
      </c>
      <c r="Q33" s="29" t="str" cm="1">
        <f t="array" ref="Q33">IFERROR(INDEX(_xlfn.UNIQUE(TRIM(_xlfn.TEXTSPLIT(Table261425[[#This Row],[Selection Options]:[Selection Options]],","))),,Q$11),"")</f>
        <v xml:space="preserve">
25%: Supported via customisation (source code changes)</v>
      </c>
      <c r="R33" s="29" t="str" cm="1">
        <f t="array" ref="R33">IFERROR(INDEX(_xlfn.UNIQUE(TRIM(_xlfn.TEXTSPLIT(Table261425[[#This Row],[Selection Options]:[Selection Options]],","))),,R$11),"")</f>
        <v xml:space="preserve">
 0%: Not currently supported</v>
      </c>
      <c r="S33" s="29" t="str" cm="1">
        <f t="array" ref="S33">IFERROR(INDEX(_xlfn.UNIQUE(TRIM(_xlfn.TEXTSPLIT(Table261425[[#This Row],[Selection Options]:[Selection Options]],","))),,S$11),"")</f>
        <v/>
      </c>
      <c r="T33" s="29" t="str" cm="1">
        <f t="array" ref="T33">IFERROR(INDEX(_xlfn.UNIQUE(TRIM(_xlfn.TEXTSPLIT(Table261425[[#This Row],[Selection Options]:[Selection Options]],","))),,T$11),"")</f>
        <v/>
      </c>
      <c r="U33" s="29" t="str" cm="1">
        <f t="array" ref="U33">IFERROR(INDEX(_xlfn.UNIQUE(TRIM(_xlfn.TEXTSPLIT(Table261425[[#This Row],[Selection Options]:[Selection Options]],","))),,U$11),"")</f>
        <v/>
      </c>
      <c r="V33" s="29" t="str" cm="1">
        <f t="array" ref="V33">IFERROR(INDEX(_xlfn.UNIQUE(TRIM(_xlfn.TEXTSPLIT(Table261425[[#This Row],[Selection Options]:[Selection Options]],","))),,V$11),"")</f>
        <v/>
      </c>
      <c r="W33" s="29" t="str" cm="1">
        <f t="array" ref="W33">IFERROR(INDEX(_xlfn.UNIQUE(TRIM(_xlfn.TEXTSPLIT(Table261425[[#This Row],[Selection Options]:[Selection Options]],","))),,W$11),"")</f>
        <v/>
      </c>
      <c r="X33" s="29" t="str" cm="1">
        <f t="array" ref="X33">IFERROR(INDEX(_xlfn.UNIQUE(TRIM(_xlfn.TEXTSPLIT(Table261425[[#This Row],[Selection Options]:[Selection Options]],","))),,X$11),"")</f>
        <v/>
      </c>
      <c r="Y33" s="30" cm="1">
        <f t="array" ref="Y33">IF(Table261425[[#This Row],[1]]="","",Table261425[[#This Row],[Weight]:[Weight]]-(Table261425[[#This Row],[Weight]:[Weight]]*((_xlfn.XMATCH(Table261425[[#This Row],[1]],Table261425[[#This Row],[1]:[11]],0))-1)/(COUNTA(Table261425[[#This Row],[1]:[11]])-COUNTBLANK(Table261425[[#This Row],[1]:[11]])-1)))</f>
        <v>5.5147058823529411E-4</v>
      </c>
      <c r="Z33" s="30" cm="1">
        <f t="array" ref="Z33">IF(Table261425[[#This Row],[2]]="","",Table261425[[#This Row],[Weight]:[Weight]]-(Table261425[[#This Row],[Weight]:[Weight]]*((_xlfn.XMATCH(Table261425[[#This Row],[2]],Table261425[[#This Row],[1]:[11]],0))-1)/(COUNTA(Table261425[[#This Row],[1]:[11]])-COUNTBLANK(Table261425[[#This Row],[1]:[11]])-1)))</f>
        <v>4.1360294117647058E-4</v>
      </c>
      <c r="AA33" s="30" cm="1">
        <f t="array" ref="AA33">IF(Table261425[[#This Row],[3]]="","",Table261425[[#This Row],[Weight]:[Weight]]-(Table261425[[#This Row],[Weight]:[Weight]]*((_xlfn.XMATCH(Table261425[[#This Row],[3]],Table261425[[#This Row],[1]:[11]],0))-1)/(COUNTA(Table261425[[#This Row],[1]:[11]])-COUNTBLANK(Table261425[[#This Row],[1]:[11]])-1)))</f>
        <v>2.7573529411764705E-4</v>
      </c>
      <c r="AB33" s="30" cm="1">
        <f t="array" ref="AB33">IF(Table261425[[#This Row],[4]]="","",Table261425[[#This Row],[Weight]:[Weight]]-(Table261425[[#This Row],[Weight]:[Weight]]*((_xlfn.XMATCH(Table261425[[#This Row],[4]],Table261425[[#This Row],[1]:[11]],0))-1)/(COUNTA(Table261425[[#This Row],[1]:[11]])-COUNTBLANK(Table261425[[#This Row],[1]:[11]])-1)))</f>
        <v>1.3786764705882353E-4</v>
      </c>
      <c r="AC33" s="30" cm="1">
        <f t="array" ref="AC33">IF(Table261425[[#This Row],[5]]="","",Table261425[[#This Row],[Weight]:[Weight]]-(Table261425[[#This Row],[Weight]:[Weight]]*((_xlfn.XMATCH(Table261425[[#This Row],[5]],Table261425[[#This Row],[1]:[11]],0))-1)/(COUNTA(Table261425[[#This Row],[1]:[11]])-COUNTBLANK(Table261425[[#This Row],[1]:[11]])-1)))</f>
        <v>0</v>
      </c>
      <c r="AD33" s="30" t="str" cm="1">
        <f t="array" ref="AD33">IF(Table261425[[#This Row],[6]]="","",Table261425[[#This Row],[Weight]:[Weight]]-(Table261425[[#This Row],[Weight]:[Weight]]*((_xlfn.XMATCH(Table261425[[#This Row],[6]],Table261425[[#This Row],[1]:[11]],0))-1)/(COUNTA(Table261425[[#This Row],[1]:[11]])-COUNTBLANK(Table261425[[#This Row],[1]:[11]])-1)))</f>
        <v/>
      </c>
      <c r="AE33" s="30" t="str" cm="1">
        <f t="array" ref="AE33">IF(Table261425[[#This Row],[7]]="","",Table261425[[#This Row],[Weight]:[Weight]]-(Table261425[[#This Row],[Weight]:[Weight]]*((_xlfn.XMATCH(Table261425[[#This Row],[7]],Table261425[[#This Row],[1]:[11]],0))-1)/(COUNTA(Table261425[[#This Row],[1]:[11]])-COUNTBLANK(Table261425[[#This Row],[1]:[11]])-1)))</f>
        <v/>
      </c>
      <c r="AF33" s="30" t="str" cm="1">
        <f t="array" ref="AF33">IF(Table261425[[#This Row],[8]]="","",Table261425[[#This Row],[Weight]:[Weight]]-(Table261425[[#This Row],[Weight]:[Weight]]*((_xlfn.XMATCH(Table261425[[#This Row],[8]],Table261425[[#This Row],[1]:[11]],0))-1)/(COUNTA(Table261425[[#This Row],[1]:[11]])-COUNTBLANK(Table261425[[#This Row],[1]:[11]])-1)))</f>
        <v/>
      </c>
      <c r="AG33" s="30" t="str" cm="1">
        <f t="array" ref="AG33">IF(Table261425[[#This Row],[9]]="","",Table261425[[#This Row],[Weight]:[Weight]]-(Table261425[[#This Row],[Weight]:[Weight]]*((_xlfn.XMATCH(Table261425[[#This Row],[9]],Table261425[[#This Row],[1]:[11]],0))-1)/(COUNTA(Table261425[[#This Row],[1]:[11]])-COUNTBLANK(Table261425[[#This Row],[1]:[11]])-1)))</f>
        <v/>
      </c>
      <c r="AH33" s="30" t="str" cm="1">
        <f t="array" ref="AH33">IF(Table261425[[#This Row],[10]]="","",Table261425[[#This Row],[Weight]:[Weight]]-(Table261425[[#This Row],[Weight]:[Weight]]*((_xlfn.XMATCH(Table261425[[#This Row],[10]],Table261425[[#This Row],[1]:[11]],0))-1)/(COUNTA(Table261425[[#This Row],[1]:[11]])-COUNTBLANK(Table261425[[#This Row],[1]:[11]])-1)))</f>
        <v/>
      </c>
      <c r="AI33" s="30" t="str" cm="1">
        <f t="array" ref="AI33">IF(Table261425[[#This Row],[11]]="","",Table261425[[#This Row],[Weight]:[Weight]]-(Table261425[[#This Row],[Weight]:[Weight]]*((_xlfn.XMATCH(Table261425[[#This Row],[11]],Table261425[[#This Row],[1]:[11]],0))-1)/(COUNTA(Table261425[[#This Row],[1]:[11]])-COUNTBLANK(Table261425[[#This Row],[1]:[11]])-1)))</f>
        <v/>
      </c>
    </row>
    <row r="34" spans="1:35" ht="120" x14ac:dyDescent="0.2">
      <c r="A34" s="20">
        <v>22</v>
      </c>
      <c r="B34" s="90" t="s">
        <v>341</v>
      </c>
      <c r="C34" s="119" t="s">
        <v>215</v>
      </c>
      <c r="D34" s="153"/>
      <c r="E34" s="153"/>
      <c r="F34" s="120" t="s">
        <v>60</v>
      </c>
      <c r="G34" s="148" cm="1">
        <f t="array" ref="G34">_xlfn.IFS(F34="","",F34="No interest",0,F34="Nice to have",1,F34="Useful",2,F34="Important",3,F34="Very important",4,F34="Critical",5,F34="Show stopper",6)</f>
        <v>6</v>
      </c>
      <c r="H34" s="149">
        <f t="shared" si="1"/>
        <v>1.6544117647058823E-3</v>
      </c>
      <c r="I34" s="150" t="s">
        <v>321</v>
      </c>
      <c r="J34" s="35" t="str" cm="1">
        <f t="array" ref="J34">_xlfn.TEXTJOIN(","&amp;CHAR(10),,TEXT(Table261425[[#This Row],[12]:[22]],"0,00%"))</f>
        <v>0,00%,
0,00%,
0,00%,
0,00%,
0,00%</v>
      </c>
      <c r="K34" s="26"/>
      <c r="L34" s="27" t="e">
        <f>H34-(H34*((MATCH(Table261425[[#This Row],[Evaluators Response (SELECT)]],Table261425[[#This Row],[1]:[11]],0)-1)/(COUNTA(Table261425[[#This Row],[1]:[11]])-COUNTBLANK(Table261425[[#This Row],[1]:[11]])-1)))</f>
        <v>#N/A</v>
      </c>
      <c r="M34" s="28"/>
      <c r="N34" s="29" t="str" cm="1">
        <f t="array" ref="N34">IFERROR(INDEX(_xlfn.UNIQUE(TRIM(_xlfn.TEXTSPLIT(Table261425[[#This Row],[Selection Options]:[Selection Options]],","))),,N$11),"")</f>
        <v>100%: Supported as delivered "out of the box"</v>
      </c>
      <c r="O34" s="29" t="str" cm="1">
        <f t="array" ref="O34">IFERROR(INDEX(_xlfn.UNIQUE(TRIM(_xlfn.TEXTSPLIT(Table261425[[#This Row],[Selection Options]:[Selection Options]],","))),,O$11),"")</f>
        <v xml:space="preserve">
75%: Supported via modifications (config)</v>
      </c>
      <c r="P34" s="29" t="str" cm="1">
        <f t="array" ref="P34">IFERROR(INDEX(_xlfn.UNIQUE(TRIM(_xlfn.TEXTSPLIT(Table261425[[#This Row],[Selection Options]:[Selection Options]],","))),,P$11),"")</f>
        <v xml:space="preserve">
50%: Supported via a third party solution</v>
      </c>
      <c r="Q34" s="29" t="str" cm="1">
        <f t="array" ref="Q34">IFERROR(INDEX(_xlfn.UNIQUE(TRIM(_xlfn.TEXTSPLIT(Table261425[[#This Row],[Selection Options]:[Selection Options]],","))),,Q$11),"")</f>
        <v xml:space="preserve">
25%: Supported via customisation (source code changes)</v>
      </c>
      <c r="R34" s="29" t="str" cm="1">
        <f t="array" ref="R34">IFERROR(INDEX(_xlfn.UNIQUE(TRIM(_xlfn.TEXTSPLIT(Table261425[[#This Row],[Selection Options]:[Selection Options]],","))),,R$11),"")</f>
        <v xml:space="preserve">
 0%: Not currently supported</v>
      </c>
      <c r="S34" s="29" t="str" cm="1">
        <f t="array" ref="S34">IFERROR(INDEX(_xlfn.UNIQUE(TRIM(_xlfn.TEXTSPLIT(Table261425[[#This Row],[Selection Options]:[Selection Options]],","))),,S$11),"")</f>
        <v/>
      </c>
      <c r="T34" s="29" t="str" cm="1">
        <f t="array" ref="T34">IFERROR(INDEX(_xlfn.UNIQUE(TRIM(_xlfn.TEXTSPLIT(Table261425[[#This Row],[Selection Options]:[Selection Options]],","))),,T$11),"")</f>
        <v/>
      </c>
      <c r="U34" s="29" t="str" cm="1">
        <f t="array" ref="U34">IFERROR(INDEX(_xlfn.UNIQUE(TRIM(_xlfn.TEXTSPLIT(Table261425[[#This Row],[Selection Options]:[Selection Options]],","))),,U$11),"")</f>
        <v/>
      </c>
      <c r="V34" s="29" t="str" cm="1">
        <f t="array" ref="V34">IFERROR(INDEX(_xlfn.UNIQUE(TRIM(_xlfn.TEXTSPLIT(Table261425[[#This Row],[Selection Options]:[Selection Options]],","))),,V$11),"")</f>
        <v/>
      </c>
      <c r="W34" s="29" t="str" cm="1">
        <f t="array" ref="W34">IFERROR(INDEX(_xlfn.UNIQUE(TRIM(_xlfn.TEXTSPLIT(Table261425[[#This Row],[Selection Options]:[Selection Options]],","))),,W$11),"")</f>
        <v/>
      </c>
      <c r="X34" s="29" t="str" cm="1">
        <f t="array" ref="X34">IFERROR(INDEX(_xlfn.UNIQUE(TRIM(_xlfn.TEXTSPLIT(Table261425[[#This Row],[Selection Options]:[Selection Options]],","))),,X$11),"")</f>
        <v/>
      </c>
      <c r="Y34" s="30" cm="1">
        <f t="array" ref="Y34">IF(Table261425[[#This Row],[1]]="","",Table261425[[#This Row],[Weight]:[Weight]]-(Table261425[[#This Row],[Weight]:[Weight]]*((_xlfn.XMATCH(Table261425[[#This Row],[1]],Table261425[[#This Row],[1]:[11]],0))-1)/(COUNTA(Table261425[[#This Row],[1]:[11]])-COUNTBLANK(Table261425[[#This Row],[1]:[11]])-1)))</f>
        <v>1.6544117647058823E-3</v>
      </c>
      <c r="Z34" s="30" cm="1">
        <f t="array" ref="Z34">IF(Table261425[[#This Row],[2]]="","",Table261425[[#This Row],[Weight]:[Weight]]-(Table261425[[#This Row],[Weight]:[Weight]]*((_xlfn.XMATCH(Table261425[[#This Row],[2]],Table261425[[#This Row],[1]:[11]],0))-1)/(COUNTA(Table261425[[#This Row],[1]:[11]])-COUNTBLANK(Table261425[[#This Row],[1]:[11]])-1)))</f>
        <v>1.2408088235294117E-3</v>
      </c>
      <c r="AA34" s="30" cm="1">
        <f t="array" ref="AA34">IF(Table261425[[#This Row],[3]]="","",Table261425[[#This Row],[Weight]:[Weight]]-(Table261425[[#This Row],[Weight]:[Weight]]*((_xlfn.XMATCH(Table261425[[#This Row],[3]],Table261425[[#This Row],[1]:[11]],0))-1)/(COUNTA(Table261425[[#This Row],[1]:[11]])-COUNTBLANK(Table261425[[#This Row],[1]:[11]])-1)))</f>
        <v>8.2720588235294116E-4</v>
      </c>
      <c r="AB34" s="30" cm="1">
        <f t="array" ref="AB34">IF(Table261425[[#This Row],[4]]="","",Table261425[[#This Row],[Weight]:[Weight]]-(Table261425[[#This Row],[Weight]:[Weight]]*((_xlfn.XMATCH(Table261425[[#This Row],[4]],Table261425[[#This Row],[1]:[11]],0))-1)/(COUNTA(Table261425[[#This Row],[1]:[11]])-COUNTBLANK(Table261425[[#This Row],[1]:[11]])-1)))</f>
        <v>4.1360294117647064E-4</v>
      </c>
      <c r="AC34" s="30" cm="1">
        <f t="array" ref="AC34">IF(Table261425[[#This Row],[5]]="","",Table261425[[#This Row],[Weight]:[Weight]]-(Table261425[[#This Row],[Weight]:[Weight]]*((_xlfn.XMATCH(Table261425[[#This Row],[5]],Table261425[[#This Row],[1]:[11]],0))-1)/(COUNTA(Table261425[[#This Row],[1]:[11]])-COUNTBLANK(Table261425[[#This Row],[1]:[11]])-1)))</f>
        <v>0</v>
      </c>
      <c r="AD34" s="30" t="str" cm="1">
        <f t="array" ref="AD34">IF(Table261425[[#This Row],[6]]="","",Table261425[[#This Row],[Weight]:[Weight]]-(Table261425[[#This Row],[Weight]:[Weight]]*((_xlfn.XMATCH(Table261425[[#This Row],[6]],Table261425[[#This Row],[1]:[11]],0))-1)/(COUNTA(Table261425[[#This Row],[1]:[11]])-COUNTBLANK(Table261425[[#This Row],[1]:[11]])-1)))</f>
        <v/>
      </c>
      <c r="AE34" s="30" t="str" cm="1">
        <f t="array" ref="AE34">IF(Table261425[[#This Row],[7]]="","",Table261425[[#This Row],[Weight]:[Weight]]-(Table261425[[#This Row],[Weight]:[Weight]]*((_xlfn.XMATCH(Table261425[[#This Row],[7]],Table261425[[#This Row],[1]:[11]],0))-1)/(COUNTA(Table261425[[#This Row],[1]:[11]])-COUNTBLANK(Table261425[[#This Row],[1]:[11]])-1)))</f>
        <v/>
      </c>
      <c r="AF34" s="30" t="str" cm="1">
        <f t="array" ref="AF34">IF(Table261425[[#This Row],[8]]="","",Table261425[[#This Row],[Weight]:[Weight]]-(Table261425[[#This Row],[Weight]:[Weight]]*((_xlfn.XMATCH(Table261425[[#This Row],[8]],Table261425[[#This Row],[1]:[11]],0))-1)/(COUNTA(Table261425[[#This Row],[1]:[11]])-COUNTBLANK(Table261425[[#This Row],[1]:[11]])-1)))</f>
        <v/>
      </c>
      <c r="AG34" s="30" t="str" cm="1">
        <f t="array" ref="AG34">IF(Table261425[[#This Row],[9]]="","",Table261425[[#This Row],[Weight]:[Weight]]-(Table261425[[#This Row],[Weight]:[Weight]]*((_xlfn.XMATCH(Table261425[[#This Row],[9]],Table261425[[#This Row],[1]:[11]],0))-1)/(COUNTA(Table261425[[#This Row],[1]:[11]])-COUNTBLANK(Table261425[[#This Row],[1]:[11]])-1)))</f>
        <v/>
      </c>
      <c r="AH34" s="30" t="str" cm="1">
        <f t="array" ref="AH34">IF(Table261425[[#This Row],[10]]="","",Table261425[[#This Row],[Weight]:[Weight]]-(Table261425[[#This Row],[Weight]:[Weight]]*((_xlfn.XMATCH(Table261425[[#This Row],[10]],Table261425[[#This Row],[1]:[11]],0))-1)/(COUNTA(Table261425[[#This Row],[1]:[11]])-COUNTBLANK(Table261425[[#This Row],[1]:[11]])-1)))</f>
        <v/>
      </c>
      <c r="AI34" s="30" t="str" cm="1">
        <f t="array" ref="AI34">IF(Table261425[[#This Row],[11]]="","",Table261425[[#This Row],[Weight]:[Weight]]-(Table261425[[#This Row],[Weight]:[Weight]]*((_xlfn.XMATCH(Table261425[[#This Row],[11]],Table261425[[#This Row],[1]:[11]],0))-1)/(COUNTA(Table261425[[#This Row],[1]:[11]])-COUNTBLANK(Table261425[[#This Row],[1]:[11]])-1)))</f>
        <v/>
      </c>
    </row>
    <row r="35" spans="1:35" ht="120" x14ac:dyDescent="0.2">
      <c r="A35" s="20">
        <v>23</v>
      </c>
      <c r="B35" s="90" t="s">
        <v>342</v>
      </c>
      <c r="C35" s="119" t="s">
        <v>215</v>
      </c>
      <c r="D35" s="153"/>
      <c r="E35" s="153"/>
      <c r="F35" s="120" t="s">
        <v>188</v>
      </c>
      <c r="G35" s="148" cm="1">
        <f t="array" ref="G35">_xlfn.IFS(F35="","",F35="No interest",0,F35="Nice to have",1,F35="Useful",2,F35="Important",3,F35="Very important",4,F35="Critical",5,F35="Show stopper",6)</f>
        <v>5</v>
      </c>
      <c r="H35" s="149">
        <f t="shared" si="1"/>
        <v>1.3786764705882354E-3</v>
      </c>
      <c r="I35" s="150" t="s">
        <v>321</v>
      </c>
      <c r="J35" s="35" t="str" cm="1">
        <f t="array" ref="J35">_xlfn.TEXTJOIN(","&amp;CHAR(10),,TEXT(Table261425[[#This Row],[12]:[22]],"0,00%"))</f>
        <v>0,00%,
0,00%,
0,00%,
0,00%,
0,00%</v>
      </c>
      <c r="K35" s="26"/>
      <c r="L35" s="27" t="e">
        <f>H35-(H35*((MATCH(Table261425[[#This Row],[Evaluators Response (SELECT)]],Table261425[[#This Row],[1]:[11]],0)-1)/(COUNTA(Table261425[[#This Row],[1]:[11]])-COUNTBLANK(Table261425[[#This Row],[1]:[11]])-1)))</f>
        <v>#N/A</v>
      </c>
      <c r="M35" s="28"/>
      <c r="N35" s="29" t="str" cm="1">
        <f t="array" ref="N35">IFERROR(INDEX(_xlfn.UNIQUE(TRIM(_xlfn.TEXTSPLIT(Table261425[[#This Row],[Selection Options]:[Selection Options]],","))),,N$11),"")</f>
        <v>100%: Supported as delivered "out of the box"</v>
      </c>
      <c r="O35" s="29" t="str" cm="1">
        <f t="array" ref="O35">IFERROR(INDEX(_xlfn.UNIQUE(TRIM(_xlfn.TEXTSPLIT(Table261425[[#This Row],[Selection Options]:[Selection Options]],","))),,O$11),"")</f>
        <v xml:space="preserve">
75%: Supported via modifications (config)</v>
      </c>
      <c r="P35" s="29" t="str" cm="1">
        <f t="array" ref="P35">IFERROR(INDEX(_xlfn.UNIQUE(TRIM(_xlfn.TEXTSPLIT(Table261425[[#This Row],[Selection Options]:[Selection Options]],","))),,P$11),"")</f>
        <v xml:space="preserve">
50%: Supported via a third party solution</v>
      </c>
      <c r="Q35" s="29" t="str" cm="1">
        <f t="array" ref="Q35">IFERROR(INDEX(_xlfn.UNIQUE(TRIM(_xlfn.TEXTSPLIT(Table261425[[#This Row],[Selection Options]:[Selection Options]],","))),,Q$11),"")</f>
        <v xml:space="preserve">
25%: Supported via customisation (source code changes)</v>
      </c>
      <c r="R35" s="29" t="str" cm="1">
        <f t="array" ref="R35">IFERROR(INDEX(_xlfn.UNIQUE(TRIM(_xlfn.TEXTSPLIT(Table261425[[#This Row],[Selection Options]:[Selection Options]],","))),,R$11),"")</f>
        <v xml:space="preserve">
 0%: Not currently supported</v>
      </c>
      <c r="S35" s="29" t="str" cm="1">
        <f t="array" ref="S35">IFERROR(INDEX(_xlfn.UNIQUE(TRIM(_xlfn.TEXTSPLIT(Table261425[[#This Row],[Selection Options]:[Selection Options]],","))),,S$11),"")</f>
        <v/>
      </c>
      <c r="T35" s="29" t="str" cm="1">
        <f t="array" ref="T35">IFERROR(INDEX(_xlfn.UNIQUE(TRIM(_xlfn.TEXTSPLIT(Table261425[[#This Row],[Selection Options]:[Selection Options]],","))),,T$11),"")</f>
        <v/>
      </c>
      <c r="U35" s="29" t="str" cm="1">
        <f t="array" ref="U35">IFERROR(INDEX(_xlfn.UNIQUE(TRIM(_xlfn.TEXTSPLIT(Table261425[[#This Row],[Selection Options]:[Selection Options]],","))),,U$11),"")</f>
        <v/>
      </c>
      <c r="V35" s="29" t="str" cm="1">
        <f t="array" ref="V35">IFERROR(INDEX(_xlfn.UNIQUE(TRIM(_xlfn.TEXTSPLIT(Table261425[[#This Row],[Selection Options]:[Selection Options]],","))),,V$11),"")</f>
        <v/>
      </c>
      <c r="W35" s="29" t="str" cm="1">
        <f t="array" ref="W35">IFERROR(INDEX(_xlfn.UNIQUE(TRIM(_xlfn.TEXTSPLIT(Table261425[[#This Row],[Selection Options]:[Selection Options]],","))),,W$11),"")</f>
        <v/>
      </c>
      <c r="X35" s="29" t="str" cm="1">
        <f t="array" ref="X35">IFERROR(INDEX(_xlfn.UNIQUE(TRIM(_xlfn.TEXTSPLIT(Table261425[[#This Row],[Selection Options]:[Selection Options]],","))),,X$11),"")</f>
        <v/>
      </c>
      <c r="Y35" s="30" cm="1">
        <f t="array" ref="Y35">IF(Table261425[[#This Row],[1]]="","",Table261425[[#This Row],[Weight]:[Weight]]-(Table261425[[#This Row],[Weight]:[Weight]]*((_xlfn.XMATCH(Table261425[[#This Row],[1]],Table261425[[#This Row],[1]:[11]],0))-1)/(COUNTA(Table261425[[#This Row],[1]:[11]])-COUNTBLANK(Table261425[[#This Row],[1]:[11]])-1)))</f>
        <v>1.3786764705882354E-3</v>
      </c>
      <c r="Z35" s="30" cm="1">
        <f t="array" ref="Z35">IF(Table261425[[#This Row],[2]]="","",Table261425[[#This Row],[Weight]:[Weight]]-(Table261425[[#This Row],[Weight]:[Weight]]*((_xlfn.XMATCH(Table261425[[#This Row],[2]],Table261425[[#This Row],[1]:[11]],0))-1)/(COUNTA(Table261425[[#This Row],[1]:[11]])-COUNTBLANK(Table261425[[#This Row],[1]:[11]])-1)))</f>
        <v>1.0340073529411765E-3</v>
      </c>
      <c r="AA35" s="30" cm="1">
        <f t="array" ref="AA35">IF(Table261425[[#This Row],[3]]="","",Table261425[[#This Row],[Weight]:[Weight]]-(Table261425[[#This Row],[Weight]:[Weight]]*((_xlfn.XMATCH(Table261425[[#This Row],[3]],Table261425[[#This Row],[1]:[11]],0))-1)/(COUNTA(Table261425[[#This Row],[1]:[11]])-COUNTBLANK(Table261425[[#This Row],[1]:[11]])-1)))</f>
        <v>6.8933823529411769E-4</v>
      </c>
      <c r="AB35" s="30" cm="1">
        <f t="array" ref="AB35">IF(Table261425[[#This Row],[4]]="","",Table261425[[#This Row],[Weight]:[Weight]]-(Table261425[[#This Row],[Weight]:[Weight]]*((_xlfn.XMATCH(Table261425[[#This Row],[4]],Table261425[[#This Row],[1]:[11]],0))-1)/(COUNTA(Table261425[[#This Row],[1]:[11]])-COUNTBLANK(Table261425[[#This Row],[1]:[11]])-1)))</f>
        <v>3.446691176470589E-4</v>
      </c>
      <c r="AC35" s="30" cm="1">
        <f t="array" ref="AC35">IF(Table261425[[#This Row],[5]]="","",Table261425[[#This Row],[Weight]:[Weight]]-(Table261425[[#This Row],[Weight]:[Weight]]*((_xlfn.XMATCH(Table261425[[#This Row],[5]],Table261425[[#This Row],[1]:[11]],0))-1)/(COUNTA(Table261425[[#This Row],[1]:[11]])-COUNTBLANK(Table261425[[#This Row],[1]:[11]])-1)))</f>
        <v>0</v>
      </c>
      <c r="AD35" s="30" t="str" cm="1">
        <f t="array" ref="AD35">IF(Table261425[[#This Row],[6]]="","",Table261425[[#This Row],[Weight]:[Weight]]-(Table261425[[#This Row],[Weight]:[Weight]]*((_xlfn.XMATCH(Table261425[[#This Row],[6]],Table261425[[#This Row],[1]:[11]],0))-1)/(COUNTA(Table261425[[#This Row],[1]:[11]])-COUNTBLANK(Table261425[[#This Row],[1]:[11]])-1)))</f>
        <v/>
      </c>
      <c r="AE35" s="30" t="str" cm="1">
        <f t="array" ref="AE35">IF(Table261425[[#This Row],[7]]="","",Table261425[[#This Row],[Weight]:[Weight]]-(Table261425[[#This Row],[Weight]:[Weight]]*((_xlfn.XMATCH(Table261425[[#This Row],[7]],Table261425[[#This Row],[1]:[11]],0))-1)/(COUNTA(Table261425[[#This Row],[1]:[11]])-COUNTBLANK(Table261425[[#This Row],[1]:[11]])-1)))</f>
        <v/>
      </c>
      <c r="AF35" s="30" t="str" cm="1">
        <f t="array" ref="AF35">IF(Table261425[[#This Row],[8]]="","",Table261425[[#This Row],[Weight]:[Weight]]-(Table261425[[#This Row],[Weight]:[Weight]]*((_xlfn.XMATCH(Table261425[[#This Row],[8]],Table261425[[#This Row],[1]:[11]],0))-1)/(COUNTA(Table261425[[#This Row],[1]:[11]])-COUNTBLANK(Table261425[[#This Row],[1]:[11]])-1)))</f>
        <v/>
      </c>
      <c r="AG35" s="30" t="str" cm="1">
        <f t="array" ref="AG35">IF(Table261425[[#This Row],[9]]="","",Table261425[[#This Row],[Weight]:[Weight]]-(Table261425[[#This Row],[Weight]:[Weight]]*((_xlfn.XMATCH(Table261425[[#This Row],[9]],Table261425[[#This Row],[1]:[11]],0))-1)/(COUNTA(Table261425[[#This Row],[1]:[11]])-COUNTBLANK(Table261425[[#This Row],[1]:[11]])-1)))</f>
        <v/>
      </c>
      <c r="AH35" s="30" t="str" cm="1">
        <f t="array" ref="AH35">IF(Table261425[[#This Row],[10]]="","",Table261425[[#This Row],[Weight]:[Weight]]-(Table261425[[#This Row],[Weight]:[Weight]]*((_xlfn.XMATCH(Table261425[[#This Row],[10]],Table261425[[#This Row],[1]:[11]],0))-1)/(COUNTA(Table261425[[#This Row],[1]:[11]])-COUNTBLANK(Table261425[[#This Row],[1]:[11]])-1)))</f>
        <v/>
      </c>
      <c r="AI35" s="30" t="str" cm="1">
        <f t="array" ref="AI35">IF(Table261425[[#This Row],[11]]="","",Table261425[[#This Row],[Weight]:[Weight]]-(Table261425[[#This Row],[Weight]:[Weight]]*((_xlfn.XMATCH(Table261425[[#This Row],[11]],Table261425[[#This Row],[1]:[11]],0))-1)/(COUNTA(Table261425[[#This Row],[1]:[11]])-COUNTBLANK(Table261425[[#This Row],[1]:[11]])-1)))</f>
        <v/>
      </c>
    </row>
    <row r="36" spans="1:35" ht="120" x14ac:dyDescent="0.2">
      <c r="A36" s="20">
        <v>24</v>
      </c>
      <c r="B36" s="90" t="s">
        <v>343</v>
      </c>
      <c r="C36" s="119" t="s">
        <v>215</v>
      </c>
      <c r="D36" s="153"/>
      <c r="E36" s="153"/>
      <c r="F36" s="120" t="s">
        <v>188</v>
      </c>
      <c r="G36" s="148" cm="1">
        <f t="array" ref="G36">_xlfn.IFS(F36="","",F36="No interest",0,F36="Nice to have",1,F36="Useful",2,F36="Important",3,F36="Very important",4,F36="Critical",5,F36="Show stopper",6)</f>
        <v>5</v>
      </c>
      <c r="H36" s="149">
        <f t="shared" si="1"/>
        <v>1.3786764705882354E-3</v>
      </c>
      <c r="I36" s="150" t="s">
        <v>321</v>
      </c>
      <c r="J36" s="35" t="str" cm="1">
        <f t="array" ref="J36">_xlfn.TEXTJOIN(","&amp;CHAR(10),,TEXT(Table261425[[#This Row],[12]:[22]],"0,00%"))</f>
        <v>0,00%,
0,00%,
0,00%,
0,00%,
0,00%</v>
      </c>
      <c r="K36" s="26"/>
      <c r="L36" s="27" t="e">
        <f>H36-(H36*((MATCH(Table261425[[#This Row],[Evaluators Response (SELECT)]],Table261425[[#This Row],[1]:[11]],0)-1)/(COUNTA(Table261425[[#This Row],[1]:[11]])-COUNTBLANK(Table261425[[#This Row],[1]:[11]])-1)))</f>
        <v>#N/A</v>
      </c>
      <c r="M36" s="28"/>
      <c r="N36" s="29" t="str" cm="1">
        <f t="array" ref="N36">IFERROR(INDEX(_xlfn.UNIQUE(TRIM(_xlfn.TEXTSPLIT(Table261425[[#This Row],[Selection Options]:[Selection Options]],","))),,N$11),"")</f>
        <v>100%: Supported as delivered "out of the box"</v>
      </c>
      <c r="O36" s="29" t="str" cm="1">
        <f t="array" ref="O36">IFERROR(INDEX(_xlfn.UNIQUE(TRIM(_xlfn.TEXTSPLIT(Table261425[[#This Row],[Selection Options]:[Selection Options]],","))),,O$11),"")</f>
        <v xml:space="preserve">
75%: Supported via modifications (config)</v>
      </c>
      <c r="P36" s="29" t="str" cm="1">
        <f t="array" ref="P36">IFERROR(INDEX(_xlfn.UNIQUE(TRIM(_xlfn.TEXTSPLIT(Table261425[[#This Row],[Selection Options]:[Selection Options]],","))),,P$11),"")</f>
        <v xml:space="preserve">
50%: Supported via a third party solution</v>
      </c>
      <c r="Q36" s="29" t="str" cm="1">
        <f t="array" ref="Q36">IFERROR(INDEX(_xlfn.UNIQUE(TRIM(_xlfn.TEXTSPLIT(Table261425[[#This Row],[Selection Options]:[Selection Options]],","))),,Q$11),"")</f>
        <v xml:space="preserve">
25%: Supported via customisation (source code changes)</v>
      </c>
      <c r="R36" s="29" t="str" cm="1">
        <f t="array" ref="R36">IFERROR(INDEX(_xlfn.UNIQUE(TRIM(_xlfn.TEXTSPLIT(Table261425[[#This Row],[Selection Options]:[Selection Options]],","))),,R$11),"")</f>
        <v xml:space="preserve">
 0%: Not currently supported</v>
      </c>
      <c r="S36" s="29" t="str" cm="1">
        <f t="array" ref="S36">IFERROR(INDEX(_xlfn.UNIQUE(TRIM(_xlfn.TEXTSPLIT(Table261425[[#This Row],[Selection Options]:[Selection Options]],","))),,S$11),"")</f>
        <v/>
      </c>
      <c r="T36" s="29" t="str" cm="1">
        <f t="array" ref="T36">IFERROR(INDEX(_xlfn.UNIQUE(TRIM(_xlfn.TEXTSPLIT(Table261425[[#This Row],[Selection Options]:[Selection Options]],","))),,T$11),"")</f>
        <v/>
      </c>
      <c r="U36" s="29" t="str" cm="1">
        <f t="array" ref="U36">IFERROR(INDEX(_xlfn.UNIQUE(TRIM(_xlfn.TEXTSPLIT(Table261425[[#This Row],[Selection Options]:[Selection Options]],","))),,U$11),"")</f>
        <v/>
      </c>
      <c r="V36" s="29" t="str" cm="1">
        <f t="array" ref="V36">IFERROR(INDEX(_xlfn.UNIQUE(TRIM(_xlfn.TEXTSPLIT(Table261425[[#This Row],[Selection Options]:[Selection Options]],","))),,V$11),"")</f>
        <v/>
      </c>
      <c r="W36" s="29" t="str" cm="1">
        <f t="array" ref="W36">IFERROR(INDEX(_xlfn.UNIQUE(TRIM(_xlfn.TEXTSPLIT(Table261425[[#This Row],[Selection Options]:[Selection Options]],","))),,W$11),"")</f>
        <v/>
      </c>
      <c r="X36" s="29" t="str" cm="1">
        <f t="array" ref="X36">IFERROR(INDEX(_xlfn.UNIQUE(TRIM(_xlfn.TEXTSPLIT(Table261425[[#This Row],[Selection Options]:[Selection Options]],","))),,X$11),"")</f>
        <v/>
      </c>
      <c r="Y36" s="30" cm="1">
        <f t="array" ref="Y36">IF(Table261425[[#This Row],[1]]="","",Table261425[[#This Row],[Weight]:[Weight]]-(Table261425[[#This Row],[Weight]:[Weight]]*((_xlfn.XMATCH(Table261425[[#This Row],[1]],Table261425[[#This Row],[1]:[11]],0))-1)/(COUNTA(Table261425[[#This Row],[1]:[11]])-COUNTBLANK(Table261425[[#This Row],[1]:[11]])-1)))</f>
        <v>1.3786764705882354E-3</v>
      </c>
      <c r="Z36" s="30" cm="1">
        <f t="array" ref="Z36">IF(Table261425[[#This Row],[2]]="","",Table261425[[#This Row],[Weight]:[Weight]]-(Table261425[[#This Row],[Weight]:[Weight]]*((_xlfn.XMATCH(Table261425[[#This Row],[2]],Table261425[[#This Row],[1]:[11]],0))-1)/(COUNTA(Table261425[[#This Row],[1]:[11]])-COUNTBLANK(Table261425[[#This Row],[1]:[11]])-1)))</f>
        <v>1.0340073529411765E-3</v>
      </c>
      <c r="AA36" s="30" cm="1">
        <f t="array" ref="AA36">IF(Table261425[[#This Row],[3]]="","",Table261425[[#This Row],[Weight]:[Weight]]-(Table261425[[#This Row],[Weight]:[Weight]]*((_xlfn.XMATCH(Table261425[[#This Row],[3]],Table261425[[#This Row],[1]:[11]],0))-1)/(COUNTA(Table261425[[#This Row],[1]:[11]])-COUNTBLANK(Table261425[[#This Row],[1]:[11]])-1)))</f>
        <v>6.8933823529411769E-4</v>
      </c>
      <c r="AB36" s="30" cm="1">
        <f t="array" ref="AB36">IF(Table261425[[#This Row],[4]]="","",Table261425[[#This Row],[Weight]:[Weight]]-(Table261425[[#This Row],[Weight]:[Weight]]*((_xlfn.XMATCH(Table261425[[#This Row],[4]],Table261425[[#This Row],[1]:[11]],0))-1)/(COUNTA(Table261425[[#This Row],[1]:[11]])-COUNTBLANK(Table261425[[#This Row],[1]:[11]])-1)))</f>
        <v>3.446691176470589E-4</v>
      </c>
      <c r="AC36" s="30" cm="1">
        <f t="array" ref="AC36">IF(Table261425[[#This Row],[5]]="","",Table261425[[#This Row],[Weight]:[Weight]]-(Table261425[[#This Row],[Weight]:[Weight]]*((_xlfn.XMATCH(Table261425[[#This Row],[5]],Table261425[[#This Row],[1]:[11]],0))-1)/(COUNTA(Table261425[[#This Row],[1]:[11]])-COUNTBLANK(Table261425[[#This Row],[1]:[11]])-1)))</f>
        <v>0</v>
      </c>
      <c r="AD36" s="30" t="str" cm="1">
        <f t="array" ref="AD36">IF(Table261425[[#This Row],[6]]="","",Table261425[[#This Row],[Weight]:[Weight]]-(Table261425[[#This Row],[Weight]:[Weight]]*((_xlfn.XMATCH(Table261425[[#This Row],[6]],Table261425[[#This Row],[1]:[11]],0))-1)/(COUNTA(Table261425[[#This Row],[1]:[11]])-COUNTBLANK(Table261425[[#This Row],[1]:[11]])-1)))</f>
        <v/>
      </c>
      <c r="AE36" s="30" t="str" cm="1">
        <f t="array" ref="AE36">IF(Table261425[[#This Row],[7]]="","",Table261425[[#This Row],[Weight]:[Weight]]-(Table261425[[#This Row],[Weight]:[Weight]]*((_xlfn.XMATCH(Table261425[[#This Row],[7]],Table261425[[#This Row],[1]:[11]],0))-1)/(COUNTA(Table261425[[#This Row],[1]:[11]])-COUNTBLANK(Table261425[[#This Row],[1]:[11]])-1)))</f>
        <v/>
      </c>
      <c r="AF36" s="30" t="str" cm="1">
        <f t="array" ref="AF36">IF(Table261425[[#This Row],[8]]="","",Table261425[[#This Row],[Weight]:[Weight]]-(Table261425[[#This Row],[Weight]:[Weight]]*((_xlfn.XMATCH(Table261425[[#This Row],[8]],Table261425[[#This Row],[1]:[11]],0))-1)/(COUNTA(Table261425[[#This Row],[1]:[11]])-COUNTBLANK(Table261425[[#This Row],[1]:[11]])-1)))</f>
        <v/>
      </c>
      <c r="AG36" s="30" t="str" cm="1">
        <f t="array" ref="AG36">IF(Table261425[[#This Row],[9]]="","",Table261425[[#This Row],[Weight]:[Weight]]-(Table261425[[#This Row],[Weight]:[Weight]]*((_xlfn.XMATCH(Table261425[[#This Row],[9]],Table261425[[#This Row],[1]:[11]],0))-1)/(COUNTA(Table261425[[#This Row],[1]:[11]])-COUNTBLANK(Table261425[[#This Row],[1]:[11]])-1)))</f>
        <v/>
      </c>
      <c r="AH36" s="30" t="str" cm="1">
        <f t="array" ref="AH36">IF(Table261425[[#This Row],[10]]="","",Table261425[[#This Row],[Weight]:[Weight]]-(Table261425[[#This Row],[Weight]:[Weight]]*((_xlfn.XMATCH(Table261425[[#This Row],[10]],Table261425[[#This Row],[1]:[11]],0))-1)/(COUNTA(Table261425[[#This Row],[1]:[11]])-COUNTBLANK(Table261425[[#This Row],[1]:[11]])-1)))</f>
        <v/>
      </c>
      <c r="AI36" s="30" t="str" cm="1">
        <f t="array" ref="AI36">IF(Table261425[[#This Row],[11]]="","",Table261425[[#This Row],[Weight]:[Weight]]-(Table261425[[#This Row],[Weight]:[Weight]]*((_xlfn.XMATCH(Table261425[[#This Row],[11]],Table261425[[#This Row],[1]:[11]],0))-1)/(COUNTA(Table261425[[#This Row],[1]:[11]])-COUNTBLANK(Table261425[[#This Row],[1]:[11]])-1)))</f>
        <v/>
      </c>
    </row>
    <row r="37" spans="1:35" ht="120" x14ac:dyDescent="0.2">
      <c r="A37" s="20">
        <v>25</v>
      </c>
      <c r="B37" s="90" t="s">
        <v>344</v>
      </c>
      <c r="C37" s="119" t="s">
        <v>215</v>
      </c>
      <c r="D37" s="153"/>
      <c r="E37" s="153"/>
      <c r="F37" s="120" t="s">
        <v>188</v>
      </c>
      <c r="G37" s="148" cm="1">
        <f t="array" ref="G37">_xlfn.IFS(F37="","",F37="No interest",0,F37="Nice to have",1,F37="Useful",2,F37="Important",3,F37="Very important",4,F37="Critical",5,F37="Show stopper",6)</f>
        <v>5</v>
      </c>
      <c r="H37" s="149">
        <f t="shared" si="1"/>
        <v>1.3786764705882354E-3</v>
      </c>
      <c r="I37" s="150" t="s">
        <v>321</v>
      </c>
      <c r="J37" s="35" t="str" cm="1">
        <f t="array" ref="J37">_xlfn.TEXTJOIN(","&amp;CHAR(10),,TEXT(Table261425[[#This Row],[12]:[22]],"0,00%"))</f>
        <v>0,00%,
0,00%,
0,00%,
0,00%,
0,00%</v>
      </c>
      <c r="K37" s="26"/>
      <c r="L37" s="27" t="e">
        <f>H37-(H37*((MATCH(Table261425[[#This Row],[Evaluators Response (SELECT)]],Table261425[[#This Row],[1]:[11]],0)-1)/(COUNTA(Table261425[[#This Row],[1]:[11]])-COUNTBLANK(Table261425[[#This Row],[1]:[11]])-1)))</f>
        <v>#N/A</v>
      </c>
      <c r="M37" s="28"/>
      <c r="N37" s="29" t="str" cm="1">
        <f t="array" ref="N37">IFERROR(INDEX(_xlfn.UNIQUE(TRIM(_xlfn.TEXTSPLIT(Table261425[[#This Row],[Selection Options]:[Selection Options]],","))),,N$11),"")</f>
        <v>100%: Supported as delivered "out of the box"</v>
      </c>
      <c r="O37" s="29" t="str" cm="1">
        <f t="array" ref="O37">IFERROR(INDEX(_xlfn.UNIQUE(TRIM(_xlfn.TEXTSPLIT(Table261425[[#This Row],[Selection Options]:[Selection Options]],","))),,O$11),"")</f>
        <v xml:space="preserve">
75%: Supported via modifications (config)</v>
      </c>
      <c r="P37" s="29" t="str" cm="1">
        <f t="array" ref="P37">IFERROR(INDEX(_xlfn.UNIQUE(TRIM(_xlfn.TEXTSPLIT(Table261425[[#This Row],[Selection Options]:[Selection Options]],","))),,P$11),"")</f>
        <v xml:space="preserve">
50%: Supported via a third party solution</v>
      </c>
      <c r="Q37" s="29" t="str" cm="1">
        <f t="array" ref="Q37">IFERROR(INDEX(_xlfn.UNIQUE(TRIM(_xlfn.TEXTSPLIT(Table261425[[#This Row],[Selection Options]:[Selection Options]],","))),,Q$11),"")</f>
        <v xml:space="preserve">
25%: Supported via customisation (source code changes)</v>
      </c>
      <c r="R37" s="29" t="str" cm="1">
        <f t="array" ref="R37">IFERROR(INDEX(_xlfn.UNIQUE(TRIM(_xlfn.TEXTSPLIT(Table261425[[#This Row],[Selection Options]:[Selection Options]],","))),,R$11),"")</f>
        <v xml:space="preserve">
 0%: Not currently supported</v>
      </c>
      <c r="S37" s="29" t="str" cm="1">
        <f t="array" ref="S37">IFERROR(INDEX(_xlfn.UNIQUE(TRIM(_xlfn.TEXTSPLIT(Table261425[[#This Row],[Selection Options]:[Selection Options]],","))),,S$11),"")</f>
        <v/>
      </c>
      <c r="T37" s="29" t="str" cm="1">
        <f t="array" ref="T37">IFERROR(INDEX(_xlfn.UNIQUE(TRIM(_xlfn.TEXTSPLIT(Table261425[[#This Row],[Selection Options]:[Selection Options]],","))),,T$11),"")</f>
        <v/>
      </c>
      <c r="U37" s="29" t="str" cm="1">
        <f t="array" ref="U37">IFERROR(INDEX(_xlfn.UNIQUE(TRIM(_xlfn.TEXTSPLIT(Table261425[[#This Row],[Selection Options]:[Selection Options]],","))),,U$11),"")</f>
        <v/>
      </c>
      <c r="V37" s="29" t="str" cm="1">
        <f t="array" ref="V37">IFERROR(INDEX(_xlfn.UNIQUE(TRIM(_xlfn.TEXTSPLIT(Table261425[[#This Row],[Selection Options]:[Selection Options]],","))),,V$11),"")</f>
        <v/>
      </c>
      <c r="W37" s="29" t="str" cm="1">
        <f t="array" ref="W37">IFERROR(INDEX(_xlfn.UNIQUE(TRIM(_xlfn.TEXTSPLIT(Table261425[[#This Row],[Selection Options]:[Selection Options]],","))),,W$11),"")</f>
        <v/>
      </c>
      <c r="X37" s="29" t="str" cm="1">
        <f t="array" ref="X37">IFERROR(INDEX(_xlfn.UNIQUE(TRIM(_xlfn.TEXTSPLIT(Table261425[[#This Row],[Selection Options]:[Selection Options]],","))),,X$11),"")</f>
        <v/>
      </c>
      <c r="Y37" s="30" cm="1">
        <f t="array" ref="Y37">IF(Table261425[[#This Row],[1]]="","",Table261425[[#This Row],[Weight]:[Weight]]-(Table261425[[#This Row],[Weight]:[Weight]]*((_xlfn.XMATCH(Table261425[[#This Row],[1]],Table261425[[#This Row],[1]:[11]],0))-1)/(COUNTA(Table261425[[#This Row],[1]:[11]])-COUNTBLANK(Table261425[[#This Row],[1]:[11]])-1)))</f>
        <v>1.3786764705882354E-3</v>
      </c>
      <c r="Z37" s="30" cm="1">
        <f t="array" ref="Z37">IF(Table261425[[#This Row],[2]]="","",Table261425[[#This Row],[Weight]:[Weight]]-(Table261425[[#This Row],[Weight]:[Weight]]*((_xlfn.XMATCH(Table261425[[#This Row],[2]],Table261425[[#This Row],[1]:[11]],0))-1)/(COUNTA(Table261425[[#This Row],[1]:[11]])-COUNTBLANK(Table261425[[#This Row],[1]:[11]])-1)))</f>
        <v>1.0340073529411765E-3</v>
      </c>
      <c r="AA37" s="30" cm="1">
        <f t="array" ref="AA37">IF(Table261425[[#This Row],[3]]="","",Table261425[[#This Row],[Weight]:[Weight]]-(Table261425[[#This Row],[Weight]:[Weight]]*((_xlfn.XMATCH(Table261425[[#This Row],[3]],Table261425[[#This Row],[1]:[11]],0))-1)/(COUNTA(Table261425[[#This Row],[1]:[11]])-COUNTBLANK(Table261425[[#This Row],[1]:[11]])-1)))</f>
        <v>6.8933823529411769E-4</v>
      </c>
      <c r="AB37" s="30" cm="1">
        <f t="array" ref="AB37">IF(Table261425[[#This Row],[4]]="","",Table261425[[#This Row],[Weight]:[Weight]]-(Table261425[[#This Row],[Weight]:[Weight]]*((_xlfn.XMATCH(Table261425[[#This Row],[4]],Table261425[[#This Row],[1]:[11]],0))-1)/(COUNTA(Table261425[[#This Row],[1]:[11]])-COUNTBLANK(Table261425[[#This Row],[1]:[11]])-1)))</f>
        <v>3.446691176470589E-4</v>
      </c>
      <c r="AC37" s="30" cm="1">
        <f t="array" ref="AC37">IF(Table261425[[#This Row],[5]]="","",Table261425[[#This Row],[Weight]:[Weight]]-(Table261425[[#This Row],[Weight]:[Weight]]*((_xlfn.XMATCH(Table261425[[#This Row],[5]],Table261425[[#This Row],[1]:[11]],0))-1)/(COUNTA(Table261425[[#This Row],[1]:[11]])-COUNTBLANK(Table261425[[#This Row],[1]:[11]])-1)))</f>
        <v>0</v>
      </c>
      <c r="AD37" s="30" t="str" cm="1">
        <f t="array" ref="AD37">IF(Table261425[[#This Row],[6]]="","",Table261425[[#This Row],[Weight]:[Weight]]-(Table261425[[#This Row],[Weight]:[Weight]]*((_xlfn.XMATCH(Table261425[[#This Row],[6]],Table261425[[#This Row],[1]:[11]],0))-1)/(COUNTA(Table261425[[#This Row],[1]:[11]])-COUNTBLANK(Table261425[[#This Row],[1]:[11]])-1)))</f>
        <v/>
      </c>
      <c r="AE37" s="30" t="str" cm="1">
        <f t="array" ref="AE37">IF(Table261425[[#This Row],[7]]="","",Table261425[[#This Row],[Weight]:[Weight]]-(Table261425[[#This Row],[Weight]:[Weight]]*((_xlfn.XMATCH(Table261425[[#This Row],[7]],Table261425[[#This Row],[1]:[11]],0))-1)/(COUNTA(Table261425[[#This Row],[1]:[11]])-COUNTBLANK(Table261425[[#This Row],[1]:[11]])-1)))</f>
        <v/>
      </c>
      <c r="AF37" s="30" t="str" cm="1">
        <f t="array" ref="AF37">IF(Table261425[[#This Row],[8]]="","",Table261425[[#This Row],[Weight]:[Weight]]-(Table261425[[#This Row],[Weight]:[Weight]]*((_xlfn.XMATCH(Table261425[[#This Row],[8]],Table261425[[#This Row],[1]:[11]],0))-1)/(COUNTA(Table261425[[#This Row],[1]:[11]])-COUNTBLANK(Table261425[[#This Row],[1]:[11]])-1)))</f>
        <v/>
      </c>
      <c r="AG37" s="30" t="str" cm="1">
        <f t="array" ref="AG37">IF(Table261425[[#This Row],[9]]="","",Table261425[[#This Row],[Weight]:[Weight]]-(Table261425[[#This Row],[Weight]:[Weight]]*((_xlfn.XMATCH(Table261425[[#This Row],[9]],Table261425[[#This Row],[1]:[11]],0))-1)/(COUNTA(Table261425[[#This Row],[1]:[11]])-COUNTBLANK(Table261425[[#This Row],[1]:[11]])-1)))</f>
        <v/>
      </c>
      <c r="AH37" s="30" t="str" cm="1">
        <f t="array" ref="AH37">IF(Table261425[[#This Row],[10]]="","",Table261425[[#This Row],[Weight]:[Weight]]-(Table261425[[#This Row],[Weight]:[Weight]]*((_xlfn.XMATCH(Table261425[[#This Row],[10]],Table261425[[#This Row],[1]:[11]],0))-1)/(COUNTA(Table261425[[#This Row],[1]:[11]])-COUNTBLANK(Table261425[[#This Row],[1]:[11]])-1)))</f>
        <v/>
      </c>
      <c r="AI37" s="30" t="str" cm="1">
        <f t="array" ref="AI37">IF(Table261425[[#This Row],[11]]="","",Table261425[[#This Row],[Weight]:[Weight]]-(Table261425[[#This Row],[Weight]:[Weight]]*((_xlfn.XMATCH(Table261425[[#This Row],[11]],Table261425[[#This Row],[1]:[11]],0))-1)/(COUNTA(Table261425[[#This Row],[1]:[11]])-COUNTBLANK(Table261425[[#This Row],[1]:[11]])-1)))</f>
        <v/>
      </c>
    </row>
  </sheetData>
  <sheetProtection insertRows="0" insertHyperlinks="0" deleteRows="0" autoFilter="0"/>
  <mergeCells count="4">
    <mergeCell ref="E2:F3"/>
    <mergeCell ref="A10:A11"/>
    <mergeCell ref="B10:C11"/>
    <mergeCell ref="D10:E11"/>
  </mergeCells>
  <conditionalFormatting sqref="K13:K37">
    <cfRule type="expression" dxfId="491" priority="1">
      <formula>COUNTIF(N13:X13,K13)&lt;&gt;1</formula>
    </cfRule>
  </conditionalFormatting>
  <dataValidations count="4">
    <dataValidation type="list" allowBlank="1" showInputMessage="1" showErrorMessage="1" sqref="M14" xr:uid="{5D68803D-A535-430D-867B-0643B8C69B3C}">
      <formula1>_xlfn.UNIQUE(TRIM(_xlfn.TEXTSPLIT(#REF!,",")))</formula1>
    </dataValidation>
    <dataValidation type="list" allowBlank="1" showInputMessage="1" showErrorMessage="1" sqref="F13:F37" xr:uid="{9278FA25-E365-45A0-B76F-237C9FEEDAEC}">
      <formula1>"No interest,Nice to have,Useful,Important,Very important,Critical,Show stopper"</formula1>
    </dataValidation>
    <dataValidation type="list" allowBlank="1" showInputMessage="1" showErrorMessage="1" sqref="H13:H37" xr:uid="{FAAB171E-80B6-4002-BC31-840A1EF3555C}">
      <formula1>N13:R13</formula1>
    </dataValidation>
    <dataValidation type="list" allowBlank="1" showInputMessage="1" showErrorMessage="1" sqref="K13:K37" xr:uid="{F5EE5DD8-8A87-4B26-BC17-52C9538F5021}">
      <formula1>$N13:$X13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22305-583B-4628-9504-7EF7806260E6}">
  <sheetPr>
    <tabColor rgb="FF92D050"/>
    <pageSetUpPr fitToPage="1"/>
  </sheetPr>
  <dimension ref="A2:AI64"/>
  <sheetViews>
    <sheetView topLeftCell="C1" zoomScale="80" zoomScaleNormal="100" workbookViewId="0">
      <selection activeCell="M1" sqref="M1:AL104857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27.425781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Summary'!C17</f>
        <v>3.7499999999999999E-2</v>
      </c>
      <c r="G11" s="43">
        <f>SUM(Table2614256[Priority])</f>
        <v>302</v>
      </c>
      <c r="H11" s="8">
        <f>SUM(Table2614256[Weight])</f>
        <v>3.7500000000000026E-2</v>
      </c>
      <c r="I11" s="7"/>
      <c r="J11" s="7"/>
      <c r="K11" s="9" t="s">
        <v>17</v>
      </c>
      <c r="L11" s="8" t="e">
        <f>SUM(Table2614256[Score])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20" x14ac:dyDescent="0.2">
      <c r="A13" s="20">
        <v>1</v>
      </c>
      <c r="B13" s="90" t="s">
        <v>345</v>
      </c>
      <c r="C13" s="119" t="s">
        <v>215</v>
      </c>
      <c r="D13" s="90"/>
      <c r="E13" s="90" t="s">
        <v>55</v>
      </c>
      <c r="F13" s="120" t="s">
        <v>60</v>
      </c>
      <c r="G13" s="148" cm="1">
        <f t="array" ref="G13">_xlfn.IFS(F13="","",F13="No interest",0,F13="Nice to have",1,F13="Useful",2,F13="Important",3,F13="Very important",4,F13="Critical",5,F13="Show stopper",6)</f>
        <v>6</v>
      </c>
      <c r="H13" s="149">
        <f t="shared" ref="H13:H16" si="0">(G13/$G$11)*$F$11</f>
        <v>7.4503311258278151E-4</v>
      </c>
      <c r="I13" s="150" t="s">
        <v>321</v>
      </c>
      <c r="J13" s="25" t="str" cm="1">
        <f t="array" ref="J13">_xlfn.TEXTJOIN(","&amp;CHAR(10),,TEXT(Table2614256[[#This Row],[12]:[22]],"0,00%"))</f>
        <v>0,00%,
0,00%,
0,00%,
0,00%,
0,00%</v>
      </c>
      <c r="K13" s="26"/>
      <c r="L13" s="27" t="e">
        <f>H13-(H13*((MATCH(Table2614256[[#This Row],[Evaluators Response (SELECT)]],Table2614256[[#This Row],[1]:[11]],0)-1)/(COUNTA(Table2614256[[#This Row],[1]:[11]])-COUNTBLANK(Table2614256[[#This Row],[1]:[11]])-1)))</f>
        <v>#N/A</v>
      </c>
      <c r="M13" s="28"/>
      <c r="N13" s="29" t="str" cm="1">
        <f t="array" ref="N13">IFERROR(INDEX(_xlfn.UNIQUE(TRIM(_xlfn.TEXTSPLIT(Table2614256[[#This Row],[Selection Options]:[Selection Options]],","))),,N$11),"")</f>
        <v>100%: Supported as delivered "out of the box"</v>
      </c>
      <c r="O13" s="29" t="str" cm="1">
        <f t="array" ref="O13">IFERROR(INDEX(_xlfn.UNIQUE(TRIM(_xlfn.TEXTSPLIT(Table2614256[[#This Row],[Selection Options]:[Selection Options]],","))),,O$11),"")</f>
        <v xml:space="preserve">
75%: Supported via modifications (config)</v>
      </c>
      <c r="P13" s="29" t="str" cm="1">
        <f t="array" ref="P13">IFERROR(INDEX(_xlfn.UNIQUE(TRIM(_xlfn.TEXTSPLIT(Table2614256[[#This Row],[Selection Options]:[Selection Options]],","))),,P$11),"")</f>
        <v xml:space="preserve">
50%: Supported via a third party solution</v>
      </c>
      <c r="Q13" s="29" t="str" cm="1">
        <f t="array" ref="Q13">IFERROR(INDEX(_xlfn.UNIQUE(TRIM(_xlfn.TEXTSPLIT(Table2614256[[#This Row],[Selection Options]:[Selection Options]],","))),,Q$11),"")</f>
        <v xml:space="preserve">
25%: Supported via customisation (source code changes)</v>
      </c>
      <c r="R13" s="29" t="str" cm="1">
        <f t="array" ref="R13">IFERROR(INDEX(_xlfn.UNIQUE(TRIM(_xlfn.TEXTSPLIT(Table2614256[[#This Row],[Selection Options]:[Selection Options]],","))),,R$11),"")</f>
        <v xml:space="preserve">
 0%: Not currently supported</v>
      </c>
      <c r="S13" s="29" t="str" cm="1">
        <f t="array" ref="S13">IFERROR(INDEX(_xlfn.UNIQUE(TRIM(_xlfn.TEXTSPLIT(Table2614256[[#This Row],[Selection Options]:[Selection Options]],","))),,S$11),"")</f>
        <v/>
      </c>
      <c r="T13" s="29" t="str" cm="1">
        <f t="array" ref="T13">IFERROR(INDEX(_xlfn.UNIQUE(TRIM(_xlfn.TEXTSPLIT(Table2614256[[#This Row],[Selection Options]:[Selection Options]],","))),,T$11),"")</f>
        <v/>
      </c>
      <c r="U13" s="29" t="str" cm="1">
        <f t="array" ref="U13">IFERROR(INDEX(_xlfn.UNIQUE(TRIM(_xlfn.TEXTSPLIT(Table2614256[[#This Row],[Selection Options]:[Selection Options]],","))),,U$11),"")</f>
        <v/>
      </c>
      <c r="V13" s="29" t="str" cm="1">
        <f t="array" ref="V13">IFERROR(INDEX(_xlfn.UNIQUE(TRIM(_xlfn.TEXTSPLIT(Table2614256[[#This Row],[Selection Options]:[Selection Options]],","))),,V$11),"")</f>
        <v/>
      </c>
      <c r="W13" s="29" t="str" cm="1">
        <f t="array" ref="W13">IFERROR(INDEX(_xlfn.UNIQUE(TRIM(_xlfn.TEXTSPLIT(Table2614256[[#This Row],[Selection Options]:[Selection Options]],","))),,W$11),"")</f>
        <v/>
      </c>
      <c r="X13" s="29" t="str" cm="1">
        <f t="array" ref="X13">IFERROR(INDEX(_xlfn.UNIQUE(TRIM(_xlfn.TEXTSPLIT(Table2614256[[#This Row],[Selection Options]:[Selection Options]],","))),,X$11),"")</f>
        <v/>
      </c>
      <c r="Y13" s="30" cm="1">
        <f t="array" ref="Y13">IF(Table2614256[[#This Row],[1]]="","",Table2614256[[#This Row],[Weight]:[Weight]]-(Table2614256[[#This Row],[Weight]:[Weight]]*((_xlfn.XMATCH(Table2614256[[#This Row],[1]],Table2614256[[#This Row],[1]:[11]],0))-1)/(COUNTA(Table2614256[[#This Row],[1]:[11]])-COUNTBLANK(Table2614256[[#This Row],[1]:[11]])-1)))</f>
        <v>7.4503311258278151E-4</v>
      </c>
      <c r="Z13" s="30" cm="1">
        <f t="array" ref="Z13">IF(Table2614256[[#This Row],[2]]="","",Table2614256[[#This Row],[Weight]:[Weight]]-(Table2614256[[#This Row],[Weight]:[Weight]]*((_xlfn.XMATCH(Table2614256[[#This Row],[2]],Table2614256[[#This Row],[1]:[11]],0))-1)/(COUNTA(Table2614256[[#This Row],[1]:[11]])-COUNTBLANK(Table2614256[[#This Row],[1]:[11]])-1)))</f>
        <v>5.5877483443708611E-4</v>
      </c>
      <c r="AA13" s="30" cm="1">
        <f t="array" ref="AA13">IF(Table2614256[[#This Row],[3]]="","",Table2614256[[#This Row],[Weight]:[Weight]]-(Table2614256[[#This Row],[Weight]:[Weight]]*((_xlfn.XMATCH(Table2614256[[#This Row],[3]],Table2614256[[#This Row],[1]:[11]],0))-1)/(COUNTA(Table2614256[[#This Row],[1]:[11]])-COUNTBLANK(Table2614256[[#This Row],[1]:[11]])-1)))</f>
        <v>3.7251655629139076E-4</v>
      </c>
      <c r="AB13" s="30" cm="1">
        <f t="array" ref="AB13">IF(Table2614256[[#This Row],[4]]="","",Table2614256[[#This Row],[Weight]:[Weight]]-(Table2614256[[#This Row],[Weight]:[Weight]]*((_xlfn.XMATCH(Table2614256[[#This Row],[4]],Table2614256[[#This Row],[1]:[11]],0))-1)/(COUNTA(Table2614256[[#This Row],[1]:[11]])-COUNTBLANK(Table2614256[[#This Row],[1]:[11]])-1)))</f>
        <v>1.862582781456954E-4</v>
      </c>
      <c r="AC13" s="30" cm="1">
        <f t="array" ref="AC13">IF(Table2614256[[#This Row],[5]]="","",Table2614256[[#This Row],[Weight]:[Weight]]-(Table2614256[[#This Row],[Weight]:[Weight]]*((_xlfn.XMATCH(Table2614256[[#This Row],[5]],Table2614256[[#This Row],[1]:[11]],0))-1)/(COUNTA(Table2614256[[#This Row],[1]:[11]])-COUNTBLANK(Table2614256[[#This Row],[1]:[11]])-1)))</f>
        <v>0</v>
      </c>
      <c r="AD13" s="30" t="str" cm="1">
        <f t="array" ref="AD13">IF(Table2614256[[#This Row],[6]]="","",Table2614256[[#This Row],[Weight]:[Weight]]-(Table2614256[[#This Row],[Weight]:[Weight]]*((_xlfn.XMATCH(Table2614256[[#This Row],[6]],Table2614256[[#This Row],[1]:[11]],0))-1)/(COUNTA(Table2614256[[#This Row],[1]:[11]])-COUNTBLANK(Table2614256[[#This Row],[1]:[11]])-1)))</f>
        <v/>
      </c>
      <c r="AE13" s="30" t="str" cm="1">
        <f t="array" ref="AE13">IF(Table2614256[[#This Row],[7]]="","",Table2614256[[#This Row],[Weight]:[Weight]]-(Table2614256[[#This Row],[Weight]:[Weight]]*((_xlfn.XMATCH(Table2614256[[#This Row],[7]],Table2614256[[#This Row],[1]:[11]],0))-1)/(COUNTA(Table2614256[[#This Row],[1]:[11]])-COUNTBLANK(Table2614256[[#This Row],[1]:[11]])-1)))</f>
        <v/>
      </c>
      <c r="AF13" s="30" t="str" cm="1">
        <f t="array" ref="AF13">IF(Table2614256[[#This Row],[8]]="","",Table2614256[[#This Row],[Weight]:[Weight]]-(Table2614256[[#This Row],[Weight]:[Weight]]*((_xlfn.XMATCH(Table2614256[[#This Row],[8]],Table2614256[[#This Row],[1]:[11]],0))-1)/(COUNTA(Table2614256[[#This Row],[1]:[11]])-COUNTBLANK(Table2614256[[#This Row],[1]:[11]])-1)))</f>
        <v/>
      </c>
      <c r="AG13" s="30" t="str" cm="1">
        <f t="array" ref="AG13">IF(Table2614256[[#This Row],[9]]="","",Table2614256[[#This Row],[Weight]:[Weight]]-(Table2614256[[#This Row],[Weight]:[Weight]]*((_xlfn.XMATCH(Table2614256[[#This Row],[9]],Table2614256[[#This Row],[1]:[11]],0))-1)/(COUNTA(Table2614256[[#This Row],[1]:[11]])-COUNTBLANK(Table2614256[[#This Row],[1]:[11]])-1)))</f>
        <v/>
      </c>
      <c r="AH13" s="30" t="str" cm="1">
        <f t="array" ref="AH13">IF(Table2614256[[#This Row],[10]]="","",Table2614256[[#This Row],[Weight]:[Weight]]-(Table2614256[[#This Row],[Weight]:[Weight]]*((_xlfn.XMATCH(Table2614256[[#This Row],[10]],Table2614256[[#This Row],[1]:[11]],0))-1)/(COUNTA(Table2614256[[#This Row],[1]:[11]])-COUNTBLANK(Table2614256[[#This Row],[1]:[11]])-1)))</f>
        <v/>
      </c>
      <c r="AI13" s="30" t="str" cm="1">
        <f t="array" ref="AI13">IF(Table2614256[[#This Row],[11]]="","",Table2614256[[#This Row],[Weight]:[Weight]]-(Table2614256[[#This Row],[Weight]:[Weight]]*((_xlfn.XMATCH(Table2614256[[#This Row],[11]],Table2614256[[#This Row],[1]:[11]],0))-1)/(COUNTA(Table2614256[[#This Row],[1]:[11]])-COUNTBLANK(Table2614256[[#This Row],[1]:[11]])-1)))</f>
        <v/>
      </c>
    </row>
    <row r="14" spans="1:35" ht="120" x14ac:dyDescent="0.2">
      <c r="A14" s="20">
        <v>2</v>
      </c>
      <c r="B14" s="90" t="s">
        <v>346</v>
      </c>
      <c r="C14" s="119" t="s">
        <v>215</v>
      </c>
      <c r="D14" s="146"/>
      <c r="E14" s="146"/>
      <c r="F14" s="120" t="s">
        <v>60</v>
      </c>
      <c r="G14" s="148" cm="1">
        <f t="array" ref="G14">_xlfn.IFS(F14="","",F14="No interest",0,F14="Nice to have",1,F14="Useful",2,F14="Important",3,F14="Very important",4,F14="Critical",5,F14="Show stopper",6)</f>
        <v>6</v>
      </c>
      <c r="H14" s="149">
        <f t="shared" si="0"/>
        <v>7.4503311258278151E-4</v>
      </c>
      <c r="I14" s="150" t="s">
        <v>321</v>
      </c>
      <c r="J14" s="25" t="str" cm="1">
        <f t="array" ref="J14">_xlfn.TEXTJOIN(","&amp;CHAR(10),,TEXT(Table2614256[[#This Row],[12]:[22]],"0,00%"))</f>
        <v>0,00%,
0,00%,
0,00%,
0,00%,
0,00%</v>
      </c>
      <c r="K14" s="26"/>
      <c r="L14" s="27" t="e">
        <f>H14-(H14*((MATCH(Table2614256[[#This Row],[Evaluators Response (SELECT)]],Table2614256[[#This Row],[1]:[11]],0)-1)/(COUNTA(Table2614256[[#This Row],[1]:[11]])-COUNTBLANK(Table2614256[[#This Row],[1]:[11]])-1)))</f>
        <v>#N/A</v>
      </c>
      <c r="M14" s="28"/>
      <c r="N14" s="29" t="str" cm="1">
        <f t="array" ref="N14">IFERROR(INDEX(_xlfn.UNIQUE(TRIM(_xlfn.TEXTSPLIT(Table2614256[[#This Row],[Selection Options]:[Selection Options]],","))),,N$11),"")</f>
        <v>100%: Supported as delivered "out of the box"</v>
      </c>
      <c r="O14" s="29" t="str" cm="1">
        <f t="array" ref="O14">IFERROR(INDEX(_xlfn.UNIQUE(TRIM(_xlfn.TEXTSPLIT(Table2614256[[#This Row],[Selection Options]:[Selection Options]],","))),,O$11),"")</f>
        <v xml:space="preserve">
75%: Supported via modifications (config)</v>
      </c>
      <c r="P14" s="29" t="str" cm="1">
        <f t="array" ref="P14">IFERROR(INDEX(_xlfn.UNIQUE(TRIM(_xlfn.TEXTSPLIT(Table2614256[[#This Row],[Selection Options]:[Selection Options]],","))),,P$11),"")</f>
        <v xml:space="preserve">
50%: Supported via a third party solution</v>
      </c>
      <c r="Q14" s="29" t="str" cm="1">
        <f t="array" ref="Q14">IFERROR(INDEX(_xlfn.UNIQUE(TRIM(_xlfn.TEXTSPLIT(Table2614256[[#This Row],[Selection Options]:[Selection Options]],","))),,Q$11),"")</f>
        <v xml:space="preserve">
25%: Supported via customisation (source code changes)</v>
      </c>
      <c r="R14" s="29" t="str" cm="1">
        <f t="array" ref="R14">IFERROR(INDEX(_xlfn.UNIQUE(TRIM(_xlfn.TEXTSPLIT(Table2614256[[#This Row],[Selection Options]:[Selection Options]],","))),,R$11),"")</f>
        <v xml:space="preserve">
 0%: Not currently supported</v>
      </c>
      <c r="S14" s="29" t="str" cm="1">
        <f t="array" ref="S14">IFERROR(INDEX(_xlfn.UNIQUE(TRIM(_xlfn.TEXTSPLIT(Table2614256[[#This Row],[Selection Options]:[Selection Options]],","))),,S$11),"")</f>
        <v/>
      </c>
      <c r="T14" s="29" t="str" cm="1">
        <f t="array" ref="T14">IFERROR(INDEX(_xlfn.UNIQUE(TRIM(_xlfn.TEXTSPLIT(Table2614256[[#This Row],[Selection Options]:[Selection Options]],","))),,T$11),"")</f>
        <v/>
      </c>
      <c r="U14" s="29" t="str" cm="1">
        <f t="array" ref="U14">IFERROR(INDEX(_xlfn.UNIQUE(TRIM(_xlfn.TEXTSPLIT(Table2614256[[#This Row],[Selection Options]:[Selection Options]],","))),,U$11),"")</f>
        <v/>
      </c>
      <c r="V14" s="29" t="str" cm="1">
        <f t="array" ref="V14">IFERROR(INDEX(_xlfn.UNIQUE(TRIM(_xlfn.TEXTSPLIT(Table2614256[[#This Row],[Selection Options]:[Selection Options]],","))),,V$11),"")</f>
        <v/>
      </c>
      <c r="W14" s="29" t="str" cm="1">
        <f t="array" ref="W14">IFERROR(INDEX(_xlfn.UNIQUE(TRIM(_xlfn.TEXTSPLIT(Table2614256[[#This Row],[Selection Options]:[Selection Options]],","))),,W$11),"")</f>
        <v/>
      </c>
      <c r="X14" s="29" t="str" cm="1">
        <f t="array" ref="X14">IFERROR(INDEX(_xlfn.UNIQUE(TRIM(_xlfn.TEXTSPLIT(Table2614256[[#This Row],[Selection Options]:[Selection Options]],","))),,X$11),"")</f>
        <v/>
      </c>
      <c r="Y14" s="30" cm="1">
        <f t="array" ref="Y14">IF(Table2614256[[#This Row],[1]]="","",Table2614256[[#This Row],[Weight]:[Weight]]-(Table2614256[[#This Row],[Weight]:[Weight]]*((_xlfn.XMATCH(Table2614256[[#This Row],[1]],Table2614256[[#This Row],[1]:[11]],0))-1)/(COUNTA(Table2614256[[#This Row],[1]:[11]])-COUNTBLANK(Table2614256[[#This Row],[1]:[11]])-1)))</f>
        <v>7.4503311258278151E-4</v>
      </c>
      <c r="Z14" s="30" cm="1">
        <f t="array" ref="Z14">IF(Table2614256[[#This Row],[2]]="","",Table2614256[[#This Row],[Weight]:[Weight]]-(Table2614256[[#This Row],[Weight]:[Weight]]*((_xlfn.XMATCH(Table2614256[[#This Row],[2]],Table2614256[[#This Row],[1]:[11]],0))-1)/(COUNTA(Table2614256[[#This Row],[1]:[11]])-COUNTBLANK(Table2614256[[#This Row],[1]:[11]])-1)))</f>
        <v>5.5877483443708611E-4</v>
      </c>
      <c r="AA14" s="30" cm="1">
        <f t="array" ref="AA14">IF(Table2614256[[#This Row],[3]]="","",Table2614256[[#This Row],[Weight]:[Weight]]-(Table2614256[[#This Row],[Weight]:[Weight]]*((_xlfn.XMATCH(Table2614256[[#This Row],[3]],Table2614256[[#This Row],[1]:[11]],0))-1)/(COUNTA(Table2614256[[#This Row],[1]:[11]])-COUNTBLANK(Table2614256[[#This Row],[1]:[11]])-1)))</f>
        <v>3.7251655629139076E-4</v>
      </c>
      <c r="AB14" s="30" cm="1">
        <f t="array" ref="AB14">IF(Table2614256[[#This Row],[4]]="","",Table2614256[[#This Row],[Weight]:[Weight]]-(Table2614256[[#This Row],[Weight]:[Weight]]*((_xlfn.XMATCH(Table2614256[[#This Row],[4]],Table2614256[[#This Row],[1]:[11]],0))-1)/(COUNTA(Table2614256[[#This Row],[1]:[11]])-COUNTBLANK(Table2614256[[#This Row],[1]:[11]])-1)))</f>
        <v>1.862582781456954E-4</v>
      </c>
      <c r="AC14" s="30" cm="1">
        <f t="array" ref="AC14">IF(Table2614256[[#This Row],[5]]="","",Table2614256[[#This Row],[Weight]:[Weight]]-(Table2614256[[#This Row],[Weight]:[Weight]]*((_xlfn.XMATCH(Table2614256[[#This Row],[5]],Table2614256[[#This Row],[1]:[11]],0))-1)/(COUNTA(Table2614256[[#This Row],[1]:[11]])-COUNTBLANK(Table2614256[[#This Row],[1]:[11]])-1)))</f>
        <v>0</v>
      </c>
      <c r="AD14" s="30" t="str" cm="1">
        <f t="array" ref="AD14">IF(Table2614256[[#This Row],[6]]="","",Table2614256[[#This Row],[Weight]:[Weight]]-(Table2614256[[#This Row],[Weight]:[Weight]]*((_xlfn.XMATCH(Table2614256[[#This Row],[6]],Table2614256[[#This Row],[1]:[11]],0))-1)/(COUNTA(Table2614256[[#This Row],[1]:[11]])-COUNTBLANK(Table2614256[[#This Row],[1]:[11]])-1)))</f>
        <v/>
      </c>
      <c r="AE14" s="30" t="str" cm="1">
        <f t="array" ref="AE14">IF(Table2614256[[#This Row],[7]]="","",Table2614256[[#This Row],[Weight]:[Weight]]-(Table2614256[[#This Row],[Weight]:[Weight]]*((_xlfn.XMATCH(Table2614256[[#This Row],[7]],Table2614256[[#This Row],[1]:[11]],0))-1)/(COUNTA(Table2614256[[#This Row],[1]:[11]])-COUNTBLANK(Table2614256[[#This Row],[1]:[11]])-1)))</f>
        <v/>
      </c>
      <c r="AF14" s="30" t="str" cm="1">
        <f t="array" ref="AF14">IF(Table2614256[[#This Row],[8]]="","",Table2614256[[#This Row],[Weight]:[Weight]]-(Table2614256[[#This Row],[Weight]:[Weight]]*((_xlfn.XMATCH(Table2614256[[#This Row],[8]],Table2614256[[#This Row],[1]:[11]],0))-1)/(COUNTA(Table2614256[[#This Row],[1]:[11]])-COUNTBLANK(Table2614256[[#This Row],[1]:[11]])-1)))</f>
        <v/>
      </c>
      <c r="AG14" s="30" t="str" cm="1">
        <f t="array" ref="AG14">IF(Table2614256[[#This Row],[9]]="","",Table2614256[[#This Row],[Weight]:[Weight]]-(Table2614256[[#This Row],[Weight]:[Weight]]*((_xlfn.XMATCH(Table2614256[[#This Row],[9]],Table2614256[[#This Row],[1]:[11]],0))-1)/(COUNTA(Table2614256[[#This Row],[1]:[11]])-COUNTBLANK(Table2614256[[#This Row],[1]:[11]])-1)))</f>
        <v/>
      </c>
      <c r="AH14" s="30" t="str" cm="1">
        <f t="array" ref="AH14">IF(Table2614256[[#This Row],[10]]="","",Table2614256[[#This Row],[Weight]:[Weight]]-(Table2614256[[#This Row],[Weight]:[Weight]]*((_xlfn.XMATCH(Table2614256[[#This Row],[10]],Table2614256[[#This Row],[1]:[11]],0))-1)/(COUNTA(Table2614256[[#This Row],[1]:[11]])-COUNTBLANK(Table2614256[[#This Row],[1]:[11]])-1)))</f>
        <v/>
      </c>
      <c r="AI14" s="30" t="str" cm="1">
        <f t="array" ref="AI14">IF(Table2614256[[#This Row],[11]]="","",Table2614256[[#This Row],[Weight]:[Weight]]-(Table2614256[[#This Row],[Weight]:[Weight]]*((_xlfn.XMATCH(Table2614256[[#This Row],[11]],Table2614256[[#This Row],[1]:[11]],0))-1)/(COUNTA(Table2614256[[#This Row],[1]:[11]])-COUNTBLANK(Table2614256[[#This Row],[1]:[11]])-1)))</f>
        <v/>
      </c>
    </row>
    <row r="15" spans="1:35" ht="120" x14ac:dyDescent="0.2">
      <c r="A15" s="20">
        <v>3</v>
      </c>
      <c r="B15" s="119" t="s">
        <v>347</v>
      </c>
      <c r="C15" s="119" t="s">
        <v>215</v>
      </c>
      <c r="D15" s="147"/>
      <c r="E15" s="147"/>
      <c r="F15" s="121" t="s">
        <v>60</v>
      </c>
      <c r="G15" s="151" cm="1">
        <f t="array" ref="G15">_xlfn.IFS(F15="","",F15="No interest",0,F15="Nice to have",1,F15="Useful",2,F15="Important",3,F15="Very important",4,F15="Critical",5,F15="Show stopper",6)</f>
        <v>6</v>
      </c>
      <c r="H15" s="152">
        <f t="shared" si="0"/>
        <v>7.4503311258278151E-4</v>
      </c>
      <c r="I15" s="150" t="s">
        <v>321</v>
      </c>
      <c r="J15" s="35" t="str" cm="1">
        <f t="array" ref="J15">_xlfn.TEXTJOIN(","&amp;CHAR(10),,TEXT(Table2614256[[#This Row],[12]:[22]],"0,00%"))</f>
        <v>0,00%,
0,00%,
0,00%,
0,00%,
0,00%</v>
      </c>
      <c r="K15" s="36"/>
      <c r="L15" s="37" t="e">
        <f>H15-(H15*((MATCH(Table2614256[[#This Row],[Evaluators Response (SELECT)]],Table2614256[[#This Row],[1]:[11]],0)-1)/(COUNTA(Table2614256[[#This Row],[1]:[11]])-COUNTBLANK(Table2614256[[#This Row],[1]:[11]])-1)))</f>
        <v>#N/A</v>
      </c>
      <c r="M15" s="38"/>
      <c r="N15" s="29" t="str" cm="1">
        <f t="array" ref="N15">IFERROR(INDEX(_xlfn.UNIQUE(TRIM(_xlfn.TEXTSPLIT(Table2614256[[#This Row],[Selection Options]:[Selection Options]],","))),,N$11),"")</f>
        <v>100%: Supported as delivered "out of the box"</v>
      </c>
      <c r="O15" s="29" t="str" cm="1">
        <f t="array" ref="O15">IFERROR(INDEX(_xlfn.UNIQUE(TRIM(_xlfn.TEXTSPLIT(Table2614256[[#This Row],[Selection Options]:[Selection Options]],","))),,O$11),"")</f>
        <v xml:space="preserve">
75%: Supported via modifications (config)</v>
      </c>
      <c r="P15" s="29" t="str" cm="1">
        <f t="array" ref="P15">IFERROR(INDEX(_xlfn.UNIQUE(TRIM(_xlfn.TEXTSPLIT(Table2614256[[#This Row],[Selection Options]:[Selection Options]],","))),,P$11),"")</f>
        <v xml:space="preserve">
50%: Supported via a third party solution</v>
      </c>
      <c r="Q15" s="29" t="str" cm="1">
        <f t="array" ref="Q15">IFERROR(INDEX(_xlfn.UNIQUE(TRIM(_xlfn.TEXTSPLIT(Table2614256[[#This Row],[Selection Options]:[Selection Options]],","))),,Q$11),"")</f>
        <v xml:space="preserve">
25%: Supported via customisation (source code changes)</v>
      </c>
      <c r="R15" s="29" t="str" cm="1">
        <f t="array" ref="R15">IFERROR(INDEX(_xlfn.UNIQUE(TRIM(_xlfn.TEXTSPLIT(Table2614256[[#This Row],[Selection Options]:[Selection Options]],","))),,R$11),"")</f>
        <v xml:space="preserve">
 0%: Not currently supported</v>
      </c>
      <c r="S15" s="29" t="str" cm="1">
        <f t="array" ref="S15">IFERROR(INDEX(_xlfn.UNIQUE(TRIM(_xlfn.TEXTSPLIT(Table2614256[[#This Row],[Selection Options]:[Selection Options]],","))),,S$11),"")</f>
        <v/>
      </c>
      <c r="T15" s="29" t="str" cm="1">
        <f t="array" ref="T15">IFERROR(INDEX(_xlfn.UNIQUE(TRIM(_xlfn.TEXTSPLIT(Table2614256[[#This Row],[Selection Options]:[Selection Options]],","))),,T$11),"")</f>
        <v/>
      </c>
      <c r="U15" s="29" t="str" cm="1">
        <f t="array" ref="U15">IFERROR(INDEX(_xlfn.UNIQUE(TRIM(_xlfn.TEXTSPLIT(Table2614256[[#This Row],[Selection Options]:[Selection Options]],","))),,U$11),"")</f>
        <v/>
      </c>
      <c r="V15" s="29" t="str" cm="1">
        <f t="array" ref="V15">IFERROR(INDEX(_xlfn.UNIQUE(TRIM(_xlfn.TEXTSPLIT(Table2614256[[#This Row],[Selection Options]:[Selection Options]],","))),,V$11),"")</f>
        <v/>
      </c>
      <c r="W15" s="29" t="str" cm="1">
        <f t="array" ref="W15">IFERROR(INDEX(_xlfn.UNIQUE(TRIM(_xlfn.TEXTSPLIT(Table2614256[[#This Row],[Selection Options]:[Selection Options]],","))),,W$11),"")</f>
        <v/>
      </c>
      <c r="X15" s="29" t="str" cm="1">
        <f t="array" ref="X15">IFERROR(INDEX(_xlfn.UNIQUE(TRIM(_xlfn.TEXTSPLIT(Table2614256[[#This Row],[Selection Options]:[Selection Options]],","))),,X$11),"")</f>
        <v/>
      </c>
      <c r="Y15" s="30" cm="1">
        <f t="array" ref="Y15">IF(Table2614256[[#This Row],[1]]="","",Table2614256[[#This Row],[Weight]:[Weight]]-(Table2614256[[#This Row],[Weight]:[Weight]]*((_xlfn.XMATCH(Table2614256[[#This Row],[1]],Table2614256[[#This Row],[1]:[11]],0))-1)/(COUNTA(Table2614256[[#This Row],[1]:[11]])-COUNTBLANK(Table2614256[[#This Row],[1]:[11]])-1)))</f>
        <v>7.4503311258278151E-4</v>
      </c>
      <c r="Z15" s="30" cm="1">
        <f t="array" ref="Z15">IF(Table2614256[[#This Row],[2]]="","",Table2614256[[#This Row],[Weight]:[Weight]]-(Table2614256[[#This Row],[Weight]:[Weight]]*((_xlfn.XMATCH(Table2614256[[#This Row],[2]],Table2614256[[#This Row],[1]:[11]],0))-1)/(COUNTA(Table2614256[[#This Row],[1]:[11]])-COUNTBLANK(Table2614256[[#This Row],[1]:[11]])-1)))</f>
        <v>5.5877483443708611E-4</v>
      </c>
      <c r="AA15" s="30" cm="1">
        <f t="array" ref="AA15">IF(Table2614256[[#This Row],[3]]="","",Table2614256[[#This Row],[Weight]:[Weight]]-(Table2614256[[#This Row],[Weight]:[Weight]]*((_xlfn.XMATCH(Table2614256[[#This Row],[3]],Table2614256[[#This Row],[1]:[11]],0))-1)/(COUNTA(Table2614256[[#This Row],[1]:[11]])-COUNTBLANK(Table2614256[[#This Row],[1]:[11]])-1)))</f>
        <v>3.7251655629139076E-4</v>
      </c>
      <c r="AB15" s="30" cm="1">
        <f t="array" ref="AB15">IF(Table2614256[[#This Row],[4]]="","",Table2614256[[#This Row],[Weight]:[Weight]]-(Table2614256[[#This Row],[Weight]:[Weight]]*((_xlfn.XMATCH(Table2614256[[#This Row],[4]],Table2614256[[#This Row],[1]:[11]],0))-1)/(COUNTA(Table2614256[[#This Row],[1]:[11]])-COUNTBLANK(Table2614256[[#This Row],[1]:[11]])-1)))</f>
        <v>1.862582781456954E-4</v>
      </c>
      <c r="AC15" s="30" cm="1">
        <f t="array" ref="AC15">IF(Table2614256[[#This Row],[5]]="","",Table2614256[[#This Row],[Weight]:[Weight]]-(Table2614256[[#This Row],[Weight]:[Weight]]*((_xlfn.XMATCH(Table2614256[[#This Row],[5]],Table2614256[[#This Row],[1]:[11]],0))-1)/(COUNTA(Table2614256[[#This Row],[1]:[11]])-COUNTBLANK(Table2614256[[#This Row],[1]:[11]])-1)))</f>
        <v>0</v>
      </c>
      <c r="AD15" s="30" t="str" cm="1">
        <f t="array" ref="AD15">IF(Table2614256[[#This Row],[6]]="","",Table2614256[[#This Row],[Weight]:[Weight]]-(Table2614256[[#This Row],[Weight]:[Weight]]*((_xlfn.XMATCH(Table2614256[[#This Row],[6]],Table2614256[[#This Row],[1]:[11]],0))-1)/(COUNTA(Table2614256[[#This Row],[1]:[11]])-COUNTBLANK(Table2614256[[#This Row],[1]:[11]])-1)))</f>
        <v/>
      </c>
      <c r="AE15" s="30" t="str" cm="1">
        <f t="array" ref="AE15">IF(Table2614256[[#This Row],[7]]="","",Table2614256[[#This Row],[Weight]:[Weight]]-(Table2614256[[#This Row],[Weight]:[Weight]]*((_xlfn.XMATCH(Table2614256[[#This Row],[7]],Table2614256[[#This Row],[1]:[11]],0))-1)/(COUNTA(Table2614256[[#This Row],[1]:[11]])-COUNTBLANK(Table2614256[[#This Row],[1]:[11]])-1)))</f>
        <v/>
      </c>
      <c r="AF15" s="30" t="str" cm="1">
        <f t="array" ref="AF15">IF(Table2614256[[#This Row],[8]]="","",Table2614256[[#This Row],[Weight]:[Weight]]-(Table2614256[[#This Row],[Weight]:[Weight]]*((_xlfn.XMATCH(Table2614256[[#This Row],[8]],Table2614256[[#This Row],[1]:[11]],0))-1)/(COUNTA(Table2614256[[#This Row],[1]:[11]])-COUNTBLANK(Table2614256[[#This Row],[1]:[11]])-1)))</f>
        <v/>
      </c>
      <c r="AG15" s="30" t="str" cm="1">
        <f t="array" ref="AG15">IF(Table2614256[[#This Row],[9]]="","",Table2614256[[#This Row],[Weight]:[Weight]]-(Table2614256[[#This Row],[Weight]:[Weight]]*((_xlfn.XMATCH(Table2614256[[#This Row],[9]],Table2614256[[#This Row],[1]:[11]],0))-1)/(COUNTA(Table2614256[[#This Row],[1]:[11]])-COUNTBLANK(Table2614256[[#This Row],[1]:[11]])-1)))</f>
        <v/>
      </c>
      <c r="AH15" s="30" t="str" cm="1">
        <f t="array" ref="AH15">IF(Table2614256[[#This Row],[10]]="","",Table2614256[[#This Row],[Weight]:[Weight]]-(Table2614256[[#This Row],[Weight]:[Weight]]*((_xlfn.XMATCH(Table2614256[[#This Row],[10]],Table2614256[[#This Row],[1]:[11]],0))-1)/(COUNTA(Table2614256[[#This Row],[1]:[11]])-COUNTBLANK(Table2614256[[#This Row],[1]:[11]])-1)))</f>
        <v/>
      </c>
      <c r="AI15" s="30" t="str" cm="1">
        <f t="array" ref="AI15">IF(Table2614256[[#This Row],[11]]="","",Table2614256[[#This Row],[Weight]:[Weight]]-(Table2614256[[#This Row],[Weight]:[Weight]]*((_xlfn.XMATCH(Table2614256[[#This Row],[11]],Table2614256[[#This Row],[1]:[11]],0))-1)/(COUNTA(Table2614256[[#This Row],[1]:[11]])-COUNTBLANK(Table2614256[[#This Row],[1]:[11]])-1)))</f>
        <v/>
      </c>
    </row>
    <row r="16" spans="1:35" ht="120" x14ac:dyDescent="0.2">
      <c r="A16" s="20">
        <v>4</v>
      </c>
      <c r="B16" s="90" t="s">
        <v>348</v>
      </c>
      <c r="C16" s="119" t="s">
        <v>215</v>
      </c>
      <c r="D16" s="146"/>
      <c r="E16" s="146"/>
      <c r="F16" s="120" t="s">
        <v>188</v>
      </c>
      <c r="G16" s="148" cm="1">
        <f t="array" ref="G16">_xlfn.IFS(F16="","",F16="No interest",0,F16="Nice to have",1,F16="Useful",2,F16="Important",3,F16="Very important",4,F16="Critical",5,F16="Show stopper",6)</f>
        <v>5</v>
      </c>
      <c r="H16" s="149">
        <f t="shared" si="0"/>
        <v>6.2086092715231791E-4</v>
      </c>
      <c r="I16" s="150" t="s">
        <v>321</v>
      </c>
      <c r="J16" s="25" t="str" cm="1">
        <f t="array" ref="J16">_xlfn.TEXTJOIN(","&amp;CHAR(10),,TEXT(Table2614256[[#This Row],[12]:[22]],"0,00%"))</f>
        <v>0,00%,
0,00%,
0,00%,
0,00%,
0,00%</v>
      </c>
      <c r="K16" s="26"/>
      <c r="L16" s="27" t="e">
        <f>H16-(H16*((MATCH(Table2614256[[#This Row],[Evaluators Response (SELECT)]],Table2614256[[#This Row],[1]:[11]],0)-1)/(COUNTA(Table2614256[[#This Row],[1]:[11]])-COUNTBLANK(Table2614256[[#This Row],[1]:[11]])-1)))</f>
        <v>#N/A</v>
      </c>
      <c r="M16" s="28"/>
      <c r="N16" s="29" t="str" cm="1">
        <f t="array" ref="N16">IFERROR(INDEX(_xlfn.UNIQUE(TRIM(_xlfn.TEXTSPLIT(Table2614256[[#This Row],[Selection Options]:[Selection Options]],","))),,N$11),"")</f>
        <v>100%: Supported as delivered "out of the box"</v>
      </c>
      <c r="O16" s="29" t="str" cm="1">
        <f t="array" ref="O16">IFERROR(INDEX(_xlfn.UNIQUE(TRIM(_xlfn.TEXTSPLIT(Table2614256[[#This Row],[Selection Options]:[Selection Options]],","))),,O$11),"")</f>
        <v xml:space="preserve">
75%: Supported via modifications (config)</v>
      </c>
      <c r="P16" s="29" t="str" cm="1">
        <f t="array" ref="P16">IFERROR(INDEX(_xlfn.UNIQUE(TRIM(_xlfn.TEXTSPLIT(Table2614256[[#This Row],[Selection Options]:[Selection Options]],","))),,P$11),"")</f>
        <v xml:space="preserve">
50%: Supported via a third party solution</v>
      </c>
      <c r="Q16" s="29" t="str" cm="1">
        <f t="array" ref="Q16">IFERROR(INDEX(_xlfn.UNIQUE(TRIM(_xlfn.TEXTSPLIT(Table2614256[[#This Row],[Selection Options]:[Selection Options]],","))),,Q$11),"")</f>
        <v xml:space="preserve">
25%: Supported via customisation (source code changes)</v>
      </c>
      <c r="R16" s="29" t="str" cm="1">
        <f t="array" ref="R16">IFERROR(INDEX(_xlfn.UNIQUE(TRIM(_xlfn.TEXTSPLIT(Table2614256[[#This Row],[Selection Options]:[Selection Options]],","))),,R$11),"")</f>
        <v xml:space="preserve">
 0%: Not currently supported</v>
      </c>
      <c r="S16" s="29" t="str" cm="1">
        <f t="array" ref="S16">IFERROR(INDEX(_xlfn.UNIQUE(TRIM(_xlfn.TEXTSPLIT(Table2614256[[#This Row],[Selection Options]:[Selection Options]],","))),,S$11),"")</f>
        <v/>
      </c>
      <c r="T16" s="29" t="str" cm="1">
        <f t="array" ref="T16">IFERROR(INDEX(_xlfn.UNIQUE(TRIM(_xlfn.TEXTSPLIT(Table2614256[[#This Row],[Selection Options]:[Selection Options]],","))),,T$11),"")</f>
        <v/>
      </c>
      <c r="U16" s="29" t="str" cm="1">
        <f t="array" ref="U16">IFERROR(INDEX(_xlfn.UNIQUE(TRIM(_xlfn.TEXTSPLIT(Table2614256[[#This Row],[Selection Options]:[Selection Options]],","))),,U$11),"")</f>
        <v/>
      </c>
      <c r="V16" s="29" t="str" cm="1">
        <f t="array" ref="V16">IFERROR(INDEX(_xlfn.UNIQUE(TRIM(_xlfn.TEXTSPLIT(Table2614256[[#This Row],[Selection Options]:[Selection Options]],","))),,V$11),"")</f>
        <v/>
      </c>
      <c r="W16" s="29" t="str" cm="1">
        <f t="array" ref="W16">IFERROR(INDEX(_xlfn.UNIQUE(TRIM(_xlfn.TEXTSPLIT(Table2614256[[#This Row],[Selection Options]:[Selection Options]],","))),,W$11),"")</f>
        <v/>
      </c>
      <c r="X16" s="29" t="str" cm="1">
        <f t="array" ref="X16">IFERROR(INDEX(_xlfn.UNIQUE(TRIM(_xlfn.TEXTSPLIT(Table2614256[[#This Row],[Selection Options]:[Selection Options]],","))),,X$11),"")</f>
        <v/>
      </c>
      <c r="Y16" s="30" cm="1">
        <f t="array" ref="Y16">IF(Table2614256[[#This Row],[1]]="","",Table2614256[[#This Row],[Weight]:[Weight]]-(Table2614256[[#This Row],[Weight]:[Weight]]*((_xlfn.XMATCH(Table2614256[[#This Row],[1]],Table2614256[[#This Row],[1]:[11]],0))-1)/(COUNTA(Table2614256[[#This Row],[1]:[11]])-COUNTBLANK(Table2614256[[#This Row],[1]:[11]])-1)))</f>
        <v>6.2086092715231791E-4</v>
      </c>
      <c r="Z16" s="30" cm="1">
        <f t="array" ref="Z16">IF(Table2614256[[#This Row],[2]]="","",Table2614256[[#This Row],[Weight]:[Weight]]-(Table2614256[[#This Row],[Weight]:[Weight]]*((_xlfn.XMATCH(Table2614256[[#This Row],[2]],Table2614256[[#This Row],[1]:[11]],0))-1)/(COUNTA(Table2614256[[#This Row],[1]:[11]])-COUNTBLANK(Table2614256[[#This Row],[1]:[11]])-1)))</f>
        <v>4.656456953642384E-4</v>
      </c>
      <c r="AA16" s="30" cm="1">
        <f t="array" ref="AA16">IF(Table2614256[[#This Row],[3]]="","",Table2614256[[#This Row],[Weight]:[Weight]]-(Table2614256[[#This Row],[Weight]:[Weight]]*((_xlfn.XMATCH(Table2614256[[#This Row],[3]],Table2614256[[#This Row],[1]:[11]],0))-1)/(COUNTA(Table2614256[[#This Row],[1]:[11]])-COUNTBLANK(Table2614256[[#This Row],[1]:[11]])-1)))</f>
        <v>3.1043046357615895E-4</v>
      </c>
      <c r="AB16" s="30" cm="1">
        <f t="array" ref="AB16">IF(Table2614256[[#This Row],[4]]="","",Table2614256[[#This Row],[Weight]:[Weight]]-(Table2614256[[#This Row],[Weight]:[Weight]]*((_xlfn.XMATCH(Table2614256[[#This Row],[4]],Table2614256[[#This Row],[1]:[11]],0))-1)/(COUNTA(Table2614256[[#This Row],[1]:[11]])-COUNTBLANK(Table2614256[[#This Row],[1]:[11]])-1)))</f>
        <v>1.552152317880795E-4</v>
      </c>
      <c r="AC16" s="30" cm="1">
        <f t="array" ref="AC16">IF(Table2614256[[#This Row],[5]]="","",Table2614256[[#This Row],[Weight]:[Weight]]-(Table2614256[[#This Row],[Weight]:[Weight]]*((_xlfn.XMATCH(Table2614256[[#This Row],[5]],Table2614256[[#This Row],[1]:[11]],0))-1)/(COUNTA(Table2614256[[#This Row],[1]:[11]])-COUNTBLANK(Table2614256[[#This Row],[1]:[11]])-1)))</f>
        <v>0</v>
      </c>
      <c r="AD16" s="30" t="str" cm="1">
        <f t="array" ref="AD16">IF(Table2614256[[#This Row],[6]]="","",Table2614256[[#This Row],[Weight]:[Weight]]-(Table2614256[[#This Row],[Weight]:[Weight]]*((_xlfn.XMATCH(Table2614256[[#This Row],[6]],Table2614256[[#This Row],[1]:[11]],0))-1)/(COUNTA(Table2614256[[#This Row],[1]:[11]])-COUNTBLANK(Table2614256[[#This Row],[1]:[11]])-1)))</f>
        <v/>
      </c>
      <c r="AE16" s="30" t="str" cm="1">
        <f t="array" ref="AE16">IF(Table2614256[[#This Row],[7]]="","",Table2614256[[#This Row],[Weight]:[Weight]]-(Table2614256[[#This Row],[Weight]:[Weight]]*((_xlfn.XMATCH(Table2614256[[#This Row],[7]],Table2614256[[#This Row],[1]:[11]],0))-1)/(COUNTA(Table2614256[[#This Row],[1]:[11]])-COUNTBLANK(Table2614256[[#This Row],[1]:[11]])-1)))</f>
        <v/>
      </c>
      <c r="AF16" s="30" t="str" cm="1">
        <f t="array" ref="AF16">IF(Table2614256[[#This Row],[8]]="","",Table2614256[[#This Row],[Weight]:[Weight]]-(Table2614256[[#This Row],[Weight]:[Weight]]*((_xlfn.XMATCH(Table2614256[[#This Row],[8]],Table2614256[[#This Row],[1]:[11]],0))-1)/(COUNTA(Table2614256[[#This Row],[1]:[11]])-COUNTBLANK(Table2614256[[#This Row],[1]:[11]])-1)))</f>
        <v/>
      </c>
      <c r="AG16" s="30" t="str" cm="1">
        <f t="array" ref="AG16">IF(Table2614256[[#This Row],[9]]="","",Table2614256[[#This Row],[Weight]:[Weight]]-(Table2614256[[#This Row],[Weight]:[Weight]]*((_xlfn.XMATCH(Table2614256[[#This Row],[9]],Table2614256[[#This Row],[1]:[11]],0))-1)/(COUNTA(Table2614256[[#This Row],[1]:[11]])-COUNTBLANK(Table2614256[[#This Row],[1]:[11]])-1)))</f>
        <v/>
      </c>
      <c r="AH16" s="30" t="str" cm="1">
        <f t="array" ref="AH16">IF(Table2614256[[#This Row],[10]]="","",Table2614256[[#This Row],[Weight]:[Weight]]-(Table2614256[[#This Row],[Weight]:[Weight]]*((_xlfn.XMATCH(Table2614256[[#This Row],[10]],Table2614256[[#This Row],[1]:[11]],0))-1)/(COUNTA(Table2614256[[#This Row],[1]:[11]])-COUNTBLANK(Table2614256[[#This Row],[1]:[11]])-1)))</f>
        <v/>
      </c>
      <c r="AI16" s="30" t="str" cm="1">
        <f t="array" ref="AI16">IF(Table2614256[[#This Row],[11]]="","",Table2614256[[#This Row],[Weight]:[Weight]]-(Table2614256[[#This Row],[Weight]:[Weight]]*((_xlfn.XMATCH(Table2614256[[#This Row],[11]],Table2614256[[#This Row],[1]:[11]],0))-1)/(COUNTA(Table2614256[[#This Row],[1]:[11]])-COUNTBLANK(Table2614256[[#This Row],[1]:[11]])-1)))</f>
        <v/>
      </c>
    </row>
    <row r="17" spans="1:35" ht="120" x14ac:dyDescent="0.2">
      <c r="A17" s="20">
        <v>5</v>
      </c>
      <c r="B17" s="90" t="s">
        <v>349</v>
      </c>
      <c r="C17" s="119" t="s">
        <v>215</v>
      </c>
      <c r="D17" s="146"/>
      <c r="E17" s="146"/>
      <c r="F17" s="120" t="s">
        <v>60</v>
      </c>
      <c r="G17" s="148" cm="1">
        <f t="array" ref="G17">_xlfn.IFS(F17="","",F17="No interest",0,F17="Nice to have",1,F17="Useful",2,F17="Important",3,F17="Very important",4,F17="Critical",5,F17="Show stopper",6)</f>
        <v>6</v>
      </c>
      <c r="H17" s="149">
        <f>(G17/$G$11)*$F$11</f>
        <v>7.4503311258278151E-4</v>
      </c>
      <c r="I17" s="150" t="s">
        <v>321</v>
      </c>
      <c r="J17" s="35" t="str" cm="1">
        <f t="array" ref="J17">_xlfn.TEXTJOIN(","&amp;CHAR(10),,TEXT(Table2614256[[#This Row],[12]:[22]],"0,00%"))</f>
        <v>0,00%,
0,00%,
0,00%,
0,00%,
0,00%</v>
      </c>
      <c r="K17" s="26"/>
      <c r="L17" s="27" t="e">
        <f>H17-(H17*((MATCH(Table2614256[[#This Row],[Evaluators Response (SELECT)]],Table2614256[[#This Row],[1]:[11]],0)-1)/(COUNTA(Table2614256[[#This Row],[1]:[11]])-COUNTBLANK(Table2614256[[#This Row],[1]:[11]])-1)))</f>
        <v>#N/A</v>
      </c>
      <c r="M17" s="28"/>
      <c r="N17" s="29" t="str" cm="1">
        <f t="array" ref="N17">IFERROR(INDEX(_xlfn.UNIQUE(TRIM(_xlfn.TEXTSPLIT(Table2614256[[#This Row],[Selection Options]:[Selection Options]],","))),,N$11),"")</f>
        <v>100%: Supported as delivered "out of the box"</v>
      </c>
      <c r="O17" s="29" t="str" cm="1">
        <f t="array" ref="O17">IFERROR(INDEX(_xlfn.UNIQUE(TRIM(_xlfn.TEXTSPLIT(Table2614256[[#This Row],[Selection Options]:[Selection Options]],","))),,O$11),"")</f>
        <v xml:space="preserve">
75%: Supported via modifications (config)</v>
      </c>
      <c r="P17" s="29" t="str" cm="1">
        <f t="array" ref="P17">IFERROR(INDEX(_xlfn.UNIQUE(TRIM(_xlfn.TEXTSPLIT(Table2614256[[#This Row],[Selection Options]:[Selection Options]],","))),,P$11),"")</f>
        <v xml:space="preserve">
50%: Supported via a third party solution</v>
      </c>
      <c r="Q17" s="29" t="str" cm="1">
        <f t="array" ref="Q17">IFERROR(INDEX(_xlfn.UNIQUE(TRIM(_xlfn.TEXTSPLIT(Table2614256[[#This Row],[Selection Options]:[Selection Options]],","))),,Q$11),"")</f>
        <v xml:space="preserve">
25%: Supported via customisation (source code changes)</v>
      </c>
      <c r="R17" s="29" t="str" cm="1">
        <f t="array" ref="R17">IFERROR(INDEX(_xlfn.UNIQUE(TRIM(_xlfn.TEXTSPLIT(Table2614256[[#This Row],[Selection Options]:[Selection Options]],","))),,R$11),"")</f>
        <v xml:space="preserve">
 0%: Not currently supported</v>
      </c>
      <c r="S17" s="29" t="str" cm="1">
        <f t="array" ref="S17">IFERROR(INDEX(_xlfn.UNIQUE(TRIM(_xlfn.TEXTSPLIT(Table2614256[[#This Row],[Selection Options]:[Selection Options]],","))),,S$11),"")</f>
        <v/>
      </c>
      <c r="T17" s="29" t="str" cm="1">
        <f t="array" ref="T17">IFERROR(INDEX(_xlfn.UNIQUE(TRIM(_xlfn.TEXTSPLIT(Table2614256[[#This Row],[Selection Options]:[Selection Options]],","))),,T$11),"")</f>
        <v/>
      </c>
      <c r="U17" s="29" t="str" cm="1">
        <f t="array" ref="U17">IFERROR(INDEX(_xlfn.UNIQUE(TRIM(_xlfn.TEXTSPLIT(Table2614256[[#This Row],[Selection Options]:[Selection Options]],","))),,U$11),"")</f>
        <v/>
      </c>
      <c r="V17" s="29" t="str" cm="1">
        <f t="array" ref="V17">IFERROR(INDEX(_xlfn.UNIQUE(TRIM(_xlfn.TEXTSPLIT(Table2614256[[#This Row],[Selection Options]:[Selection Options]],","))),,V$11),"")</f>
        <v/>
      </c>
      <c r="W17" s="29" t="str" cm="1">
        <f t="array" ref="W17">IFERROR(INDEX(_xlfn.UNIQUE(TRIM(_xlfn.TEXTSPLIT(Table2614256[[#This Row],[Selection Options]:[Selection Options]],","))),,W$11),"")</f>
        <v/>
      </c>
      <c r="X17" s="29" t="str" cm="1">
        <f t="array" ref="X17">IFERROR(INDEX(_xlfn.UNIQUE(TRIM(_xlfn.TEXTSPLIT(Table2614256[[#This Row],[Selection Options]:[Selection Options]],","))),,X$11),"")</f>
        <v/>
      </c>
      <c r="Y17" s="30" cm="1">
        <f t="array" ref="Y17">IF(Table2614256[[#This Row],[1]]="","",Table2614256[[#This Row],[Weight]:[Weight]]-(Table2614256[[#This Row],[Weight]:[Weight]]*((_xlfn.XMATCH(Table2614256[[#This Row],[1]],Table2614256[[#This Row],[1]:[11]],0))-1)/(COUNTA(Table2614256[[#This Row],[1]:[11]])-COUNTBLANK(Table2614256[[#This Row],[1]:[11]])-1)))</f>
        <v>7.4503311258278151E-4</v>
      </c>
      <c r="Z17" s="30" cm="1">
        <f t="array" ref="Z17">IF(Table2614256[[#This Row],[2]]="","",Table2614256[[#This Row],[Weight]:[Weight]]-(Table2614256[[#This Row],[Weight]:[Weight]]*((_xlfn.XMATCH(Table2614256[[#This Row],[2]],Table2614256[[#This Row],[1]:[11]],0))-1)/(COUNTA(Table2614256[[#This Row],[1]:[11]])-COUNTBLANK(Table2614256[[#This Row],[1]:[11]])-1)))</f>
        <v>5.5877483443708611E-4</v>
      </c>
      <c r="AA17" s="30" cm="1">
        <f t="array" ref="AA17">IF(Table2614256[[#This Row],[3]]="","",Table2614256[[#This Row],[Weight]:[Weight]]-(Table2614256[[#This Row],[Weight]:[Weight]]*((_xlfn.XMATCH(Table2614256[[#This Row],[3]],Table2614256[[#This Row],[1]:[11]],0))-1)/(COUNTA(Table2614256[[#This Row],[1]:[11]])-COUNTBLANK(Table2614256[[#This Row],[1]:[11]])-1)))</f>
        <v>3.7251655629139076E-4</v>
      </c>
      <c r="AB17" s="30" cm="1">
        <f t="array" ref="AB17">IF(Table2614256[[#This Row],[4]]="","",Table2614256[[#This Row],[Weight]:[Weight]]-(Table2614256[[#This Row],[Weight]:[Weight]]*((_xlfn.XMATCH(Table2614256[[#This Row],[4]],Table2614256[[#This Row],[1]:[11]],0))-1)/(COUNTA(Table2614256[[#This Row],[1]:[11]])-COUNTBLANK(Table2614256[[#This Row],[1]:[11]])-1)))</f>
        <v>1.862582781456954E-4</v>
      </c>
      <c r="AC17" s="30" cm="1">
        <f t="array" ref="AC17">IF(Table2614256[[#This Row],[5]]="","",Table2614256[[#This Row],[Weight]:[Weight]]-(Table2614256[[#This Row],[Weight]:[Weight]]*((_xlfn.XMATCH(Table2614256[[#This Row],[5]],Table2614256[[#This Row],[1]:[11]],0))-1)/(COUNTA(Table2614256[[#This Row],[1]:[11]])-COUNTBLANK(Table2614256[[#This Row],[1]:[11]])-1)))</f>
        <v>0</v>
      </c>
      <c r="AD17" s="30" t="str" cm="1">
        <f t="array" ref="AD17">IF(Table2614256[[#This Row],[6]]="","",Table2614256[[#This Row],[Weight]:[Weight]]-(Table2614256[[#This Row],[Weight]:[Weight]]*((_xlfn.XMATCH(Table2614256[[#This Row],[6]],Table2614256[[#This Row],[1]:[11]],0))-1)/(COUNTA(Table2614256[[#This Row],[1]:[11]])-COUNTBLANK(Table2614256[[#This Row],[1]:[11]])-1)))</f>
        <v/>
      </c>
      <c r="AE17" s="30" t="str" cm="1">
        <f t="array" ref="AE17">IF(Table2614256[[#This Row],[7]]="","",Table2614256[[#This Row],[Weight]:[Weight]]-(Table2614256[[#This Row],[Weight]:[Weight]]*((_xlfn.XMATCH(Table2614256[[#This Row],[7]],Table2614256[[#This Row],[1]:[11]],0))-1)/(COUNTA(Table2614256[[#This Row],[1]:[11]])-COUNTBLANK(Table2614256[[#This Row],[1]:[11]])-1)))</f>
        <v/>
      </c>
      <c r="AF17" s="30" t="str" cm="1">
        <f t="array" ref="AF17">IF(Table2614256[[#This Row],[8]]="","",Table2614256[[#This Row],[Weight]:[Weight]]-(Table2614256[[#This Row],[Weight]:[Weight]]*((_xlfn.XMATCH(Table2614256[[#This Row],[8]],Table2614256[[#This Row],[1]:[11]],0))-1)/(COUNTA(Table2614256[[#This Row],[1]:[11]])-COUNTBLANK(Table2614256[[#This Row],[1]:[11]])-1)))</f>
        <v/>
      </c>
      <c r="AG17" s="30" t="str" cm="1">
        <f t="array" ref="AG17">IF(Table2614256[[#This Row],[9]]="","",Table2614256[[#This Row],[Weight]:[Weight]]-(Table2614256[[#This Row],[Weight]:[Weight]]*((_xlfn.XMATCH(Table2614256[[#This Row],[9]],Table2614256[[#This Row],[1]:[11]],0))-1)/(COUNTA(Table2614256[[#This Row],[1]:[11]])-COUNTBLANK(Table2614256[[#This Row],[1]:[11]])-1)))</f>
        <v/>
      </c>
      <c r="AH17" s="30" t="str" cm="1">
        <f t="array" ref="AH17">IF(Table2614256[[#This Row],[10]]="","",Table2614256[[#This Row],[Weight]:[Weight]]-(Table2614256[[#This Row],[Weight]:[Weight]]*((_xlfn.XMATCH(Table2614256[[#This Row],[10]],Table2614256[[#This Row],[1]:[11]],0))-1)/(COUNTA(Table2614256[[#This Row],[1]:[11]])-COUNTBLANK(Table2614256[[#This Row],[1]:[11]])-1)))</f>
        <v/>
      </c>
      <c r="AI17" s="30" t="str" cm="1">
        <f t="array" ref="AI17">IF(Table2614256[[#This Row],[11]]="","",Table2614256[[#This Row],[Weight]:[Weight]]-(Table2614256[[#This Row],[Weight]:[Weight]]*((_xlfn.XMATCH(Table2614256[[#This Row],[11]],Table2614256[[#This Row],[1]:[11]],0))-1)/(COUNTA(Table2614256[[#This Row],[1]:[11]])-COUNTBLANK(Table2614256[[#This Row],[1]:[11]])-1)))</f>
        <v/>
      </c>
    </row>
    <row r="18" spans="1:35" ht="120" x14ac:dyDescent="0.2">
      <c r="A18" s="20">
        <v>6</v>
      </c>
      <c r="B18" s="119" t="s">
        <v>222</v>
      </c>
      <c r="C18" s="119" t="s">
        <v>215</v>
      </c>
      <c r="D18" s="147"/>
      <c r="E18" s="147"/>
      <c r="F18" s="121" t="s">
        <v>183</v>
      </c>
      <c r="G18" s="151" cm="1">
        <f t="array" ref="G18">_xlfn.IFS(F18="","",F18="No interest",0,F18="Nice to have",1,F18="Useful",2,F18="Important",3,F18="Very important",4,F18="Critical",5,F18="Show stopper",6)</f>
        <v>4</v>
      </c>
      <c r="H18" s="152">
        <f t="shared" ref="H18:H37" si="1">(G18/$G$11)*$F$11</f>
        <v>4.966887417218543E-4</v>
      </c>
      <c r="I18" s="150" t="s">
        <v>321</v>
      </c>
      <c r="J18" s="35" t="str" cm="1">
        <f t="array" ref="J18">_xlfn.TEXTJOIN(","&amp;CHAR(10),,TEXT(Table2614256[[#This Row],[12]:[22]],"0,00%"))</f>
        <v>0,00%,
0,00%,
0,00%,
0,00%,
0,00%</v>
      </c>
      <c r="K18" s="36"/>
      <c r="L18" s="37" t="e">
        <f>H18-(H18*((MATCH(Table2614256[[#This Row],[Evaluators Response (SELECT)]],Table2614256[[#This Row],[1]:[11]],0)-1)/(COUNTA(Table2614256[[#This Row],[1]:[11]])-COUNTBLANK(Table2614256[[#This Row],[1]:[11]])-1)))</f>
        <v>#N/A</v>
      </c>
      <c r="M18" s="38"/>
      <c r="N18" s="29" t="str" cm="1">
        <f t="array" ref="N18">IFERROR(INDEX(_xlfn.UNIQUE(TRIM(_xlfn.TEXTSPLIT(Table2614256[[#This Row],[Selection Options]:[Selection Options]],","))),,N$11),"")</f>
        <v>100%: Supported as delivered "out of the box"</v>
      </c>
      <c r="O18" s="29" t="str" cm="1">
        <f t="array" ref="O18">IFERROR(INDEX(_xlfn.UNIQUE(TRIM(_xlfn.TEXTSPLIT(Table2614256[[#This Row],[Selection Options]:[Selection Options]],","))),,O$11),"")</f>
        <v xml:space="preserve">
75%: Supported via modifications (config)</v>
      </c>
      <c r="P18" s="29" t="str" cm="1">
        <f t="array" ref="P18">IFERROR(INDEX(_xlfn.UNIQUE(TRIM(_xlfn.TEXTSPLIT(Table2614256[[#This Row],[Selection Options]:[Selection Options]],","))),,P$11),"")</f>
        <v xml:space="preserve">
50%: Supported via a third party solution</v>
      </c>
      <c r="Q18" s="29" t="str" cm="1">
        <f t="array" ref="Q18">IFERROR(INDEX(_xlfn.UNIQUE(TRIM(_xlfn.TEXTSPLIT(Table2614256[[#This Row],[Selection Options]:[Selection Options]],","))),,Q$11),"")</f>
        <v xml:space="preserve">
25%: Supported via customisation (source code changes)</v>
      </c>
      <c r="R18" s="29" t="str" cm="1">
        <f t="array" ref="R18">IFERROR(INDEX(_xlfn.UNIQUE(TRIM(_xlfn.TEXTSPLIT(Table2614256[[#This Row],[Selection Options]:[Selection Options]],","))),,R$11),"")</f>
        <v xml:space="preserve">
 0%: Not currently supported</v>
      </c>
      <c r="S18" s="29" t="str" cm="1">
        <f t="array" ref="S18">IFERROR(INDEX(_xlfn.UNIQUE(TRIM(_xlfn.TEXTSPLIT(Table2614256[[#This Row],[Selection Options]:[Selection Options]],","))),,S$11),"")</f>
        <v/>
      </c>
      <c r="T18" s="29" t="str" cm="1">
        <f t="array" ref="T18">IFERROR(INDEX(_xlfn.UNIQUE(TRIM(_xlfn.TEXTSPLIT(Table2614256[[#This Row],[Selection Options]:[Selection Options]],","))),,T$11),"")</f>
        <v/>
      </c>
      <c r="U18" s="29" t="str" cm="1">
        <f t="array" ref="U18">IFERROR(INDEX(_xlfn.UNIQUE(TRIM(_xlfn.TEXTSPLIT(Table2614256[[#This Row],[Selection Options]:[Selection Options]],","))),,U$11),"")</f>
        <v/>
      </c>
      <c r="V18" s="29" t="str" cm="1">
        <f t="array" ref="V18">IFERROR(INDEX(_xlfn.UNIQUE(TRIM(_xlfn.TEXTSPLIT(Table2614256[[#This Row],[Selection Options]:[Selection Options]],","))),,V$11),"")</f>
        <v/>
      </c>
      <c r="W18" s="29" t="str" cm="1">
        <f t="array" ref="W18">IFERROR(INDEX(_xlfn.UNIQUE(TRIM(_xlfn.TEXTSPLIT(Table2614256[[#This Row],[Selection Options]:[Selection Options]],","))),,W$11),"")</f>
        <v/>
      </c>
      <c r="X18" s="29" t="str" cm="1">
        <f t="array" ref="X18">IFERROR(INDEX(_xlfn.UNIQUE(TRIM(_xlfn.TEXTSPLIT(Table2614256[[#This Row],[Selection Options]:[Selection Options]],","))),,X$11),"")</f>
        <v/>
      </c>
      <c r="Y18" s="30" cm="1">
        <f t="array" ref="Y18">IF(Table2614256[[#This Row],[1]]="","",Table2614256[[#This Row],[Weight]:[Weight]]-(Table2614256[[#This Row],[Weight]:[Weight]]*((_xlfn.XMATCH(Table2614256[[#This Row],[1]],Table2614256[[#This Row],[1]:[11]],0))-1)/(COUNTA(Table2614256[[#This Row],[1]:[11]])-COUNTBLANK(Table2614256[[#This Row],[1]:[11]])-1)))</f>
        <v>4.966887417218543E-4</v>
      </c>
      <c r="Z18" s="30" cm="1">
        <f t="array" ref="Z18">IF(Table2614256[[#This Row],[2]]="","",Table2614256[[#This Row],[Weight]:[Weight]]-(Table2614256[[#This Row],[Weight]:[Weight]]*((_xlfn.XMATCH(Table2614256[[#This Row],[2]],Table2614256[[#This Row],[1]:[11]],0))-1)/(COUNTA(Table2614256[[#This Row],[1]:[11]])-COUNTBLANK(Table2614256[[#This Row],[1]:[11]])-1)))</f>
        <v>3.725165562913907E-4</v>
      </c>
      <c r="AA18" s="30" cm="1">
        <f t="array" ref="AA18">IF(Table2614256[[#This Row],[3]]="","",Table2614256[[#This Row],[Weight]:[Weight]]-(Table2614256[[#This Row],[Weight]:[Weight]]*((_xlfn.XMATCH(Table2614256[[#This Row],[3]],Table2614256[[#This Row],[1]:[11]],0))-1)/(COUNTA(Table2614256[[#This Row],[1]:[11]])-COUNTBLANK(Table2614256[[#This Row],[1]:[11]])-1)))</f>
        <v>2.4834437086092715E-4</v>
      </c>
      <c r="AB18" s="30" cm="1">
        <f t="array" ref="AB18">IF(Table2614256[[#This Row],[4]]="","",Table2614256[[#This Row],[Weight]:[Weight]]-(Table2614256[[#This Row],[Weight]:[Weight]]*((_xlfn.XMATCH(Table2614256[[#This Row],[4]],Table2614256[[#This Row],[1]:[11]],0))-1)/(COUNTA(Table2614256[[#This Row],[1]:[11]])-COUNTBLANK(Table2614256[[#This Row],[1]:[11]])-1)))</f>
        <v>1.241721854304636E-4</v>
      </c>
      <c r="AC18" s="30" cm="1">
        <f t="array" ref="AC18">IF(Table2614256[[#This Row],[5]]="","",Table2614256[[#This Row],[Weight]:[Weight]]-(Table2614256[[#This Row],[Weight]:[Weight]]*((_xlfn.XMATCH(Table2614256[[#This Row],[5]],Table2614256[[#This Row],[1]:[11]],0))-1)/(COUNTA(Table2614256[[#This Row],[1]:[11]])-COUNTBLANK(Table2614256[[#This Row],[1]:[11]])-1)))</f>
        <v>0</v>
      </c>
      <c r="AD18" s="30" t="str" cm="1">
        <f t="array" ref="AD18">IF(Table2614256[[#This Row],[6]]="","",Table2614256[[#This Row],[Weight]:[Weight]]-(Table2614256[[#This Row],[Weight]:[Weight]]*((_xlfn.XMATCH(Table2614256[[#This Row],[6]],Table2614256[[#This Row],[1]:[11]],0))-1)/(COUNTA(Table2614256[[#This Row],[1]:[11]])-COUNTBLANK(Table2614256[[#This Row],[1]:[11]])-1)))</f>
        <v/>
      </c>
      <c r="AE18" s="30" t="str" cm="1">
        <f t="array" ref="AE18">IF(Table2614256[[#This Row],[7]]="","",Table2614256[[#This Row],[Weight]:[Weight]]-(Table2614256[[#This Row],[Weight]:[Weight]]*((_xlfn.XMATCH(Table2614256[[#This Row],[7]],Table2614256[[#This Row],[1]:[11]],0))-1)/(COUNTA(Table2614256[[#This Row],[1]:[11]])-COUNTBLANK(Table2614256[[#This Row],[1]:[11]])-1)))</f>
        <v/>
      </c>
      <c r="AF18" s="30" t="str" cm="1">
        <f t="array" ref="AF18">IF(Table2614256[[#This Row],[8]]="","",Table2614256[[#This Row],[Weight]:[Weight]]-(Table2614256[[#This Row],[Weight]:[Weight]]*((_xlfn.XMATCH(Table2614256[[#This Row],[8]],Table2614256[[#This Row],[1]:[11]],0))-1)/(COUNTA(Table2614256[[#This Row],[1]:[11]])-COUNTBLANK(Table2614256[[#This Row],[1]:[11]])-1)))</f>
        <v/>
      </c>
      <c r="AG18" s="30" t="str" cm="1">
        <f t="array" ref="AG18">IF(Table2614256[[#This Row],[9]]="","",Table2614256[[#This Row],[Weight]:[Weight]]-(Table2614256[[#This Row],[Weight]:[Weight]]*((_xlfn.XMATCH(Table2614256[[#This Row],[9]],Table2614256[[#This Row],[1]:[11]],0))-1)/(COUNTA(Table2614256[[#This Row],[1]:[11]])-COUNTBLANK(Table2614256[[#This Row],[1]:[11]])-1)))</f>
        <v/>
      </c>
      <c r="AH18" s="30" t="str" cm="1">
        <f t="array" ref="AH18">IF(Table2614256[[#This Row],[10]]="","",Table2614256[[#This Row],[Weight]:[Weight]]-(Table2614256[[#This Row],[Weight]:[Weight]]*((_xlfn.XMATCH(Table2614256[[#This Row],[10]],Table2614256[[#This Row],[1]:[11]],0))-1)/(COUNTA(Table2614256[[#This Row],[1]:[11]])-COUNTBLANK(Table2614256[[#This Row],[1]:[11]])-1)))</f>
        <v/>
      </c>
      <c r="AI18" s="30" t="str" cm="1">
        <f t="array" ref="AI18">IF(Table2614256[[#This Row],[11]]="","",Table2614256[[#This Row],[Weight]:[Weight]]-(Table2614256[[#This Row],[Weight]:[Weight]]*((_xlfn.XMATCH(Table2614256[[#This Row],[11]],Table2614256[[#This Row],[1]:[11]],0))-1)/(COUNTA(Table2614256[[#This Row],[1]:[11]])-COUNTBLANK(Table2614256[[#This Row],[1]:[11]])-1)))</f>
        <v/>
      </c>
    </row>
    <row r="19" spans="1:35" ht="120" x14ac:dyDescent="0.2">
      <c r="A19" s="20">
        <v>7</v>
      </c>
      <c r="B19" s="119" t="s">
        <v>350</v>
      </c>
      <c r="C19" s="119" t="s">
        <v>215</v>
      </c>
      <c r="D19" s="147"/>
      <c r="E19" s="147"/>
      <c r="F19" s="121" t="s">
        <v>60</v>
      </c>
      <c r="G19" s="151" cm="1">
        <f t="array" ref="G19">_xlfn.IFS(F19="","",F19="No interest",0,F19="Nice to have",1,F19="Useful",2,F19="Important",3,F19="Very important",4,F19="Critical",5,F19="Show stopper",6)</f>
        <v>6</v>
      </c>
      <c r="H19" s="152">
        <f t="shared" si="1"/>
        <v>7.4503311258278151E-4</v>
      </c>
      <c r="I19" s="150" t="s">
        <v>321</v>
      </c>
      <c r="J19" s="35" t="str" cm="1">
        <f t="array" ref="J19">_xlfn.TEXTJOIN(","&amp;CHAR(10),,TEXT(Table2614256[[#This Row],[12]:[22]],"0,00%"))</f>
        <v>0,00%,
0,00%,
0,00%,
0,00%,
0,00%</v>
      </c>
      <c r="K19" s="36"/>
      <c r="L19" s="37" t="e">
        <f>H19-(H19*((MATCH(Table2614256[[#This Row],[Evaluators Response (SELECT)]],Table2614256[[#This Row],[1]:[11]],0)-1)/(COUNTA(Table2614256[[#This Row],[1]:[11]])-COUNTBLANK(Table2614256[[#This Row],[1]:[11]])-1)))</f>
        <v>#N/A</v>
      </c>
      <c r="M19" s="38"/>
      <c r="N19" s="29" t="str" cm="1">
        <f t="array" ref="N19">IFERROR(INDEX(_xlfn.UNIQUE(TRIM(_xlfn.TEXTSPLIT(Table2614256[[#This Row],[Selection Options]:[Selection Options]],","))),,N$11),"")</f>
        <v>100%: Supported as delivered "out of the box"</v>
      </c>
      <c r="O19" s="29" t="str" cm="1">
        <f t="array" ref="O19">IFERROR(INDEX(_xlfn.UNIQUE(TRIM(_xlfn.TEXTSPLIT(Table2614256[[#This Row],[Selection Options]:[Selection Options]],","))),,O$11),"")</f>
        <v xml:space="preserve">
75%: Supported via modifications (config)</v>
      </c>
      <c r="P19" s="29" t="str" cm="1">
        <f t="array" ref="P19">IFERROR(INDEX(_xlfn.UNIQUE(TRIM(_xlfn.TEXTSPLIT(Table2614256[[#This Row],[Selection Options]:[Selection Options]],","))),,P$11),"")</f>
        <v xml:space="preserve">
50%: Supported via a third party solution</v>
      </c>
      <c r="Q19" s="29" t="str" cm="1">
        <f t="array" ref="Q19">IFERROR(INDEX(_xlfn.UNIQUE(TRIM(_xlfn.TEXTSPLIT(Table2614256[[#This Row],[Selection Options]:[Selection Options]],","))),,Q$11),"")</f>
        <v xml:space="preserve">
25%: Supported via customisation (source code changes)</v>
      </c>
      <c r="R19" s="29" t="str" cm="1">
        <f t="array" ref="R19">IFERROR(INDEX(_xlfn.UNIQUE(TRIM(_xlfn.TEXTSPLIT(Table2614256[[#This Row],[Selection Options]:[Selection Options]],","))),,R$11),"")</f>
        <v xml:space="preserve">
 0%: Not currently supported</v>
      </c>
      <c r="S19" s="29" t="str" cm="1">
        <f t="array" ref="S19">IFERROR(INDEX(_xlfn.UNIQUE(TRIM(_xlfn.TEXTSPLIT(Table2614256[[#This Row],[Selection Options]:[Selection Options]],","))),,S$11),"")</f>
        <v/>
      </c>
      <c r="T19" s="29" t="str" cm="1">
        <f t="array" ref="T19">IFERROR(INDEX(_xlfn.UNIQUE(TRIM(_xlfn.TEXTSPLIT(Table2614256[[#This Row],[Selection Options]:[Selection Options]],","))),,T$11),"")</f>
        <v/>
      </c>
      <c r="U19" s="29" t="str" cm="1">
        <f t="array" ref="U19">IFERROR(INDEX(_xlfn.UNIQUE(TRIM(_xlfn.TEXTSPLIT(Table2614256[[#This Row],[Selection Options]:[Selection Options]],","))),,U$11),"")</f>
        <v/>
      </c>
      <c r="V19" s="29" t="str" cm="1">
        <f t="array" ref="V19">IFERROR(INDEX(_xlfn.UNIQUE(TRIM(_xlfn.TEXTSPLIT(Table2614256[[#This Row],[Selection Options]:[Selection Options]],","))),,V$11),"")</f>
        <v/>
      </c>
      <c r="W19" s="29" t="str" cm="1">
        <f t="array" ref="W19">IFERROR(INDEX(_xlfn.UNIQUE(TRIM(_xlfn.TEXTSPLIT(Table2614256[[#This Row],[Selection Options]:[Selection Options]],","))),,W$11),"")</f>
        <v/>
      </c>
      <c r="X19" s="29" t="str" cm="1">
        <f t="array" ref="X19">IFERROR(INDEX(_xlfn.UNIQUE(TRIM(_xlfn.TEXTSPLIT(Table2614256[[#This Row],[Selection Options]:[Selection Options]],","))),,X$11),"")</f>
        <v/>
      </c>
      <c r="Y19" s="30" cm="1">
        <f t="array" ref="Y19">IF(Table2614256[[#This Row],[1]]="","",Table2614256[[#This Row],[Weight]:[Weight]]-(Table2614256[[#This Row],[Weight]:[Weight]]*((_xlfn.XMATCH(Table2614256[[#This Row],[1]],Table2614256[[#This Row],[1]:[11]],0))-1)/(COUNTA(Table2614256[[#This Row],[1]:[11]])-COUNTBLANK(Table2614256[[#This Row],[1]:[11]])-1)))</f>
        <v>7.4503311258278151E-4</v>
      </c>
      <c r="Z19" s="30" cm="1">
        <f t="array" ref="Z19">IF(Table2614256[[#This Row],[2]]="","",Table2614256[[#This Row],[Weight]:[Weight]]-(Table2614256[[#This Row],[Weight]:[Weight]]*((_xlfn.XMATCH(Table2614256[[#This Row],[2]],Table2614256[[#This Row],[1]:[11]],0))-1)/(COUNTA(Table2614256[[#This Row],[1]:[11]])-COUNTBLANK(Table2614256[[#This Row],[1]:[11]])-1)))</f>
        <v>5.5877483443708611E-4</v>
      </c>
      <c r="AA19" s="30" cm="1">
        <f t="array" ref="AA19">IF(Table2614256[[#This Row],[3]]="","",Table2614256[[#This Row],[Weight]:[Weight]]-(Table2614256[[#This Row],[Weight]:[Weight]]*((_xlfn.XMATCH(Table2614256[[#This Row],[3]],Table2614256[[#This Row],[1]:[11]],0))-1)/(COUNTA(Table2614256[[#This Row],[1]:[11]])-COUNTBLANK(Table2614256[[#This Row],[1]:[11]])-1)))</f>
        <v>3.7251655629139076E-4</v>
      </c>
      <c r="AB19" s="30" cm="1">
        <f t="array" ref="AB19">IF(Table2614256[[#This Row],[4]]="","",Table2614256[[#This Row],[Weight]:[Weight]]-(Table2614256[[#This Row],[Weight]:[Weight]]*((_xlfn.XMATCH(Table2614256[[#This Row],[4]],Table2614256[[#This Row],[1]:[11]],0))-1)/(COUNTA(Table2614256[[#This Row],[1]:[11]])-COUNTBLANK(Table2614256[[#This Row],[1]:[11]])-1)))</f>
        <v>1.862582781456954E-4</v>
      </c>
      <c r="AC19" s="30" cm="1">
        <f t="array" ref="AC19">IF(Table2614256[[#This Row],[5]]="","",Table2614256[[#This Row],[Weight]:[Weight]]-(Table2614256[[#This Row],[Weight]:[Weight]]*((_xlfn.XMATCH(Table2614256[[#This Row],[5]],Table2614256[[#This Row],[1]:[11]],0))-1)/(COUNTA(Table2614256[[#This Row],[1]:[11]])-COUNTBLANK(Table2614256[[#This Row],[1]:[11]])-1)))</f>
        <v>0</v>
      </c>
      <c r="AD19" s="30" t="str" cm="1">
        <f t="array" ref="AD19">IF(Table2614256[[#This Row],[6]]="","",Table2614256[[#This Row],[Weight]:[Weight]]-(Table2614256[[#This Row],[Weight]:[Weight]]*((_xlfn.XMATCH(Table2614256[[#This Row],[6]],Table2614256[[#This Row],[1]:[11]],0))-1)/(COUNTA(Table2614256[[#This Row],[1]:[11]])-COUNTBLANK(Table2614256[[#This Row],[1]:[11]])-1)))</f>
        <v/>
      </c>
      <c r="AE19" s="30" t="str" cm="1">
        <f t="array" ref="AE19">IF(Table2614256[[#This Row],[7]]="","",Table2614256[[#This Row],[Weight]:[Weight]]-(Table2614256[[#This Row],[Weight]:[Weight]]*((_xlfn.XMATCH(Table2614256[[#This Row],[7]],Table2614256[[#This Row],[1]:[11]],0))-1)/(COUNTA(Table2614256[[#This Row],[1]:[11]])-COUNTBLANK(Table2614256[[#This Row],[1]:[11]])-1)))</f>
        <v/>
      </c>
      <c r="AF19" s="30" t="str" cm="1">
        <f t="array" ref="AF19">IF(Table2614256[[#This Row],[8]]="","",Table2614256[[#This Row],[Weight]:[Weight]]-(Table2614256[[#This Row],[Weight]:[Weight]]*((_xlfn.XMATCH(Table2614256[[#This Row],[8]],Table2614256[[#This Row],[1]:[11]],0))-1)/(COUNTA(Table2614256[[#This Row],[1]:[11]])-COUNTBLANK(Table2614256[[#This Row],[1]:[11]])-1)))</f>
        <v/>
      </c>
      <c r="AG19" s="30" t="str" cm="1">
        <f t="array" ref="AG19">IF(Table2614256[[#This Row],[9]]="","",Table2614256[[#This Row],[Weight]:[Weight]]-(Table2614256[[#This Row],[Weight]:[Weight]]*((_xlfn.XMATCH(Table2614256[[#This Row],[9]],Table2614256[[#This Row],[1]:[11]],0))-1)/(COUNTA(Table2614256[[#This Row],[1]:[11]])-COUNTBLANK(Table2614256[[#This Row],[1]:[11]])-1)))</f>
        <v/>
      </c>
      <c r="AH19" s="30" t="str" cm="1">
        <f t="array" ref="AH19">IF(Table2614256[[#This Row],[10]]="","",Table2614256[[#This Row],[Weight]:[Weight]]-(Table2614256[[#This Row],[Weight]:[Weight]]*((_xlfn.XMATCH(Table2614256[[#This Row],[10]],Table2614256[[#This Row],[1]:[11]],0))-1)/(COUNTA(Table2614256[[#This Row],[1]:[11]])-COUNTBLANK(Table2614256[[#This Row],[1]:[11]])-1)))</f>
        <v/>
      </c>
      <c r="AI19" s="30" t="str" cm="1">
        <f t="array" ref="AI19">IF(Table2614256[[#This Row],[11]]="","",Table2614256[[#This Row],[Weight]:[Weight]]-(Table2614256[[#This Row],[Weight]:[Weight]]*((_xlfn.XMATCH(Table2614256[[#This Row],[11]],Table2614256[[#This Row],[1]:[11]],0))-1)/(COUNTA(Table2614256[[#This Row],[1]:[11]])-COUNTBLANK(Table2614256[[#This Row],[1]:[11]])-1)))</f>
        <v/>
      </c>
    </row>
    <row r="20" spans="1:35" ht="120" x14ac:dyDescent="0.2">
      <c r="A20" s="20">
        <v>8</v>
      </c>
      <c r="B20" s="119" t="s">
        <v>351</v>
      </c>
      <c r="C20" s="119" t="s">
        <v>215</v>
      </c>
      <c r="D20" s="147"/>
      <c r="E20" s="147"/>
      <c r="F20" s="121" t="s">
        <v>60</v>
      </c>
      <c r="G20" s="151" cm="1">
        <f t="array" ref="G20">_xlfn.IFS(F20="","",F20="No interest",0,F20="Nice to have",1,F20="Useful",2,F20="Important",3,F20="Very important",4,F20="Critical",5,F20="Show stopper",6)</f>
        <v>6</v>
      </c>
      <c r="H20" s="152">
        <f t="shared" si="1"/>
        <v>7.4503311258278151E-4</v>
      </c>
      <c r="I20" s="150" t="s">
        <v>321</v>
      </c>
      <c r="J20" s="35" t="str" cm="1">
        <f t="array" ref="J20">_xlfn.TEXTJOIN(","&amp;CHAR(10),,TEXT(Table2614256[[#This Row],[12]:[22]],"0,00%"))</f>
        <v>0,00%,
0,00%,
0,00%,
0,00%,
0,00%</v>
      </c>
      <c r="K20" s="36"/>
      <c r="L20" s="37" t="e">
        <f>H20-(H20*((MATCH(Table2614256[[#This Row],[Evaluators Response (SELECT)]],Table2614256[[#This Row],[1]:[11]],0)-1)/(COUNTA(Table2614256[[#This Row],[1]:[11]])-COUNTBLANK(Table2614256[[#This Row],[1]:[11]])-1)))</f>
        <v>#N/A</v>
      </c>
      <c r="M20" s="38"/>
      <c r="N20" s="29" t="str" cm="1">
        <f t="array" ref="N20">IFERROR(INDEX(_xlfn.UNIQUE(TRIM(_xlfn.TEXTSPLIT(Table2614256[[#This Row],[Selection Options]:[Selection Options]],","))),,N$11),"")</f>
        <v>100%: Supported as delivered "out of the box"</v>
      </c>
      <c r="O20" s="29" t="str" cm="1">
        <f t="array" ref="O20">IFERROR(INDEX(_xlfn.UNIQUE(TRIM(_xlfn.TEXTSPLIT(Table2614256[[#This Row],[Selection Options]:[Selection Options]],","))),,O$11),"")</f>
        <v xml:space="preserve">
75%: Supported via modifications (config)</v>
      </c>
      <c r="P20" s="29" t="str" cm="1">
        <f t="array" ref="P20">IFERROR(INDEX(_xlfn.UNIQUE(TRIM(_xlfn.TEXTSPLIT(Table2614256[[#This Row],[Selection Options]:[Selection Options]],","))),,P$11),"")</f>
        <v xml:space="preserve">
50%: Supported via a third party solution</v>
      </c>
      <c r="Q20" s="29" t="str" cm="1">
        <f t="array" ref="Q20">IFERROR(INDEX(_xlfn.UNIQUE(TRIM(_xlfn.TEXTSPLIT(Table2614256[[#This Row],[Selection Options]:[Selection Options]],","))),,Q$11),"")</f>
        <v xml:space="preserve">
25%: Supported via customisation (source code changes)</v>
      </c>
      <c r="R20" s="29" t="str" cm="1">
        <f t="array" ref="R20">IFERROR(INDEX(_xlfn.UNIQUE(TRIM(_xlfn.TEXTSPLIT(Table2614256[[#This Row],[Selection Options]:[Selection Options]],","))),,R$11),"")</f>
        <v xml:space="preserve">
 0%: Not currently supported</v>
      </c>
      <c r="S20" s="29" t="str" cm="1">
        <f t="array" ref="S20">IFERROR(INDEX(_xlfn.UNIQUE(TRIM(_xlfn.TEXTSPLIT(Table2614256[[#This Row],[Selection Options]:[Selection Options]],","))),,S$11),"")</f>
        <v/>
      </c>
      <c r="T20" s="29" t="str" cm="1">
        <f t="array" ref="T20">IFERROR(INDEX(_xlfn.UNIQUE(TRIM(_xlfn.TEXTSPLIT(Table2614256[[#This Row],[Selection Options]:[Selection Options]],","))),,T$11),"")</f>
        <v/>
      </c>
      <c r="U20" s="29" t="str" cm="1">
        <f t="array" ref="U20">IFERROR(INDEX(_xlfn.UNIQUE(TRIM(_xlfn.TEXTSPLIT(Table2614256[[#This Row],[Selection Options]:[Selection Options]],","))),,U$11),"")</f>
        <v/>
      </c>
      <c r="V20" s="29" t="str" cm="1">
        <f t="array" ref="V20">IFERROR(INDEX(_xlfn.UNIQUE(TRIM(_xlfn.TEXTSPLIT(Table2614256[[#This Row],[Selection Options]:[Selection Options]],","))),,V$11),"")</f>
        <v/>
      </c>
      <c r="W20" s="29" t="str" cm="1">
        <f t="array" ref="W20">IFERROR(INDEX(_xlfn.UNIQUE(TRIM(_xlfn.TEXTSPLIT(Table2614256[[#This Row],[Selection Options]:[Selection Options]],","))),,W$11),"")</f>
        <v/>
      </c>
      <c r="X20" s="29" t="str" cm="1">
        <f t="array" ref="X20">IFERROR(INDEX(_xlfn.UNIQUE(TRIM(_xlfn.TEXTSPLIT(Table2614256[[#This Row],[Selection Options]:[Selection Options]],","))),,X$11),"")</f>
        <v/>
      </c>
      <c r="Y20" s="30" cm="1">
        <f t="array" ref="Y20">IF(Table2614256[[#This Row],[1]]="","",Table2614256[[#This Row],[Weight]:[Weight]]-(Table2614256[[#This Row],[Weight]:[Weight]]*((_xlfn.XMATCH(Table2614256[[#This Row],[1]],Table2614256[[#This Row],[1]:[11]],0))-1)/(COUNTA(Table2614256[[#This Row],[1]:[11]])-COUNTBLANK(Table2614256[[#This Row],[1]:[11]])-1)))</f>
        <v>7.4503311258278151E-4</v>
      </c>
      <c r="Z20" s="30" cm="1">
        <f t="array" ref="Z20">IF(Table2614256[[#This Row],[2]]="","",Table2614256[[#This Row],[Weight]:[Weight]]-(Table2614256[[#This Row],[Weight]:[Weight]]*((_xlfn.XMATCH(Table2614256[[#This Row],[2]],Table2614256[[#This Row],[1]:[11]],0))-1)/(COUNTA(Table2614256[[#This Row],[1]:[11]])-COUNTBLANK(Table2614256[[#This Row],[1]:[11]])-1)))</f>
        <v>5.5877483443708611E-4</v>
      </c>
      <c r="AA20" s="30" cm="1">
        <f t="array" ref="AA20">IF(Table2614256[[#This Row],[3]]="","",Table2614256[[#This Row],[Weight]:[Weight]]-(Table2614256[[#This Row],[Weight]:[Weight]]*((_xlfn.XMATCH(Table2614256[[#This Row],[3]],Table2614256[[#This Row],[1]:[11]],0))-1)/(COUNTA(Table2614256[[#This Row],[1]:[11]])-COUNTBLANK(Table2614256[[#This Row],[1]:[11]])-1)))</f>
        <v>3.7251655629139076E-4</v>
      </c>
      <c r="AB20" s="30" cm="1">
        <f t="array" ref="AB20">IF(Table2614256[[#This Row],[4]]="","",Table2614256[[#This Row],[Weight]:[Weight]]-(Table2614256[[#This Row],[Weight]:[Weight]]*((_xlfn.XMATCH(Table2614256[[#This Row],[4]],Table2614256[[#This Row],[1]:[11]],0))-1)/(COUNTA(Table2614256[[#This Row],[1]:[11]])-COUNTBLANK(Table2614256[[#This Row],[1]:[11]])-1)))</f>
        <v>1.862582781456954E-4</v>
      </c>
      <c r="AC20" s="30" cm="1">
        <f t="array" ref="AC20">IF(Table2614256[[#This Row],[5]]="","",Table2614256[[#This Row],[Weight]:[Weight]]-(Table2614256[[#This Row],[Weight]:[Weight]]*((_xlfn.XMATCH(Table2614256[[#This Row],[5]],Table2614256[[#This Row],[1]:[11]],0))-1)/(COUNTA(Table2614256[[#This Row],[1]:[11]])-COUNTBLANK(Table2614256[[#This Row],[1]:[11]])-1)))</f>
        <v>0</v>
      </c>
      <c r="AD20" s="30" t="str" cm="1">
        <f t="array" ref="AD20">IF(Table2614256[[#This Row],[6]]="","",Table2614256[[#This Row],[Weight]:[Weight]]-(Table2614256[[#This Row],[Weight]:[Weight]]*((_xlfn.XMATCH(Table2614256[[#This Row],[6]],Table2614256[[#This Row],[1]:[11]],0))-1)/(COUNTA(Table2614256[[#This Row],[1]:[11]])-COUNTBLANK(Table2614256[[#This Row],[1]:[11]])-1)))</f>
        <v/>
      </c>
      <c r="AE20" s="30" t="str" cm="1">
        <f t="array" ref="AE20">IF(Table2614256[[#This Row],[7]]="","",Table2614256[[#This Row],[Weight]:[Weight]]-(Table2614256[[#This Row],[Weight]:[Weight]]*((_xlfn.XMATCH(Table2614256[[#This Row],[7]],Table2614256[[#This Row],[1]:[11]],0))-1)/(COUNTA(Table2614256[[#This Row],[1]:[11]])-COUNTBLANK(Table2614256[[#This Row],[1]:[11]])-1)))</f>
        <v/>
      </c>
      <c r="AF20" s="30" t="str" cm="1">
        <f t="array" ref="AF20">IF(Table2614256[[#This Row],[8]]="","",Table2614256[[#This Row],[Weight]:[Weight]]-(Table2614256[[#This Row],[Weight]:[Weight]]*((_xlfn.XMATCH(Table2614256[[#This Row],[8]],Table2614256[[#This Row],[1]:[11]],0))-1)/(COUNTA(Table2614256[[#This Row],[1]:[11]])-COUNTBLANK(Table2614256[[#This Row],[1]:[11]])-1)))</f>
        <v/>
      </c>
      <c r="AG20" s="30" t="str" cm="1">
        <f t="array" ref="AG20">IF(Table2614256[[#This Row],[9]]="","",Table2614256[[#This Row],[Weight]:[Weight]]-(Table2614256[[#This Row],[Weight]:[Weight]]*((_xlfn.XMATCH(Table2614256[[#This Row],[9]],Table2614256[[#This Row],[1]:[11]],0))-1)/(COUNTA(Table2614256[[#This Row],[1]:[11]])-COUNTBLANK(Table2614256[[#This Row],[1]:[11]])-1)))</f>
        <v/>
      </c>
      <c r="AH20" s="30" t="str" cm="1">
        <f t="array" ref="AH20">IF(Table2614256[[#This Row],[10]]="","",Table2614256[[#This Row],[Weight]:[Weight]]-(Table2614256[[#This Row],[Weight]:[Weight]]*((_xlfn.XMATCH(Table2614256[[#This Row],[10]],Table2614256[[#This Row],[1]:[11]],0))-1)/(COUNTA(Table2614256[[#This Row],[1]:[11]])-COUNTBLANK(Table2614256[[#This Row],[1]:[11]])-1)))</f>
        <v/>
      </c>
      <c r="AI20" s="30" t="str" cm="1">
        <f t="array" ref="AI20">IF(Table2614256[[#This Row],[11]]="","",Table2614256[[#This Row],[Weight]:[Weight]]-(Table2614256[[#This Row],[Weight]:[Weight]]*((_xlfn.XMATCH(Table2614256[[#This Row],[11]],Table2614256[[#This Row],[1]:[11]],0))-1)/(COUNTA(Table2614256[[#This Row],[1]:[11]])-COUNTBLANK(Table2614256[[#This Row],[1]:[11]])-1)))</f>
        <v/>
      </c>
    </row>
    <row r="21" spans="1:35" ht="120" x14ac:dyDescent="0.2">
      <c r="A21" s="20">
        <v>9</v>
      </c>
      <c r="B21" s="119" t="s">
        <v>352</v>
      </c>
      <c r="C21" s="119" t="s">
        <v>215</v>
      </c>
      <c r="D21" s="146"/>
      <c r="E21" s="146"/>
      <c r="F21" s="121" t="s">
        <v>60</v>
      </c>
      <c r="G21" s="148" cm="1">
        <f t="array" ref="G21">_xlfn.IFS(F21="","",F21="No interest",0,F21="Nice to have",1,F21="Useful",2,F21="Important",3,F21="Very important",4,F21="Critical",5,F21="Show stopper",6)</f>
        <v>6</v>
      </c>
      <c r="H21" s="149">
        <f t="shared" si="1"/>
        <v>7.4503311258278151E-4</v>
      </c>
      <c r="I21" s="150" t="s">
        <v>321</v>
      </c>
      <c r="J21" s="35" t="str" cm="1">
        <f t="array" ref="J21">_xlfn.TEXTJOIN(","&amp;CHAR(10),,TEXT(Table2614256[[#This Row],[12]:[22]],"0,00%"))</f>
        <v>0,00%,
0,00%,
0,00%,
0,00%,
0,00%</v>
      </c>
      <c r="K21" s="26"/>
      <c r="L21" s="27" t="e">
        <f>H21-(H21*((MATCH(Table2614256[[#This Row],[Evaluators Response (SELECT)]],Table2614256[[#This Row],[1]:[11]],0)-1)/(COUNTA(Table2614256[[#This Row],[1]:[11]])-COUNTBLANK(Table2614256[[#This Row],[1]:[11]])-1)))</f>
        <v>#N/A</v>
      </c>
      <c r="M21" s="28"/>
      <c r="N21" s="29" t="str" cm="1">
        <f t="array" ref="N21">IFERROR(INDEX(_xlfn.UNIQUE(TRIM(_xlfn.TEXTSPLIT(Table2614256[[#This Row],[Selection Options]:[Selection Options]],","))),,N$11),"")</f>
        <v>100%: Supported as delivered "out of the box"</v>
      </c>
      <c r="O21" s="29" t="str" cm="1">
        <f t="array" ref="O21">IFERROR(INDEX(_xlfn.UNIQUE(TRIM(_xlfn.TEXTSPLIT(Table2614256[[#This Row],[Selection Options]:[Selection Options]],","))),,O$11),"")</f>
        <v xml:space="preserve">
75%: Supported via modifications (config)</v>
      </c>
      <c r="P21" s="29" t="str" cm="1">
        <f t="array" ref="P21">IFERROR(INDEX(_xlfn.UNIQUE(TRIM(_xlfn.TEXTSPLIT(Table2614256[[#This Row],[Selection Options]:[Selection Options]],","))),,P$11),"")</f>
        <v xml:space="preserve">
50%: Supported via a third party solution</v>
      </c>
      <c r="Q21" s="29" t="str" cm="1">
        <f t="array" ref="Q21">IFERROR(INDEX(_xlfn.UNIQUE(TRIM(_xlfn.TEXTSPLIT(Table2614256[[#This Row],[Selection Options]:[Selection Options]],","))),,Q$11),"")</f>
        <v xml:space="preserve">
25%: Supported via customisation (source code changes)</v>
      </c>
      <c r="R21" s="29" t="str" cm="1">
        <f t="array" ref="R21">IFERROR(INDEX(_xlfn.UNIQUE(TRIM(_xlfn.TEXTSPLIT(Table2614256[[#This Row],[Selection Options]:[Selection Options]],","))),,R$11),"")</f>
        <v xml:space="preserve">
 0%: Not currently supported</v>
      </c>
      <c r="S21" s="29" t="str" cm="1">
        <f t="array" ref="S21">IFERROR(INDEX(_xlfn.UNIQUE(TRIM(_xlfn.TEXTSPLIT(Table2614256[[#This Row],[Selection Options]:[Selection Options]],","))),,S$11),"")</f>
        <v/>
      </c>
      <c r="T21" s="29" t="str" cm="1">
        <f t="array" ref="T21">IFERROR(INDEX(_xlfn.UNIQUE(TRIM(_xlfn.TEXTSPLIT(Table2614256[[#This Row],[Selection Options]:[Selection Options]],","))),,T$11),"")</f>
        <v/>
      </c>
      <c r="U21" s="29" t="str" cm="1">
        <f t="array" ref="U21">IFERROR(INDEX(_xlfn.UNIQUE(TRIM(_xlfn.TEXTSPLIT(Table2614256[[#This Row],[Selection Options]:[Selection Options]],","))),,U$11),"")</f>
        <v/>
      </c>
      <c r="V21" s="29" t="str" cm="1">
        <f t="array" ref="V21">IFERROR(INDEX(_xlfn.UNIQUE(TRIM(_xlfn.TEXTSPLIT(Table2614256[[#This Row],[Selection Options]:[Selection Options]],","))),,V$11),"")</f>
        <v/>
      </c>
      <c r="W21" s="29" t="str" cm="1">
        <f t="array" ref="W21">IFERROR(INDEX(_xlfn.UNIQUE(TRIM(_xlfn.TEXTSPLIT(Table2614256[[#This Row],[Selection Options]:[Selection Options]],","))),,W$11),"")</f>
        <v/>
      </c>
      <c r="X21" s="29" t="str" cm="1">
        <f t="array" ref="X21">IFERROR(INDEX(_xlfn.UNIQUE(TRIM(_xlfn.TEXTSPLIT(Table2614256[[#This Row],[Selection Options]:[Selection Options]],","))),,X$11),"")</f>
        <v/>
      </c>
      <c r="Y21" s="30" cm="1">
        <f t="array" ref="Y21">IF(Table2614256[[#This Row],[1]]="","",Table2614256[[#This Row],[Weight]:[Weight]]-(Table2614256[[#This Row],[Weight]:[Weight]]*((_xlfn.XMATCH(Table2614256[[#This Row],[1]],Table2614256[[#This Row],[1]:[11]],0))-1)/(COUNTA(Table2614256[[#This Row],[1]:[11]])-COUNTBLANK(Table2614256[[#This Row],[1]:[11]])-1)))</f>
        <v>7.4503311258278151E-4</v>
      </c>
      <c r="Z21" s="30" cm="1">
        <f t="array" ref="Z21">IF(Table2614256[[#This Row],[2]]="","",Table2614256[[#This Row],[Weight]:[Weight]]-(Table2614256[[#This Row],[Weight]:[Weight]]*((_xlfn.XMATCH(Table2614256[[#This Row],[2]],Table2614256[[#This Row],[1]:[11]],0))-1)/(COUNTA(Table2614256[[#This Row],[1]:[11]])-COUNTBLANK(Table2614256[[#This Row],[1]:[11]])-1)))</f>
        <v>5.5877483443708611E-4</v>
      </c>
      <c r="AA21" s="30" cm="1">
        <f t="array" ref="AA21">IF(Table2614256[[#This Row],[3]]="","",Table2614256[[#This Row],[Weight]:[Weight]]-(Table2614256[[#This Row],[Weight]:[Weight]]*((_xlfn.XMATCH(Table2614256[[#This Row],[3]],Table2614256[[#This Row],[1]:[11]],0))-1)/(COUNTA(Table2614256[[#This Row],[1]:[11]])-COUNTBLANK(Table2614256[[#This Row],[1]:[11]])-1)))</f>
        <v>3.7251655629139076E-4</v>
      </c>
      <c r="AB21" s="30" cm="1">
        <f t="array" ref="AB21">IF(Table2614256[[#This Row],[4]]="","",Table2614256[[#This Row],[Weight]:[Weight]]-(Table2614256[[#This Row],[Weight]:[Weight]]*((_xlfn.XMATCH(Table2614256[[#This Row],[4]],Table2614256[[#This Row],[1]:[11]],0))-1)/(COUNTA(Table2614256[[#This Row],[1]:[11]])-COUNTBLANK(Table2614256[[#This Row],[1]:[11]])-1)))</f>
        <v>1.862582781456954E-4</v>
      </c>
      <c r="AC21" s="30" cm="1">
        <f t="array" ref="AC21">IF(Table2614256[[#This Row],[5]]="","",Table2614256[[#This Row],[Weight]:[Weight]]-(Table2614256[[#This Row],[Weight]:[Weight]]*((_xlfn.XMATCH(Table2614256[[#This Row],[5]],Table2614256[[#This Row],[1]:[11]],0))-1)/(COUNTA(Table2614256[[#This Row],[1]:[11]])-COUNTBLANK(Table2614256[[#This Row],[1]:[11]])-1)))</f>
        <v>0</v>
      </c>
      <c r="AD21" s="30" t="str" cm="1">
        <f t="array" ref="AD21">IF(Table2614256[[#This Row],[6]]="","",Table2614256[[#This Row],[Weight]:[Weight]]-(Table2614256[[#This Row],[Weight]:[Weight]]*((_xlfn.XMATCH(Table2614256[[#This Row],[6]],Table2614256[[#This Row],[1]:[11]],0))-1)/(COUNTA(Table2614256[[#This Row],[1]:[11]])-COUNTBLANK(Table2614256[[#This Row],[1]:[11]])-1)))</f>
        <v/>
      </c>
      <c r="AE21" s="30" t="str" cm="1">
        <f t="array" ref="AE21">IF(Table2614256[[#This Row],[7]]="","",Table2614256[[#This Row],[Weight]:[Weight]]-(Table2614256[[#This Row],[Weight]:[Weight]]*((_xlfn.XMATCH(Table2614256[[#This Row],[7]],Table2614256[[#This Row],[1]:[11]],0))-1)/(COUNTA(Table2614256[[#This Row],[1]:[11]])-COUNTBLANK(Table2614256[[#This Row],[1]:[11]])-1)))</f>
        <v/>
      </c>
      <c r="AF21" s="30" t="str" cm="1">
        <f t="array" ref="AF21">IF(Table2614256[[#This Row],[8]]="","",Table2614256[[#This Row],[Weight]:[Weight]]-(Table2614256[[#This Row],[Weight]:[Weight]]*((_xlfn.XMATCH(Table2614256[[#This Row],[8]],Table2614256[[#This Row],[1]:[11]],0))-1)/(COUNTA(Table2614256[[#This Row],[1]:[11]])-COUNTBLANK(Table2614256[[#This Row],[1]:[11]])-1)))</f>
        <v/>
      </c>
      <c r="AG21" s="30" t="str" cm="1">
        <f t="array" ref="AG21">IF(Table2614256[[#This Row],[9]]="","",Table2614256[[#This Row],[Weight]:[Weight]]-(Table2614256[[#This Row],[Weight]:[Weight]]*((_xlfn.XMATCH(Table2614256[[#This Row],[9]],Table2614256[[#This Row],[1]:[11]],0))-1)/(COUNTA(Table2614256[[#This Row],[1]:[11]])-COUNTBLANK(Table2614256[[#This Row],[1]:[11]])-1)))</f>
        <v/>
      </c>
      <c r="AH21" s="30" t="str" cm="1">
        <f t="array" ref="AH21">IF(Table2614256[[#This Row],[10]]="","",Table2614256[[#This Row],[Weight]:[Weight]]-(Table2614256[[#This Row],[Weight]:[Weight]]*((_xlfn.XMATCH(Table2614256[[#This Row],[10]],Table2614256[[#This Row],[1]:[11]],0))-1)/(COUNTA(Table2614256[[#This Row],[1]:[11]])-COUNTBLANK(Table2614256[[#This Row],[1]:[11]])-1)))</f>
        <v/>
      </c>
      <c r="AI21" s="30" t="str" cm="1">
        <f t="array" ref="AI21">IF(Table2614256[[#This Row],[11]]="","",Table2614256[[#This Row],[Weight]:[Weight]]-(Table2614256[[#This Row],[Weight]:[Weight]]*((_xlfn.XMATCH(Table2614256[[#This Row],[11]],Table2614256[[#This Row],[1]:[11]],0))-1)/(COUNTA(Table2614256[[#This Row],[1]:[11]])-COUNTBLANK(Table2614256[[#This Row],[1]:[11]])-1)))</f>
        <v/>
      </c>
    </row>
    <row r="22" spans="1:35" ht="120" x14ac:dyDescent="0.2">
      <c r="A22" s="20">
        <v>10</v>
      </c>
      <c r="B22" s="90" t="s">
        <v>353</v>
      </c>
      <c r="C22" s="119" t="s">
        <v>215</v>
      </c>
      <c r="D22" s="146"/>
      <c r="E22" s="146"/>
      <c r="F22" s="120" t="s">
        <v>60</v>
      </c>
      <c r="G22" s="148" cm="1">
        <f t="array" ref="G22">_xlfn.IFS(F22="","",F22="No interest",0,F22="Nice to have",1,F22="Useful",2,F22="Important",3,F22="Very important",4,F22="Critical",5,F22="Show stopper",6)</f>
        <v>6</v>
      </c>
      <c r="H22" s="149">
        <f t="shared" si="1"/>
        <v>7.4503311258278151E-4</v>
      </c>
      <c r="I22" s="150" t="s">
        <v>321</v>
      </c>
      <c r="J22" s="35" t="str" cm="1">
        <f t="array" ref="J22">_xlfn.TEXTJOIN(","&amp;CHAR(10),,TEXT(Table2614256[[#This Row],[12]:[22]],"0,00%"))</f>
        <v>0,00%,
0,00%,
0,00%,
0,00%,
0,00%</v>
      </c>
      <c r="K22" s="26"/>
      <c r="L22" s="27" t="e">
        <f>H22-(H22*((MATCH(Table2614256[[#This Row],[Evaluators Response (SELECT)]],Table2614256[[#This Row],[1]:[11]],0)-1)/(COUNTA(Table2614256[[#This Row],[1]:[11]])-COUNTBLANK(Table2614256[[#This Row],[1]:[11]])-1)))</f>
        <v>#N/A</v>
      </c>
      <c r="M22" s="28"/>
      <c r="N22" s="29" t="str" cm="1">
        <f t="array" ref="N22">IFERROR(INDEX(_xlfn.UNIQUE(TRIM(_xlfn.TEXTSPLIT(Table2614256[[#This Row],[Selection Options]:[Selection Options]],","))),,N$11),"")</f>
        <v>100%: Supported as delivered "out of the box"</v>
      </c>
      <c r="O22" s="29" t="str" cm="1">
        <f t="array" ref="O22">IFERROR(INDEX(_xlfn.UNIQUE(TRIM(_xlfn.TEXTSPLIT(Table2614256[[#This Row],[Selection Options]:[Selection Options]],","))),,O$11),"")</f>
        <v xml:space="preserve">
75%: Supported via modifications (config)</v>
      </c>
      <c r="P22" s="29" t="str" cm="1">
        <f t="array" ref="P22">IFERROR(INDEX(_xlfn.UNIQUE(TRIM(_xlfn.TEXTSPLIT(Table2614256[[#This Row],[Selection Options]:[Selection Options]],","))),,P$11),"")</f>
        <v xml:space="preserve">
50%: Supported via a third party solution</v>
      </c>
      <c r="Q22" s="29" t="str" cm="1">
        <f t="array" ref="Q22">IFERROR(INDEX(_xlfn.UNIQUE(TRIM(_xlfn.TEXTSPLIT(Table2614256[[#This Row],[Selection Options]:[Selection Options]],","))),,Q$11),"")</f>
        <v xml:space="preserve">
25%: Supported via customisation (source code changes)</v>
      </c>
      <c r="R22" s="29" t="str" cm="1">
        <f t="array" ref="R22">IFERROR(INDEX(_xlfn.UNIQUE(TRIM(_xlfn.TEXTSPLIT(Table2614256[[#This Row],[Selection Options]:[Selection Options]],","))),,R$11),"")</f>
        <v xml:space="preserve">
 0%: Not currently supported</v>
      </c>
      <c r="S22" s="29" t="str" cm="1">
        <f t="array" ref="S22">IFERROR(INDEX(_xlfn.UNIQUE(TRIM(_xlfn.TEXTSPLIT(Table2614256[[#This Row],[Selection Options]:[Selection Options]],","))),,S$11),"")</f>
        <v/>
      </c>
      <c r="T22" s="29" t="str" cm="1">
        <f t="array" ref="T22">IFERROR(INDEX(_xlfn.UNIQUE(TRIM(_xlfn.TEXTSPLIT(Table2614256[[#This Row],[Selection Options]:[Selection Options]],","))),,T$11),"")</f>
        <v/>
      </c>
      <c r="U22" s="29" t="str" cm="1">
        <f t="array" ref="U22">IFERROR(INDEX(_xlfn.UNIQUE(TRIM(_xlfn.TEXTSPLIT(Table2614256[[#This Row],[Selection Options]:[Selection Options]],","))),,U$11),"")</f>
        <v/>
      </c>
      <c r="V22" s="29" t="str" cm="1">
        <f t="array" ref="V22">IFERROR(INDEX(_xlfn.UNIQUE(TRIM(_xlfn.TEXTSPLIT(Table2614256[[#This Row],[Selection Options]:[Selection Options]],","))),,V$11),"")</f>
        <v/>
      </c>
      <c r="W22" s="29" t="str" cm="1">
        <f t="array" ref="W22">IFERROR(INDEX(_xlfn.UNIQUE(TRIM(_xlfn.TEXTSPLIT(Table2614256[[#This Row],[Selection Options]:[Selection Options]],","))),,W$11),"")</f>
        <v/>
      </c>
      <c r="X22" s="29" t="str" cm="1">
        <f t="array" ref="X22">IFERROR(INDEX(_xlfn.UNIQUE(TRIM(_xlfn.TEXTSPLIT(Table2614256[[#This Row],[Selection Options]:[Selection Options]],","))),,X$11),"")</f>
        <v/>
      </c>
      <c r="Y22" s="30" cm="1">
        <f t="array" ref="Y22">IF(Table2614256[[#This Row],[1]]="","",Table2614256[[#This Row],[Weight]:[Weight]]-(Table2614256[[#This Row],[Weight]:[Weight]]*((_xlfn.XMATCH(Table2614256[[#This Row],[1]],Table2614256[[#This Row],[1]:[11]],0))-1)/(COUNTA(Table2614256[[#This Row],[1]:[11]])-COUNTBLANK(Table2614256[[#This Row],[1]:[11]])-1)))</f>
        <v>7.4503311258278151E-4</v>
      </c>
      <c r="Z22" s="30" cm="1">
        <f t="array" ref="Z22">IF(Table2614256[[#This Row],[2]]="","",Table2614256[[#This Row],[Weight]:[Weight]]-(Table2614256[[#This Row],[Weight]:[Weight]]*((_xlfn.XMATCH(Table2614256[[#This Row],[2]],Table2614256[[#This Row],[1]:[11]],0))-1)/(COUNTA(Table2614256[[#This Row],[1]:[11]])-COUNTBLANK(Table2614256[[#This Row],[1]:[11]])-1)))</f>
        <v>5.5877483443708611E-4</v>
      </c>
      <c r="AA22" s="30" cm="1">
        <f t="array" ref="AA22">IF(Table2614256[[#This Row],[3]]="","",Table2614256[[#This Row],[Weight]:[Weight]]-(Table2614256[[#This Row],[Weight]:[Weight]]*((_xlfn.XMATCH(Table2614256[[#This Row],[3]],Table2614256[[#This Row],[1]:[11]],0))-1)/(COUNTA(Table2614256[[#This Row],[1]:[11]])-COUNTBLANK(Table2614256[[#This Row],[1]:[11]])-1)))</f>
        <v>3.7251655629139076E-4</v>
      </c>
      <c r="AB22" s="30" cm="1">
        <f t="array" ref="AB22">IF(Table2614256[[#This Row],[4]]="","",Table2614256[[#This Row],[Weight]:[Weight]]-(Table2614256[[#This Row],[Weight]:[Weight]]*((_xlfn.XMATCH(Table2614256[[#This Row],[4]],Table2614256[[#This Row],[1]:[11]],0))-1)/(COUNTA(Table2614256[[#This Row],[1]:[11]])-COUNTBLANK(Table2614256[[#This Row],[1]:[11]])-1)))</f>
        <v>1.862582781456954E-4</v>
      </c>
      <c r="AC22" s="30" cm="1">
        <f t="array" ref="AC22">IF(Table2614256[[#This Row],[5]]="","",Table2614256[[#This Row],[Weight]:[Weight]]-(Table2614256[[#This Row],[Weight]:[Weight]]*((_xlfn.XMATCH(Table2614256[[#This Row],[5]],Table2614256[[#This Row],[1]:[11]],0))-1)/(COUNTA(Table2614256[[#This Row],[1]:[11]])-COUNTBLANK(Table2614256[[#This Row],[1]:[11]])-1)))</f>
        <v>0</v>
      </c>
      <c r="AD22" s="30" t="str" cm="1">
        <f t="array" ref="AD22">IF(Table2614256[[#This Row],[6]]="","",Table2614256[[#This Row],[Weight]:[Weight]]-(Table2614256[[#This Row],[Weight]:[Weight]]*((_xlfn.XMATCH(Table2614256[[#This Row],[6]],Table2614256[[#This Row],[1]:[11]],0))-1)/(COUNTA(Table2614256[[#This Row],[1]:[11]])-COUNTBLANK(Table2614256[[#This Row],[1]:[11]])-1)))</f>
        <v/>
      </c>
      <c r="AE22" s="30" t="str" cm="1">
        <f t="array" ref="AE22">IF(Table2614256[[#This Row],[7]]="","",Table2614256[[#This Row],[Weight]:[Weight]]-(Table2614256[[#This Row],[Weight]:[Weight]]*((_xlfn.XMATCH(Table2614256[[#This Row],[7]],Table2614256[[#This Row],[1]:[11]],0))-1)/(COUNTA(Table2614256[[#This Row],[1]:[11]])-COUNTBLANK(Table2614256[[#This Row],[1]:[11]])-1)))</f>
        <v/>
      </c>
      <c r="AF22" s="30" t="str" cm="1">
        <f t="array" ref="AF22">IF(Table2614256[[#This Row],[8]]="","",Table2614256[[#This Row],[Weight]:[Weight]]-(Table2614256[[#This Row],[Weight]:[Weight]]*((_xlfn.XMATCH(Table2614256[[#This Row],[8]],Table2614256[[#This Row],[1]:[11]],0))-1)/(COUNTA(Table2614256[[#This Row],[1]:[11]])-COUNTBLANK(Table2614256[[#This Row],[1]:[11]])-1)))</f>
        <v/>
      </c>
      <c r="AG22" s="30" t="str" cm="1">
        <f t="array" ref="AG22">IF(Table2614256[[#This Row],[9]]="","",Table2614256[[#This Row],[Weight]:[Weight]]-(Table2614256[[#This Row],[Weight]:[Weight]]*((_xlfn.XMATCH(Table2614256[[#This Row],[9]],Table2614256[[#This Row],[1]:[11]],0))-1)/(COUNTA(Table2614256[[#This Row],[1]:[11]])-COUNTBLANK(Table2614256[[#This Row],[1]:[11]])-1)))</f>
        <v/>
      </c>
      <c r="AH22" s="30" t="str" cm="1">
        <f t="array" ref="AH22">IF(Table2614256[[#This Row],[10]]="","",Table2614256[[#This Row],[Weight]:[Weight]]-(Table2614256[[#This Row],[Weight]:[Weight]]*((_xlfn.XMATCH(Table2614256[[#This Row],[10]],Table2614256[[#This Row],[1]:[11]],0))-1)/(COUNTA(Table2614256[[#This Row],[1]:[11]])-COUNTBLANK(Table2614256[[#This Row],[1]:[11]])-1)))</f>
        <v/>
      </c>
      <c r="AI22" s="30" t="str" cm="1">
        <f t="array" ref="AI22">IF(Table2614256[[#This Row],[11]]="","",Table2614256[[#This Row],[Weight]:[Weight]]-(Table2614256[[#This Row],[Weight]:[Weight]]*((_xlfn.XMATCH(Table2614256[[#This Row],[11]],Table2614256[[#This Row],[1]:[11]],0))-1)/(COUNTA(Table2614256[[#This Row],[1]:[11]])-COUNTBLANK(Table2614256[[#This Row],[1]:[11]])-1)))</f>
        <v/>
      </c>
    </row>
    <row r="23" spans="1:35" ht="120" x14ac:dyDescent="0.2">
      <c r="A23" s="20">
        <v>11</v>
      </c>
      <c r="B23" s="90" t="s">
        <v>354</v>
      </c>
      <c r="C23" s="119" t="s">
        <v>215</v>
      </c>
      <c r="D23" s="146"/>
      <c r="E23" s="146"/>
      <c r="F23" s="120" t="s">
        <v>60</v>
      </c>
      <c r="G23" s="148" cm="1">
        <f t="array" ref="G23">_xlfn.IFS(F23="","",F23="No interest",0,F23="Nice to have",1,F23="Useful",2,F23="Important",3,F23="Very important",4,F23="Critical",5,F23="Show stopper",6)</f>
        <v>6</v>
      </c>
      <c r="H23" s="149">
        <f t="shared" si="1"/>
        <v>7.4503311258278151E-4</v>
      </c>
      <c r="I23" s="150" t="s">
        <v>321</v>
      </c>
      <c r="J23" s="35" t="str" cm="1">
        <f t="array" ref="J23">_xlfn.TEXTJOIN(","&amp;CHAR(10),,TEXT(Table2614256[[#This Row],[12]:[22]],"0,00%"))</f>
        <v>0,00%,
0,00%,
0,00%,
0,00%,
0,00%</v>
      </c>
      <c r="K23" s="26"/>
      <c r="L23" s="27" t="e">
        <f>H23-(H23*((MATCH(Table2614256[[#This Row],[Evaluators Response (SELECT)]],Table2614256[[#This Row],[1]:[11]],0)-1)/(COUNTA(Table2614256[[#This Row],[1]:[11]])-COUNTBLANK(Table2614256[[#This Row],[1]:[11]])-1)))</f>
        <v>#N/A</v>
      </c>
      <c r="M23" s="28"/>
      <c r="N23" s="29" t="str" cm="1">
        <f t="array" ref="N23">IFERROR(INDEX(_xlfn.UNIQUE(TRIM(_xlfn.TEXTSPLIT(Table2614256[[#This Row],[Selection Options]:[Selection Options]],","))),,N$11),"")</f>
        <v>100%: Supported as delivered "out of the box"</v>
      </c>
      <c r="O23" s="29" t="str" cm="1">
        <f t="array" ref="O23">IFERROR(INDEX(_xlfn.UNIQUE(TRIM(_xlfn.TEXTSPLIT(Table2614256[[#This Row],[Selection Options]:[Selection Options]],","))),,O$11),"")</f>
        <v xml:space="preserve">
75%: Supported via modifications (config)</v>
      </c>
      <c r="P23" s="29" t="str" cm="1">
        <f t="array" ref="P23">IFERROR(INDEX(_xlfn.UNIQUE(TRIM(_xlfn.TEXTSPLIT(Table2614256[[#This Row],[Selection Options]:[Selection Options]],","))),,P$11),"")</f>
        <v xml:space="preserve">
50%: Supported via a third party solution</v>
      </c>
      <c r="Q23" s="29" t="str" cm="1">
        <f t="array" ref="Q23">IFERROR(INDEX(_xlfn.UNIQUE(TRIM(_xlfn.TEXTSPLIT(Table2614256[[#This Row],[Selection Options]:[Selection Options]],","))),,Q$11),"")</f>
        <v xml:space="preserve">
25%: Supported via customisation (source code changes)</v>
      </c>
      <c r="R23" s="29" t="str" cm="1">
        <f t="array" ref="R23">IFERROR(INDEX(_xlfn.UNIQUE(TRIM(_xlfn.TEXTSPLIT(Table2614256[[#This Row],[Selection Options]:[Selection Options]],","))),,R$11),"")</f>
        <v xml:space="preserve">
 0%: Not currently supported</v>
      </c>
      <c r="S23" s="29" t="str" cm="1">
        <f t="array" ref="S23">IFERROR(INDEX(_xlfn.UNIQUE(TRIM(_xlfn.TEXTSPLIT(Table2614256[[#This Row],[Selection Options]:[Selection Options]],","))),,S$11),"")</f>
        <v/>
      </c>
      <c r="T23" s="29" t="str" cm="1">
        <f t="array" ref="T23">IFERROR(INDEX(_xlfn.UNIQUE(TRIM(_xlfn.TEXTSPLIT(Table2614256[[#This Row],[Selection Options]:[Selection Options]],","))),,T$11),"")</f>
        <v/>
      </c>
      <c r="U23" s="29" t="str" cm="1">
        <f t="array" ref="U23">IFERROR(INDEX(_xlfn.UNIQUE(TRIM(_xlfn.TEXTSPLIT(Table2614256[[#This Row],[Selection Options]:[Selection Options]],","))),,U$11),"")</f>
        <v/>
      </c>
      <c r="V23" s="29" t="str" cm="1">
        <f t="array" ref="V23">IFERROR(INDEX(_xlfn.UNIQUE(TRIM(_xlfn.TEXTSPLIT(Table2614256[[#This Row],[Selection Options]:[Selection Options]],","))),,V$11),"")</f>
        <v/>
      </c>
      <c r="W23" s="29" t="str" cm="1">
        <f t="array" ref="W23">IFERROR(INDEX(_xlfn.UNIQUE(TRIM(_xlfn.TEXTSPLIT(Table2614256[[#This Row],[Selection Options]:[Selection Options]],","))),,W$11),"")</f>
        <v/>
      </c>
      <c r="X23" s="29" t="str" cm="1">
        <f t="array" ref="X23">IFERROR(INDEX(_xlfn.UNIQUE(TRIM(_xlfn.TEXTSPLIT(Table2614256[[#This Row],[Selection Options]:[Selection Options]],","))),,X$11),"")</f>
        <v/>
      </c>
      <c r="Y23" s="30" cm="1">
        <f t="array" ref="Y23">IF(Table2614256[[#This Row],[1]]="","",Table2614256[[#This Row],[Weight]:[Weight]]-(Table2614256[[#This Row],[Weight]:[Weight]]*((_xlfn.XMATCH(Table2614256[[#This Row],[1]],Table2614256[[#This Row],[1]:[11]],0))-1)/(COUNTA(Table2614256[[#This Row],[1]:[11]])-COUNTBLANK(Table2614256[[#This Row],[1]:[11]])-1)))</f>
        <v>7.4503311258278151E-4</v>
      </c>
      <c r="Z23" s="30" cm="1">
        <f t="array" ref="Z23">IF(Table2614256[[#This Row],[2]]="","",Table2614256[[#This Row],[Weight]:[Weight]]-(Table2614256[[#This Row],[Weight]:[Weight]]*((_xlfn.XMATCH(Table2614256[[#This Row],[2]],Table2614256[[#This Row],[1]:[11]],0))-1)/(COUNTA(Table2614256[[#This Row],[1]:[11]])-COUNTBLANK(Table2614256[[#This Row],[1]:[11]])-1)))</f>
        <v>5.5877483443708611E-4</v>
      </c>
      <c r="AA23" s="30" cm="1">
        <f t="array" ref="AA23">IF(Table2614256[[#This Row],[3]]="","",Table2614256[[#This Row],[Weight]:[Weight]]-(Table2614256[[#This Row],[Weight]:[Weight]]*((_xlfn.XMATCH(Table2614256[[#This Row],[3]],Table2614256[[#This Row],[1]:[11]],0))-1)/(COUNTA(Table2614256[[#This Row],[1]:[11]])-COUNTBLANK(Table2614256[[#This Row],[1]:[11]])-1)))</f>
        <v>3.7251655629139076E-4</v>
      </c>
      <c r="AB23" s="30" cm="1">
        <f t="array" ref="AB23">IF(Table2614256[[#This Row],[4]]="","",Table2614256[[#This Row],[Weight]:[Weight]]-(Table2614256[[#This Row],[Weight]:[Weight]]*((_xlfn.XMATCH(Table2614256[[#This Row],[4]],Table2614256[[#This Row],[1]:[11]],0))-1)/(COUNTA(Table2614256[[#This Row],[1]:[11]])-COUNTBLANK(Table2614256[[#This Row],[1]:[11]])-1)))</f>
        <v>1.862582781456954E-4</v>
      </c>
      <c r="AC23" s="30" cm="1">
        <f t="array" ref="AC23">IF(Table2614256[[#This Row],[5]]="","",Table2614256[[#This Row],[Weight]:[Weight]]-(Table2614256[[#This Row],[Weight]:[Weight]]*((_xlfn.XMATCH(Table2614256[[#This Row],[5]],Table2614256[[#This Row],[1]:[11]],0))-1)/(COUNTA(Table2614256[[#This Row],[1]:[11]])-COUNTBLANK(Table2614256[[#This Row],[1]:[11]])-1)))</f>
        <v>0</v>
      </c>
      <c r="AD23" s="30" t="str" cm="1">
        <f t="array" ref="AD23">IF(Table2614256[[#This Row],[6]]="","",Table2614256[[#This Row],[Weight]:[Weight]]-(Table2614256[[#This Row],[Weight]:[Weight]]*((_xlfn.XMATCH(Table2614256[[#This Row],[6]],Table2614256[[#This Row],[1]:[11]],0))-1)/(COUNTA(Table2614256[[#This Row],[1]:[11]])-COUNTBLANK(Table2614256[[#This Row],[1]:[11]])-1)))</f>
        <v/>
      </c>
      <c r="AE23" s="30" t="str" cm="1">
        <f t="array" ref="AE23">IF(Table2614256[[#This Row],[7]]="","",Table2614256[[#This Row],[Weight]:[Weight]]-(Table2614256[[#This Row],[Weight]:[Weight]]*((_xlfn.XMATCH(Table2614256[[#This Row],[7]],Table2614256[[#This Row],[1]:[11]],0))-1)/(COUNTA(Table2614256[[#This Row],[1]:[11]])-COUNTBLANK(Table2614256[[#This Row],[1]:[11]])-1)))</f>
        <v/>
      </c>
      <c r="AF23" s="30" t="str" cm="1">
        <f t="array" ref="AF23">IF(Table2614256[[#This Row],[8]]="","",Table2614256[[#This Row],[Weight]:[Weight]]-(Table2614256[[#This Row],[Weight]:[Weight]]*((_xlfn.XMATCH(Table2614256[[#This Row],[8]],Table2614256[[#This Row],[1]:[11]],0))-1)/(COUNTA(Table2614256[[#This Row],[1]:[11]])-COUNTBLANK(Table2614256[[#This Row],[1]:[11]])-1)))</f>
        <v/>
      </c>
      <c r="AG23" s="30" t="str" cm="1">
        <f t="array" ref="AG23">IF(Table2614256[[#This Row],[9]]="","",Table2614256[[#This Row],[Weight]:[Weight]]-(Table2614256[[#This Row],[Weight]:[Weight]]*((_xlfn.XMATCH(Table2614256[[#This Row],[9]],Table2614256[[#This Row],[1]:[11]],0))-1)/(COUNTA(Table2614256[[#This Row],[1]:[11]])-COUNTBLANK(Table2614256[[#This Row],[1]:[11]])-1)))</f>
        <v/>
      </c>
      <c r="AH23" s="30" t="str" cm="1">
        <f t="array" ref="AH23">IF(Table2614256[[#This Row],[10]]="","",Table2614256[[#This Row],[Weight]:[Weight]]-(Table2614256[[#This Row],[Weight]:[Weight]]*((_xlfn.XMATCH(Table2614256[[#This Row],[10]],Table2614256[[#This Row],[1]:[11]],0))-1)/(COUNTA(Table2614256[[#This Row],[1]:[11]])-COUNTBLANK(Table2614256[[#This Row],[1]:[11]])-1)))</f>
        <v/>
      </c>
      <c r="AI23" s="30" t="str" cm="1">
        <f t="array" ref="AI23">IF(Table2614256[[#This Row],[11]]="","",Table2614256[[#This Row],[Weight]:[Weight]]-(Table2614256[[#This Row],[Weight]:[Weight]]*((_xlfn.XMATCH(Table2614256[[#This Row],[11]],Table2614256[[#This Row],[1]:[11]],0))-1)/(COUNTA(Table2614256[[#This Row],[1]:[11]])-COUNTBLANK(Table2614256[[#This Row],[1]:[11]])-1)))</f>
        <v/>
      </c>
    </row>
    <row r="24" spans="1:35" ht="120" x14ac:dyDescent="0.2">
      <c r="A24" s="20">
        <v>12</v>
      </c>
      <c r="B24" s="90" t="s">
        <v>355</v>
      </c>
      <c r="C24" s="119" t="s">
        <v>215</v>
      </c>
      <c r="D24" s="146"/>
      <c r="E24" s="146"/>
      <c r="F24" s="120" t="s">
        <v>188</v>
      </c>
      <c r="G24" s="148" cm="1">
        <f t="array" ref="G24">_xlfn.IFS(F24="","",F24="No interest",0,F24="Nice to have",1,F24="Useful",2,F24="Important",3,F24="Very important",4,F24="Critical",5,F24="Show stopper",6)</f>
        <v>5</v>
      </c>
      <c r="H24" s="149">
        <f t="shared" si="1"/>
        <v>6.2086092715231791E-4</v>
      </c>
      <c r="I24" s="150" t="s">
        <v>321</v>
      </c>
      <c r="J24" s="35" t="str" cm="1">
        <f t="array" ref="J24">_xlfn.TEXTJOIN(","&amp;CHAR(10),,TEXT(Table2614256[[#This Row],[12]:[22]],"0,00%"))</f>
        <v>0,00%,
0,00%,
0,00%,
0,00%,
0,00%</v>
      </c>
      <c r="K24" s="26"/>
      <c r="L24" s="27" t="e">
        <f>H24-(H24*((MATCH(Table2614256[[#This Row],[Evaluators Response (SELECT)]],Table2614256[[#This Row],[1]:[11]],0)-1)/(COUNTA(Table2614256[[#This Row],[1]:[11]])-COUNTBLANK(Table2614256[[#This Row],[1]:[11]])-1)))</f>
        <v>#N/A</v>
      </c>
      <c r="M24" s="28"/>
      <c r="N24" s="29" t="str" cm="1">
        <f t="array" ref="N24">IFERROR(INDEX(_xlfn.UNIQUE(TRIM(_xlfn.TEXTSPLIT(Table2614256[[#This Row],[Selection Options]:[Selection Options]],","))),,N$11),"")</f>
        <v>100%: Supported as delivered "out of the box"</v>
      </c>
      <c r="O24" s="29" t="str" cm="1">
        <f t="array" ref="O24">IFERROR(INDEX(_xlfn.UNIQUE(TRIM(_xlfn.TEXTSPLIT(Table2614256[[#This Row],[Selection Options]:[Selection Options]],","))),,O$11),"")</f>
        <v xml:space="preserve">
75%: Supported via modifications (config)</v>
      </c>
      <c r="P24" s="29" t="str" cm="1">
        <f t="array" ref="P24">IFERROR(INDEX(_xlfn.UNIQUE(TRIM(_xlfn.TEXTSPLIT(Table2614256[[#This Row],[Selection Options]:[Selection Options]],","))),,P$11),"")</f>
        <v xml:space="preserve">
50%: Supported via a third party solution</v>
      </c>
      <c r="Q24" s="29" t="str" cm="1">
        <f t="array" ref="Q24">IFERROR(INDEX(_xlfn.UNIQUE(TRIM(_xlfn.TEXTSPLIT(Table2614256[[#This Row],[Selection Options]:[Selection Options]],","))),,Q$11),"")</f>
        <v xml:space="preserve">
25%: Supported via customisation (source code changes)</v>
      </c>
      <c r="R24" s="29" t="str" cm="1">
        <f t="array" ref="R24">IFERROR(INDEX(_xlfn.UNIQUE(TRIM(_xlfn.TEXTSPLIT(Table2614256[[#This Row],[Selection Options]:[Selection Options]],","))),,R$11),"")</f>
        <v xml:space="preserve">
 0%: Not currently supported</v>
      </c>
      <c r="S24" s="29" t="str" cm="1">
        <f t="array" ref="S24">IFERROR(INDEX(_xlfn.UNIQUE(TRIM(_xlfn.TEXTSPLIT(Table2614256[[#This Row],[Selection Options]:[Selection Options]],","))),,S$11),"")</f>
        <v/>
      </c>
      <c r="T24" s="29" t="str" cm="1">
        <f t="array" ref="T24">IFERROR(INDEX(_xlfn.UNIQUE(TRIM(_xlfn.TEXTSPLIT(Table2614256[[#This Row],[Selection Options]:[Selection Options]],","))),,T$11),"")</f>
        <v/>
      </c>
      <c r="U24" s="29" t="str" cm="1">
        <f t="array" ref="U24">IFERROR(INDEX(_xlfn.UNIQUE(TRIM(_xlfn.TEXTSPLIT(Table2614256[[#This Row],[Selection Options]:[Selection Options]],","))),,U$11),"")</f>
        <v/>
      </c>
      <c r="V24" s="29" t="str" cm="1">
        <f t="array" ref="V24">IFERROR(INDEX(_xlfn.UNIQUE(TRIM(_xlfn.TEXTSPLIT(Table2614256[[#This Row],[Selection Options]:[Selection Options]],","))),,V$11),"")</f>
        <v/>
      </c>
      <c r="W24" s="29" t="str" cm="1">
        <f t="array" ref="W24">IFERROR(INDEX(_xlfn.UNIQUE(TRIM(_xlfn.TEXTSPLIT(Table2614256[[#This Row],[Selection Options]:[Selection Options]],","))),,W$11),"")</f>
        <v/>
      </c>
      <c r="X24" s="29" t="str" cm="1">
        <f t="array" ref="X24">IFERROR(INDEX(_xlfn.UNIQUE(TRIM(_xlfn.TEXTSPLIT(Table2614256[[#This Row],[Selection Options]:[Selection Options]],","))),,X$11),"")</f>
        <v/>
      </c>
      <c r="Y24" s="30" cm="1">
        <f t="array" ref="Y24">IF(Table2614256[[#This Row],[1]]="","",Table2614256[[#This Row],[Weight]:[Weight]]-(Table2614256[[#This Row],[Weight]:[Weight]]*((_xlfn.XMATCH(Table2614256[[#This Row],[1]],Table2614256[[#This Row],[1]:[11]],0))-1)/(COUNTA(Table2614256[[#This Row],[1]:[11]])-COUNTBLANK(Table2614256[[#This Row],[1]:[11]])-1)))</f>
        <v>6.2086092715231791E-4</v>
      </c>
      <c r="Z24" s="30" cm="1">
        <f t="array" ref="Z24">IF(Table2614256[[#This Row],[2]]="","",Table2614256[[#This Row],[Weight]:[Weight]]-(Table2614256[[#This Row],[Weight]:[Weight]]*((_xlfn.XMATCH(Table2614256[[#This Row],[2]],Table2614256[[#This Row],[1]:[11]],0))-1)/(COUNTA(Table2614256[[#This Row],[1]:[11]])-COUNTBLANK(Table2614256[[#This Row],[1]:[11]])-1)))</f>
        <v>4.656456953642384E-4</v>
      </c>
      <c r="AA24" s="30" cm="1">
        <f t="array" ref="AA24">IF(Table2614256[[#This Row],[3]]="","",Table2614256[[#This Row],[Weight]:[Weight]]-(Table2614256[[#This Row],[Weight]:[Weight]]*((_xlfn.XMATCH(Table2614256[[#This Row],[3]],Table2614256[[#This Row],[1]:[11]],0))-1)/(COUNTA(Table2614256[[#This Row],[1]:[11]])-COUNTBLANK(Table2614256[[#This Row],[1]:[11]])-1)))</f>
        <v>3.1043046357615895E-4</v>
      </c>
      <c r="AB24" s="30" cm="1">
        <f t="array" ref="AB24">IF(Table2614256[[#This Row],[4]]="","",Table2614256[[#This Row],[Weight]:[Weight]]-(Table2614256[[#This Row],[Weight]:[Weight]]*((_xlfn.XMATCH(Table2614256[[#This Row],[4]],Table2614256[[#This Row],[1]:[11]],0))-1)/(COUNTA(Table2614256[[#This Row],[1]:[11]])-COUNTBLANK(Table2614256[[#This Row],[1]:[11]])-1)))</f>
        <v>1.552152317880795E-4</v>
      </c>
      <c r="AC24" s="30" cm="1">
        <f t="array" ref="AC24">IF(Table2614256[[#This Row],[5]]="","",Table2614256[[#This Row],[Weight]:[Weight]]-(Table2614256[[#This Row],[Weight]:[Weight]]*((_xlfn.XMATCH(Table2614256[[#This Row],[5]],Table2614256[[#This Row],[1]:[11]],0))-1)/(COUNTA(Table2614256[[#This Row],[1]:[11]])-COUNTBLANK(Table2614256[[#This Row],[1]:[11]])-1)))</f>
        <v>0</v>
      </c>
      <c r="AD24" s="30" t="str" cm="1">
        <f t="array" ref="AD24">IF(Table2614256[[#This Row],[6]]="","",Table2614256[[#This Row],[Weight]:[Weight]]-(Table2614256[[#This Row],[Weight]:[Weight]]*((_xlfn.XMATCH(Table2614256[[#This Row],[6]],Table2614256[[#This Row],[1]:[11]],0))-1)/(COUNTA(Table2614256[[#This Row],[1]:[11]])-COUNTBLANK(Table2614256[[#This Row],[1]:[11]])-1)))</f>
        <v/>
      </c>
      <c r="AE24" s="30" t="str" cm="1">
        <f t="array" ref="AE24">IF(Table2614256[[#This Row],[7]]="","",Table2614256[[#This Row],[Weight]:[Weight]]-(Table2614256[[#This Row],[Weight]:[Weight]]*((_xlfn.XMATCH(Table2614256[[#This Row],[7]],Table2614256[[#This Row],[1]:[11]],0))-1)/(COUNTA(Table2614256[[#This Row],[1]:[11]])-COUNTBLANK(Table2614256[[#This Row],[1]:[11]])-1)))</f>
        <v/>
      </c>
      <c r="AF24" s="30" t="str" cm="1">
        <f t="array" ref="AF24">IF(Table2614256[[#This Row],[8]]="","",Table2614256[[#This Row],[Weight]:[Weight]]-(Table2614256[[#This Row],[Weight]:[Weight]]*((_xlfn.XMATCH(Table2614256[[#This Row],[8]],Table2614256[[#This Row],[1]:[11]],0))-1)/(COUNTA(Table2614256[[#This Row],[1]:[11]])-COUNTBLANK(Table2614256[[#This Row],[1]:[11]])-1)))</f>
        <v/>
      </c>
      <c r="AG24" s="30" t="str" cm="1">
        <f t="array" ref="AG24">IF(Table2614256[[#This Row],[9]]="","",Table2614256[[#This Row],[Weight]:[Weight]]-(Table2614256[[#This Row],[Weight]:[Weight]]*((_xlfn.XMATCH(Table2614256[[#This Row],[9]],Table2614256[[#This Row],[1]:[11]],0))-1)/(COUNTA(Table2614256[[#This Row],[1]:[11]])-COUNTBLANK(Table2614256[[#This Row],[1]:[11]])-1)))</f>
        <v/>
      </c>
      <c r="AH24" s="30" t="str" cm="1">
        <f t="array" ref="AH24">IF(Table2614256[[#This Row],[10]]="","",Table2614256[[#This Row],[Weight]:[Weight]]-(Table2614256[[#This Row],[Weight]:[Weight]]*((_xlfn.XMATCH(Table2614256[[#This Row],[10]],Table2614256[[#This Row],[1]:[11]],0))-1)/(COUNTA(Table2614256[[#This Row],[1]:[11]])-COUNTBLANK(Table2614256[[#This Row],[1]:[11]])-1)))</f>
        <v/>
      </c>
      <c r="AI24" s="30" t="str" cm="1">
        <f t="array" ref="AI24">IF(Table2614256[[#This Row],[11]]="","",Table2614256[[#This Row],[Weight]:[Weight]]-(Table2614256[[#This Row],[Weight]:[Weight]]*((_xlfn.XMATCH(Table2614256[[#This Row],[11]],Table2614256[[#This Row],[1]:[11]],0))-1)/(COUNTA(Table2614256[[#This Row],[1]:[11]])-COUNTBLANK(Table2614256[[#This Row],[1]:[11]])-1)))</f>
        <v/>
      </c>
    </row>
    <row r="25" spans="1:35" ht="120" x14ac:dyDescent="0.2">
      <c r="A25" s="20">
        <v>13</v>
      </c>
      <c r="B25" s="90" t="s">
        <v>356</v>
      </c>
      <c r="C25" s="119" t="s">
        <v>215</v>
      </c>
      <c r="D25" s="146"/>
      <c r="E25" s="146"/>
      <c r="F25" s="121" t="s">
        <v>60</v>
      </c>
      <c r="G25" s="148" cm="1">
        <f t="array" ref="G25">_xlfn.IFS(F25="","",F25="No interest",0,F25="Nice to have",1,F25="Useful",2,F25="Important",3,F25="Very important",4,F25="Critical",5,F25="Show stopper",6)</f>
        <v>6</v>
      </c>
      <c r="H25" s="149">
        <f t="shared" si="1"/>
        <v>7.4503311258278151E-4</v>
      </c>
      <c r="I25" s="150" t="s">
        <v>321</v>
      </c>
      <c r="J25" s="35" t="str" cm="1">
        <f t="array" ref="J25">_xlfn.TEXTJOIN(","&amp;CHAR(10),,TEXT(Table2614256[[#This Row],[12]:[22]],"0,00%"))</f>
        <v>0,00%,
0,00%,
0,00%,
0,00%,
0,00%</v>
      </c>
      <c r="K25" s="26"/>
      <c r="L25" s="27" t="e">
        <f>H25-(H25*((MATCH(Table2614256[[#This Row],[Evaluators Response (SELECT)]],Table2614256[[#This Row],[1]:[11]],0)-1)/(COUNTA(Table2614256[[#This Row],[1]:[11]])-COUNTBLANK(Table2614256[[#This Row],[1]:[11]])-1)))</f>
        <v>#N/A</v>
      </c>
      <c r="M25" s="28"/>
      <c r="N25" s="29" t="str" cm="1">
        <f t="array" ref="N25">IFERROR(INDEX(_xlfn.UNIQUE(TRIM(_xlfn.TEXTSPLIT(Table2614256[[#This Row],[Selection Options]:[Selection Options]],","))),,N$11),"")</f>
        <v>100%: Supported as delivered "out of the box"</v>
      </c>
      <c r="O25" s="29" t="str" cm="1">
        <f t="array" ref="O25">IFERROR(INDEX(_xlfn.UNIQUE(TRIM(_xlfn.TEXTSPLIT(Table2614256[[#This Row],[Selection Options]:[Selection Options]],","))),,O$11),"")</f>
        <v xml:space="preserve">
75%: Supported via modifications (config)</v>
      </c>
      <c r="P25" s="29" t="str" cm="1">
        <f t="array" ref="P25">IFERROR(INDEX(_xlfn.UNIQUE(TRIM(_xlfn.TEXTSPLIT(Table2614256[[#This Row],[Selection Options]:[Selection Options]],","))),,P$11),"")</f>
        <v xml:space="preserve">
50%: Supported via a third party solution</v>
      </c>
      <c r="Q25" s="29" t="str" cm="1">
        <f t="array" ref="Q25">IFERROR(INDEX(_xlfn.UNIQUE(TRIM(_xlfn.TEXTSPLIT(Table2614256[[#This Row],[Selection Options]:[Selection Options]],","))),,Q$11),"")</f>
        <v xml:space="preserve">
25%: Supported via customisation (source code changes)</v>
      </c>
      <c r="R25" s="29" t="str" cm="1">
        <f t="array" ref="R25">IFERROR(INDEX(_xlfn.UNIQUE(TRIM(_xlfn.TEXTSPLIT(Table2614256[[#This Row],[Selection Options]:[Selection Options]],","))),,R$11),"")</f>
        <v xml:space="preserve">
 0%: Not currently supported</v>
      </c>
      <c r="S25" s="29" t="str" cm="1">
        <f t="array" ref="S25">IFERROR(INDEX(_xlfn.UNIQUE(TRIM(_xlfn.TEXTSPLIT(Table2614256[[#This Row],[Selection Options]:[Selection Options]],","))),,S$11),"")</f>
        <v/>
      </c>
      <c r="T25" s="29" t="str" cm="1">
        <f t="array" ref="T25">IFERROR(INDEX(_xlfn.UNIQUE(TRIM(_xlfn.TEXTSPLIT(Table2614256[[#This Row],[Selection Options]:[Selection Options]],","))),,T$11),"")</f>
        <v/>
      </c>
      <c r="U25" s="29" t="str" cm="1">
        <f t="array" ref="U25">IFERROR(INDEX(_xlfn.UNIQUE(TRIM(_xlfn.TEXTSPLIT(Table2614256[[#This Row],[Selection Options]:[Selection Options]],","))),,U$11),"")</f>
        <v/>
      </c>
      <c r="V25" s="29" t="str" cm="1">
        <f t="array" ref="V25">IFERROR(INDEX(_xlfn.UNIQUE(TRIM(_xlfn.TEXTSPLIT(Table2614256[[#This Row],[Selection Options]:[Selection Options]],","))),,V$11),"")</f>
        <v/>
      </c>
      <c r="W25" s="29" t="str" cm="1">
        <f t="array" ref="W25">IFERROR(INDEX(_xlfn.UNIQUE(TRIM(_xlfn.TEXTSPLIT(Table2614256[[#This Row],[Selection Options]:[Selection Options]],","))),,W$11),"")</f>
        <v/>
      </c>
      <c r="X25" s="29" t="str" cm="1">
        <f t="array" ref="X25">IFERROR(INDEX(_xlfn.UNIQUE(TRIM(_xlfn.TEXTSPLIT(Table2614256[[#This Row],[Selection Options]:[Selection Options]],","))),,X$11),"")</f>
        <v/>
      </c>
      <c r="Y25" s="30" cm="1">
        <f t="array" ref="Y25">IF(Table2614256[[#This Row],[1]]="","",Table2614256[[#This Row],[Weight]:[Weight]]-(Table2614256[[#This Row],[Weight]:[Weight]]*((_xlfn.XMATCH(Table2614256[[#This Row],[1]],Table2614256[[#This Row],[1]:[11]],0))-1)/(COUNTA(Table2614256[[#This Row],[1]:[11]])-COUNTBLANK(Table2614256[[#This Row],[1]:[11]])-1)))</f>
        <v>7.4503311258278151E-4</v>
      </c>
      <c r="Z25" s="30" cm="1">
        <f t="array" ref="Z25">IF(Table2614256[[#This Row],[2]]="","",Table2614256[[#This Row],[Weight]:[Weight]]-(Table2614256[[#This Row],[Weight]:[Weight]]*((_xlfn.XMATCH(Table2614256[[#This Row],[2]],Table2614256[[#This Row],[1]:[11]],0))-1)/(COUNTA(Table2614256[[#This Row],[1]:[11]])-COUNTBLANK(Table2614256[[#This Row],[1]:[11]])-1)))</f>
        <v>5.5877483443708611E-4</v>
      </c>
      <c r="AA25" s="30" cm="1">
        <f t="array" ref="AA25">IF(Table2614256[[#This Row],[3]]="","",Table2614256[[#This Row],[Weight]:[Weight]]-(Table2614256[[#This Row],[Weight]:[Weight]]*((_xlfn.XMATCH(Table2614256[[#This Row],[3]],Table2614256[[#This Row],[1]:[11]],0))-1)/(COUNTA(Table2614256[[#This Row],[1]:[11]])-COUNTBLANK(Table2614256[[#This Row],[1]:[11]])-1)))</f>
        <v>3.7251655629139076E-4</v>
      </c>
      <c r="AB25" s="30" cm="1">
        <f t="array" ref="AB25">IF(Table2614256[[#This Row],[4]]="","",Table2614256[[#This Row],[Weight]:[Weight]]-(Table2614256[[#This Row],[Weight]:[Weight]]*((_xlfn.XMATCH(Table2614256[[#This Row],[4]],Table2614256[[#This Row],[1]:[11]],0))-1)/(COUNTA(Table2614256[[#This Row],[1]:[11]])-COUNTBLANK(Table2614256[[#This Row],[1]:[11]])-1)))</f>
        <v>1.862582781456954E-4</v>
      </c>
      <c r="AC25" s="30" cm="1">
        <f t="array" ref="AC25">IF(Table2614256[[#This Row],[5]]="","",Table2614256[[#This Row],[Weight]:[Weight]]-(Table2614256[[#This Row],[Weight]:[Weight]]*((_xlfn.XMATCH(Table2614256[[#This Row],[5]],Table2614256[[#This Row],[1]:[11]],0))-1)/(COUNTA(Table2614256[[#This Row],[1]:[11]])-COUNTBLANK(Table2614256[[#This Row],[1]:[11]])-1)))</f>
        <v>0</v>
      </c>
      <c r="AD25" s="30" t="str" cm="1">
        <f t="array" ref="AD25">IF(Table2614256[[#This Row],[6]]="","",Table2614256[[#This Row],[Weight]:[Weight]]-(Table2614256[[#This Row],[Weight]:[Weight]]*((_xlfn.XMATCH(Table2614256[[#This Row],[6]],Table2614256[[#This Row],[1]:[11]],0))-1)/(COUNTA(Table2614256[[#This Row],[1]:[11]])-COUNTBLANK(Table2614256[[#This Row],[1]:[11]])-1)))</f>
        <v/>
      </c>
      <c r="AE25" s="30" t="str" cm="1">
        <f t="array" ref="AE25">IF(Table2614256[[#This Row],[7]]="","",Table2614256[[#This Row],[Weight]:[Weight]]-(Table2614256[[#This Row],[Weight]:[Weight]]*((_xlfn.XMATCH(Table2614256[[#This Row],[7]],Table2614256[[#This Row],[1]:[11]],0))-1)/(COUNTA(Table2614256[[#This Row],[1]:[11]])-COUNTBLANK(Table2614256[[#This Row],[1]:[11]])-1)))</f>
        <v/>
      </c>
      <c r="AF25" s="30" t="str" cm="1">
        <f t="array" ref="AF25">IF(Table2614256[[#This Row],[8]]="","",Table2614256[[#This Row],[Weight]:[Weight]]-(Table2614256[[#This Row],[Weight]:[Weight]]*((_xlfn.XMATCH(Table2614256[[#This Row],[8]],Table2614256[[#This Row],[1]:[11]],0))-1)/(COUNTA(Table2614256[[#This Row],[1]:[11]])-COUNTBLANK(Table2614256[[#This Row],[1]:[11]])-1)))</f>
        <v/>
      </c>
      <c r="AG25" s="30" t="str" cm="1">
        <f t="array" ref="AG25">IF(Table2614256[[#This Row],[9]]="","",Table2614256[[#This Row],[Weight]:[Weight]]-(Table2614256[[#This Row],[Weight]:[Weight]]*((_xlfn.XMATCH(Table2614256[[#This Row],[9]],Table2614256[[#This Row],[1]:[11]],0))-1)/(COUNTA(Table2614256[[#This Row],[1]:[11]])-COUNTBLANK(Table2614256[[#This Row],[1]:[11]])-1)))</f>
        <v/>
      </c>
      <c r="AH25" s="30" t="str" cm="1">
        <f t="array" ref="AH25">IF(Table2614256[[#This Row],[10]]="","",Table2614256[[#This Row],[Weight]:[Weight]]-(Table2614256[[#This Row],[Weight]:[Weight]]*((_xlfn.XMATCH(Table2614256[[#This Row],[10]],Table2614256[[#This Row],[1]:[11]],0))-1)/(COUNTA(Table2614256[[#This Row],[1]:[11]])-COUNTBLANK(Table2614256[[#This Row],[1]:[11]])-1)))</f>
        <v/>
      </c>
      <c r="AI25" s="30" t="str" cm="1">
        <f t="array" ref="AI25">IF(Table2614256[[#This Row],[11]]="","",Table2614256[[#This Row],[Weight]:[Weight]]-(Table2614256[[#This Row],[Weight]:[Weight]]*((_xlfn.XMATCH(Table2614256[[#This Row],[11]],Table2614256[[#This Row],[1]:[11]],0))-1)/(COUNTA(Table2614256[[#This Row],[1]:[11]])-COUNTBLANK(Table2614256[[#This Row],[1]:[11]])-1)))</f>
        <v/>
      </c>
    </row>
    <row r="26" spans="1:35" ht="120" x14ac:dyDescent="0.2">
      <c r="A26" s="20">
        <v>14</v>
      </c>
      <c r="B26" s="90" t="s">
        <v>357</v>
      </c>
      <c r="C26" s="119" t="s">
        <v>215</v>
      </c>
      <c r="D26" s="146"/>
      <c r="E26" s="146"/>
      <c r="F26" s="121" t="s">
        <v>60</v>
      </c>
      <c r="G26" s="148" cm="1">
        <f t="array" ref="G26">_xlfn.IFS(F26="","",F26="No interest",0,F26="Nice to have",1,F26="Useful",2,F26="Important",3,F26="Very important",4,F26="Critical",5,F26="Show stopper",6)</f>
        <v>6</v>
      </c>
      <c r="H26" s="149">
        <f t="shared" si="1"/>
        <v>7.4503311258278151E-4</v>
      </c>
      <c r="I26" s="150" t="s">
        <v>321</v>
      </c>
      <c r="J26" s="35" t="str" cm="1">
        <f t="array" ref="J26">_xlfn.TEXTJOIN(","&amp;CHAR(10),,TEXT(Table2614256[[#This Row],[12]:[22]],"0,00%"))</f>
        <v>0,00%,
0,00%,
0,00%,
0,00%,
0,00%</v>
      </c>
      <c r="K26" s="26"/>
      <c r="L26" s="27" t="e">
        <f>H26-(H26*((MATCH(Table2614256[[#This Row],[Evaluators Response (SELECT)]],Table2614256[[#This Row],[1]:[11]],0)-1)/(COUNTA(Table2614256[[#This Row],[1]:[11]])-COUNTBLANK(Table2614256[[#This Row],[1]:[11]])-1)))</f>
        <v>#N/A</v>
      </c>
      <c r="M26" s="28"/>
      <c r="N26" s="29" t="str" cm="1">
        <f t="array" ref="N26">IFERROR(INDEX(_xlfn.UNIQUE(TRIM(_xlfn.TEXTSPLIT(Table2614256[[#This Row],[Selection Options]:[Selection Options]],","))),,N$11),"")</f>
        <v>100%: Supported as delivered "out of the box"</v>
      </c>
      <c r="O26" s="29" t="str" cm="1">
        <f t="array" ref="O26">IFERROR(INDEX(_xlfn.UNIQUE(TRIM(_xlfn.TEXTSPLIT(Table2614256[[#This Row],[Selection Options]:[Selection Options]],","))),,O$11),"")</f>
        <v xml:space="preserve">
75%: Supported via modifications (config)</v>
      </c>
      <c r="P26" s="29" t="str" cm="1">
        <f t="array" ref="P26">IFERROR(INDEX(_xlfn.UNIQUE(TRIM(_xlfn.TEXTSPLIT(Table2614256[[#This Row],[Selection Options]:[Selection Options]],","))),,P$11),"")</f>
        <v xml:space="preserve">
50%: Supported via a third party solution</v>
      </c>
      <c r="Q26" s="29" t="str" cm="1">
        <f t="array" ref="Q26">IFERROR(INDEX(_xlfn.UNIQUE(TRIM(_xlfn.TEXTSPLIT(Table2614256[[#This Row],[Selection Options]:[Selection Options]],","))),,Q$11),"")</f>
        <v xml:space="preserve">
25%: Supported via customisation (source code changes)</v>
      </c>
      <c r="R26" s="29" t="str" cm="1">
        <f t="array" ref="R26">IFERROR(INDEX(_xlfn.UNIQUE(TRIM(_xlfn.TEXTSPLIT(Table2614256[[#This Row],[Selection Options]:[Selection Options]],","))),,R$11),"")</f>
        <v xml:space="preserve">
 0%: Not currently supported</v>
      </c>
      <c r="S26" s="29" t="str" cm="1">
        <f t="array" ref="S26">IFERROR(INDEX(_xlfn.UNIQUE(TRIM(_xlfn.TEXTSPLIT(Table2614256[[#This Row],[Selection Options]:[Selection Options]],","))),,S$11),"")</f>
        <v/>
      </c>
      <c r="T26" s="29" t="str" cm="1">
        <f t="array" ref="T26">IFERROR(INDEX(_xlfn.UNIQUE(TRIM(_xlfn.TEXTSPLIT(Table2614256[[#This Row],[Selection Options]:[Selection Options]],","))),,T$11),"")</f>
        <v/>
      </c>
      <c r="U26" s="29" t="str" cm="1">
        <f t="array" ref="U26">IFERROR(INDEX(_xlfn.UNIQUE(TRIM(_xlfn.TEXTSPLIT(Table2614256[[#This Row],[Selection Options]:[Selection Options]],","))),,U$11),"")</f>
        <v/>
      </c>
      <c r="V26" s="29" t="str" cm="1">
        <f t="array" ref="V26">IFERROR(INDEX(_xlfn.UNIQUE(TRIM(_xlfn.TEXTSPLIT(Table2614256[[#This Row],[Selection Options]:[Selection Options]],","))),,V$11),"")</f>
        <v/>
      </c>
      <c r="W26" s="29" t="str" cm="1">
        <f t="array" ref="W26">IFERROR(INDEX(_xlfn.UNIQUE(TRIM(_xlfn.TEXTSPLIT(Table2614256[[#This Row],[Selection Options]:[Selection Options]],","))),,W$11),"")</f>
        <v/>
      </c>
      <c r="X26" s="29" t="str" cm="1">
        <f t="array" ref="X26">IFERROR(INDEX(_xlfn.UNIQUE(TRIM(_xlfn.TEXTSPLIT(Table2614256[[#This Row],[Selection Options]:[Selection Options]],","))),,X$11),"")</f>
        <v/>
      </c>
      <c r="Y26" s="30" cm="1">
        <f t="array" ref="Y26">IF(Table2614256[[#This Row],[1]]="","",Table2614256[[#This Row],[Weight]:[Weight]]-(Table2614256[[#This Row],[Weight]:[Weight]]*((_xlfn.XMATCH(Table2614256[[#This Row],[1]],Table2614256[[#This Row],[1]:[11]],0))-1)/(COUNTA(Table2614256[[#This Row],[1]:[11]])-COUNTBLANK(Table2614256[[#This Row],[1]:[11]])-1)))</f>
        <v>7.4503311258278151E-4</v>
      </c>
      <c r="Z26" s="30" cm="1">
        <f t="array" ref="Z26">IF(Table2614256[[#This Row],[2]]="","",Table2614256[[#This Row],[Weight]:[Weight]]-(Table2614256[[#This Row],[Weight]:[Weight]]*((_xlfn.XMATCH(Table2614256[[#This Row],[2]],Table2614256[[#This Row],[1]:[11]],0))-1)/(COUNTA(Table2614256[[#This Row],[1]:[11]])-COUNTBLANK(Table2614256[[#This Row],[1]:[11]])-1)))</f>
        <v>5.5877483443708611E-4</v>
      </c>
      <c r="AA26" s="30" cm="1">
        <f t="array" ref="AA26">IF(Table2614256[[#This Row],[3]]="","",Table2614256[[#This Row],[Weight]:[Weight]]-(Table2614256[[#This Row],[Weight]:[Weight]]*((_xlfn.XMATCH(Table2614256[[#This Row],[3]],Table2614256[[#This Row],[1]:[11]],0))-1)/(COUNTA(Table2614256[[#This Row],[1]:[11]])-COUNTBLANK(Table2614256[[#This Row],[1]:[11]])-1)))</f>
        <v>3.7251655629139076E-4</v>
      </c>
      <c r="AB26" s="30" cm="1">
        <f t="array" ref="AB26">IF(Table2614256[[#This Row],[4]]="","",Table2614256[[#This Row],[Weight]:[Weight]]-(Table2614256[[#This Row],[Weight]:[Weight]]*((_xlfn.XMATCH(Table2614256[[#This Row],[4]],Table2614256[[#This Row],[1]:[11]],0))-1)/(COUNTA(Table2614256[[#This Row],[1]:[11]])-COUNTBLANK(Table2614256[[#This Row],[1]:[11]])-1)))</f>
        <v>1.862582781456954E-4</v>
      </c>
      <c r="AC26" s="30" cm="1">
        <f t="array" ref="AC26">IF(Table2614256[[#This Row],[5]]="","",Table2614256[[#This Row],[Weight]:[Weight]]-(Table2614256[[#This Row],[Weight]:[Weight]]*((_xlfn.XMATCH(Table2614256[[#This Row],[5]],Table2614256[[#This Row],[1]:[11]],0))-1)/(COUNTA(Table2614256[[#This Row],[1]:[11]])-COUNTBLANK(Table2614256[[#This Row],[1]:[11]])-1)))</f>
        <v>0</v>
      </c>
      <c r="AD26" s="30" t="str" cm="1">
        <f t="array" ref="AD26">IF(Table2614256[[#This Row],[6]]="","",Table2614256[[#This Row],[Weight]:[Weight]]-(Table2614256[[#This Row],[Weight]:[Weight]]*((_xlfn.XMATCH(Table2614256[[#This Row],[6]],Table2614256[[#This Row],[1]:[11]],0))-1)/(COUNTA(Table2614256[[#This Row],[1]:[11]])-COUNTBLANK(Table2614256[[#This Row],[1]:[11]])-1)))</f>
        <v/>
      </c>
      <c r="AE26" s="30" t="str" cm="1">
        <f t="array" ref="AE26">IF(Table2614256[[#This Row],[7]]="","",Table2614256[[#This Row],[Weight]:[Weight]]-(Table2614256[[#This Row],[Weight]:[Weight]]*((_xlfn.XMATCH(Table2614256[[#This Row],[7]],Table2614256[[#This Row],[1]:[11]],0))-1)/(COUNTA(Table2614256[[#This Row],[1]:[11]])-COUNTBLANK(Table2614256[[#This Row],[1]:[11]])-1)))</f>
        <v/>
      </c>
      <c r="AF26" s="30" t="str" cm="1">
        <f t="array" ref="AF26">IF(Table2614256[[#This Row],[8]]="","",Table2614256[[#This Row],[Weight]:[Weight]]-(Table2614256[[#This Row],[Weight]:[Weight]]*((_xlfn.XMATCH(Table2614256[[#This Row],[8]],Table2614256[[#This Row],[1]:[11]],0))-1)/(COUNTA(Table2614256[[#This Row],[1]:[11]])-COUNTBLANK(Table2614256[[#This Row],[1]:[11]])-1)))</f>
        <v/>
      </c>
      <c r="AG26" s="30" t="str" cm="1">
        <f t="array" ref="AG26">IF(Table2614256[[#This Row],[9]]="","",Table2614256[[#This Row],[Weight]:[Weight]]-(Table2614256[[#This Row],[Weight]:[Weight]]*((_xlfn.XMATCH(Table2614256[[#This Row],[9]],Table2614256[[#This Row],[1]:[11]],0))-1)/(COUNTA(Table2614256[[#This Row],[1]:[11]])-COUNTBLANK(Table2614256[[#This Row],[1]:[11]])-1)))</f>
        <v/>
      </c>
      <c r="AH26" s="30" t="str" cm="1">
        <f t="array" ref="AH26">IF(Table2614256[[#This Row],[10]]="","",Table2614256[[#This Row],[Weight]:[Weight]]-(Table2614256[[#This Row],[Weight]:[Weight]]*((_xlfn.XMATCH(Table2614256[[#This Row],[10]],Table2614256[[#This Row],[1]:[11]],0))-1)/(COUNTA(Table2614256[[#This Row],[1]:[11]])-COUNTBLANK(Table2614256[[#This Row],[1]:[11]])-1)))</f>
        <v/>
      </c>
      <c r="AI26" s="30" t="str" cm="1">
        <f t="array" ref="AI26">IF(Table2614256[[#This Row],[11]]="","",Table2614256[[#This Row],[Weight]:[Weight]]-(Table2614256[[#This Row],[Weight]:[Weight]]*((_xlfn.XMATCH(Table2614256[[#This Row],[11]],Table2614256[[#This Row],[1]:[11]],0))-1)/(COUNTA(Table2614256[[#This Row],[1]:[11]])-COUNTBLANK(Table2614256[[#This Row],[1]:[11]])-1)))</f>
        <v/>
      </c>
    </row>
    <row r="27" spans="1:35" ht="120" x14ac:dyDescent="0.2">
      <c r="A27" s="20">
        <v>15</v>
      </c>
      <c r="B27" s="90" t="s">
        <v>358</v>
      </c>
      <c r="C27" s="119" t="s">
        <v>215</v>
      </c>
      <c r="D27" s="153"/>
      <c r="E27" s="153"/>
      <c r="F27" s="121" t="s">
        <v>60</v>
      </c>
      <c r="G27" s="148" cm="1">
        <f t="array" ref="G27">_xlfn.IFS(F27="","",F27="No interest",0,F27="Nice to have",1,F27="Useful",2,F27="Important",3,F27="Very important",4,F27="Critical",5,F27="Show stopper",6)</f>
        <v>6</v>
      </c>
      <c r="H27" s="149">
        <f t="shared" si="1"/>
        <v>7.4503311258278151E-4</v>
      </c>
      <c r="I27" s="150" t="s">
        <v>321</v>
      </c>
      <c r="J27" s="35" t="str" cm="1">
        <f t="array" ref="J27">_xlfn.TEXTJOIN(","&amp;CHAR(10),,TEXT(Table2614256[[#This Row],[12]:[22]],"0,00%"))</f>
        <v>0,00%,
0,00%,
0,00%,
0,00%,
0,00%</v>
      </c>
      <c r="K27" s="26"/>
      <c r="L27" s="27" t="e">
        <f>H27-(H27*((MATCH(Table2614256[[#This Row],[Evaluators Response (SELECT)]],Table2614256[[#This Row],[1]:[11]],0)-1)/(COUNTA(Table2614256[[#This Row],[1]:[11]])-COUNTBLANK(Table2614256[[#This Row],[1]:[11]])-1)))</f>
        <v>#N/A</v>
      </c>
      <c r="M27" s="28"/>
      <c r="N27" s="29" t="str" cm="1">
        <f t="array" ref="N27">IFERROR(INDEX(_xlfn.UNIQUE(TRIM(_xlfn.TEXTSPLIT(Table2614256[[#This Row],[Selection Options]:[Selection Options]],","))),,N$11),"")</f>
        <v>100%: Supported as delivered "out of the box"</v>
      </c>
      <c r="O27" s="29" t="str" cm="1">
        <f t="array" ref="O27">IFERROR(INDEX(_xlfn.UNIQUE(TRIM(_xlfn.TEXTSPLIT(Table2614256[[#This Row],[Selection Options]:[Selection Options]],","))),,O$11),"")</f>
        <v xml:space="preserve">
75%: Supported via modifications (config)</v>
      </c>
      <c r="P27" s="29" t="str" cm="1">
        <f t="array" ref="P27">IFERROR(INDEX(_xlfn.UNIQUE(TRIM(_xlfn.TEXTSPLIT(Table2614256[[#This Row],[Selection Options]:[Selection Options]],","))),,P$11),"")</f>
        <v xml:space="preserve">
50%: Supported via a third party solution</v>
      </c>
      <c r="Q27" s="29" t="str" cm="1">
        <f t="array" ref="Q27">IFERROR(INDEX(_xlfn.UNIQUE(TRIM(_xlfn.TEXTSPLIT(Table2614256[[#This Row],[Selection Options]:[Selection Options]],","))),,Q$11),"")</f>
        <v xml:space="preserve">
25%: Supported via customisation (source code changes)</v>
      </c>
      <c r="R27" s="29" t="str" cm="1">
        <f t="array" ref="R27">IFERROR(INDEX(_xlfn.UNIQUE(TRIM(_xlfn.TEXTSPLIT(Table2614256[[#This Row],[Selection Options]:[Selection Options]],","))),,R$11),"")</f>
        <v xml:space="preserve">
 0%: Not currently supported</v>
      </c>
      <c r="S27" s="29" t="str" cm="1">
        <f t="array" ref="S27">IFERROR(INDEX(_xlfn.UNIQUE(TRIM(_xlfn.TEXTSPLIT(Table2614256[[#This Row],[Selection Options]:[Selection Options]],","))),,S$11),"")</f>
        <v/>
      </c>
      <c r="T27" s="29" t="str" cm="1">
        <f t="array" ref="T27">IFERROR(INDEX(_xlfn.UNIQUE(TRIM(_xlfn.TEXTSPLIT(Table2614256[[#This Row],[Selection Options]:[Selection Options]],","))),,T$11),"")</f>
        <v/>
      </c>
      <c r="U27" s="29" t="str" cm="1">
        <f t="array" ref="U27">IFERROR(INDEX(_xlfn.UNIQUE(TRIM(_xlfn.TEXTSPLIT(Table2614256[[#This Row],[Selection Options]:[Selection Options]],","))),,U$11),"")</f>
        <v/>
      </c>
      <c r="V27" s="29" t="str" cm="1">
        <f t="array" ref="V27">IFERROR(INDEX(_xlfn.UNIQUE(TRIM(_xlfn.TEXTSPLIT(Table2614256[[#This Row],[Selection Options]:[Selection Options]],","))),,V$11),"")</f>
        <v/>
      </c>
      <c r="W27" s="29" t="str" cm="1">
        <f t="array" ref="W27">IFERROR(INDEX(_xlfn.UNIQUE(TRIM(_xlfn.TEXTSPLIT(Table2614256[[#This Row],[Selection Options]:[Selection Options]],","))),,W$11),"")</f>
        <v/>
      </c>
      <c r="X27" s="29" t="str" cm="1">
        <f t="array" ref="X27">IFERROR(INDEX(_xlfn.UNIQUE(TRIM(_xlfn.TEXTSPLIT(Table2614256[[#This Row],[Selection Options]:[Selection Options]],","))),,X$11),"")</f>
        <v/>
      </c>
      <c r="Y27" s="30" cm="1">
        <f t="array" ref="Y27">IF(Table2614256[[#This Row],[1]]="","",Table2614256[[#This Row],[Weight]:[Weight]]-(Table2614256[[#This Row],[Weight]:[Weight]]*((_xlfn.XMATCH(Table2614256[[#This Row],[1]],Table2614256[[#This Row],[1]:[11]],0))-1)/(COUNTA(Table2614256[[#This Row],[1]:[11]])-COUNTBLANK(Table2614256[[#This Row],[1]:[11]])-1)))</f>
        <v>7.4503311258278151E-4</v>
      </c>
      <c r="Z27" s="30" cm="1">
        <f t="array" ref="Z27">IF(Table2614256[[#This Row],[2]]="","",Table2614256[[#This Row],[Weight]:[Weight]]-(Table2614256[[#This Row],[Weight]:[Weight]]*((_xlfn.XMATCH(Table2614256[[#This Row],[2]],Table2614256[[#This Row],[1]:[11]],0))-1)/(COUNTA(Table2614256[[#This Row],[1]:[11]])-COUNTBLANK(Table2614256[[#This Row],[1]:[11]])-1)))</f>
        <v>5.5877483443708611E-4</v>
      </c>
      <c r="AA27" s="30" cm="1">
        <f t="array" ref="AA27">IF(Table2614256[[#This Row],[3]]="","",Table2614256[[#This Row],[Weight]:[Weight]]-(Table2614256[[#This Row],[Weight]:[Weight]]*((_xlfn.XMATCH(Table2614256[[#This Row],[3]],Table2614256[[#This Row],[1]:[11]],0))-1)/(COUNTA(Table2614256[[#This Row],[1]:[11]])-COUNTBLANK(Table2614256[[#This Row],[1]:[11]])-1)))</f>
        <v>3.7251655629139076E-4</v>
      </c>
      <c r="AB27" s="30" cm="1">
        <f t="array" ref="AB27">IF(Table2614256[[#This Row],[4]]="","",Table2614256[[#This Row],[Weight]:[Weight]]-(Table2614256[[#This Row],[Weight]:[Weight]]*((_xlfn.XMATCH(Table2614256[[#This Row],[4]],Table2614256[[#This Row],[1]:[11]],0))-1)/(COUNTA(Table2614256[[#This Row],[1]:[11]])-COUNTBLANK(Table2614256[[#This Row],[1]:[11]])-1)))</f>
        <v>1.862582781456954E-4</v>
      </c>
      <c r="AC27" s="30" cm="1">
        <f t="array" ref="AC27">IF(Table2614256[[#This Row],[5]]="","",Table2614256[[#This Row],[Weight]:[Weight]]-(Table2614256[[#This Row],[Weight]:[Weight]]*((_xlfn.XMATCH(Table2614256[[#This Row],[5]],Table2614256[[#This Row],[1]:[11]],0))-1)/(COUNTA(Table2614256[[#This Row],[1]:[11]])-COUNTBLANK(Table2614256[[#This Row],[1]:[11]])-1)))</f>
        <v>0</v>
      </c>
      <c r="AD27" s="30" t="str" cm="1">
        <f t="array" ref="AD27">IF(Table2614256[[#This Row],[6]]="","",Table2614256[[#This Row],[Weight]:[Weight]]-(Table2614256[[#This Row],[Weight]:[Weight]]*((_xlfn.XMATCH(Table2614256[[#This Row],[6]],Table2614256[[#This Row],[1]:[11]],0))-1)/(COUNTA(Table2614256[[#This Row],[1]:[11]])-COUNTBLANK(Table2614256[[#This Row],[1]:[11]])-1)))</f>
        <v/>
      </c>
      <c r="AE27" s="30" t="str" cm="1">
        <f t="array" ref="AE27">IF(Table2614256[[#This Row],[7]]="","",Table2614256[[#This Row],[Weight]:[Weight]]-(Table2614256[[#This Row],[Weight]:[Weight]]*((_xlfn.XMATCH(Table2614256[[#This Row],[7]],Table2614256[[#This Row],[1]:[11]],0))-1)/(COUNTA(Table2614256[[#This Row],[1]:[11]])-COUNTBLANK(Table2614256[[#This Row],[1]:[11]])-1)))</f>
        <v/>
      </c>
      <c r="AF27" s="30" t="str" cm="1">
        <f t="array" ref="AF27">IF(Table2614256[[#This Row],[8]]="","",Table2614256[[#This Row],[Weight]:[Weight]]-(Table2614256[[#This Row],[Weight]:[Weight]]*((_xlfn.XMATCH(Table2614256[[#This Row],[8]],Table2614256[[#This Row],[1]:[11]],0))-1)/(COUNTA(Table2614256[[#This Row],[1]:[11]])-COUNTBLANK(Table2614256[[#This Row],[1]:[11]])-1)))</f>
        <v/>
      </c>
      <c r="AG27" s="30" t="str" cm="1">
        <f t="array" ref="AG27">IF(Table2614256[[#This Row],[9]]="","",Table2614256[[#This Row],[Weight]:[Weight]]-(Table2614256[[#This Row],[Weight]:[Weight]]*((_xlfn.XMATCH(Table2614256[[#This Row],[9]],Table2614256[[#This Row],[1]:[11]],0))-1)/(COUNTA(Table2614256[[#This Row],[1]:[11]])-COUNTBLANK(Table2614256[[#This Row],[1]:[11]])-1)))</f>
        <v/>
      </c>
      <c r="AH27" s="30" t="str" cm="1">
        <f t="array" ref="AH27">IF(Table2614256[[#This Row],[10]]="","",Table2614256[[#This Row],[Weight]:[Weight]]-(Table2614256[[#This Row],[Weight]:[Weight]]*((_xlfn.XMATCH(Table2614256[[#This Row],[10]],Table2614256[[#This Row],[1]:[11]],0))-1)/(COUNTA(Table2614256[[#This Row],[1]:[11]])-COUNTBLANK(Table2614256[[#This Row],[1]:[11]])-1)))</f>
        <v/>
      </c>
      <c r="AI27" s="30" t="str" cm="1">
        <f t="array" ref="AI27">IF(Table2614256[[#This Row],[11]]="","",Table2614256[[#This Row],[Weight]:[Weight]]-(Table2614256[[#This Row],[Weight]:[Weight]]*((_xlfn.XMATCH(Table2614256[[#This Row],[11]],Table2614256[[#This Row],[1]:[11]],0))-1)/(COUNTA(Table2614256[[#This Row],[1]:[11]])-COUNTBLANK(Table2614256[[#This Row],[1]:[11]])-1)))</f>
        <v/>
      </c>
    </row>
    <row r="28" spans="1:35" ht="120" x14ac:dyDescent="0.2">
      <c r="A28" s="20">
        <v>16</v>
      </c>
      <c r="B28" s="90" t="s">
        <v>359</v>
      </c>
      <c r="C28" s="119" t="s">
        <v>215</v>
      </c>
      <c r="D28" s="153"/>
      <c r="E28" s="153"/>
      <c r="F28" s="121" t="s">
        <v>60</v>
      </c>
      <c r="G28" s="148" cm="1">
        <f t="array" ref="G28">_xlfn.IFS(F28="","",F28="No interest",0,F28="Nice to have",1,F28="Useful",2,F28="Important",3,F28="Very important",4,F28="Critical",5,F28="Show stopper",6)</f>
        <v>6</v>
      </c>
      <c r="H28" s="149">
        <f t="shared" si="1"/>
        <v>7.4503311258278151E-4</v>
      </c>
      <c r="I28" s="150" t="s">
        <v>321</v>
      </c>
      <c r="J28" s="35" t="str" cm="1">
        <f t="array" ref="J28">_xlfn.TEXTJOIN(","&amp;CHAR(10),,TEXT(Table2614256[[#This Row],[12]:[22]],"0,00%"))</f>
        <v>0,00%,
0,00%,
0,00%,
0,00%,
0,00%</v>
      </c>
      <c r="K28" s="26"/>
      <c r="L28" s="27" t="e">
        <f>H28-(H28*((MATCH(Table2614256[[#This Row],[Evaluators Response (SELECT)]],Table2614256[[#This Row],[1]:[11]],0)-1)/(COUNTA(Table2614256[[#This Row],[1]:[11]])-COUNTBLANK(Table2614256[[#This Row],[1]:[11]])-1)))</f>
        <v>#N/A</v>
      </c>
      <c r="M28" s="28"/>
      <c r="N28" s="29" t="str" cm="1">
        <f t="array" ref="N28">IFERROR(INDEX(_xlfn.UNIQUE(TRIM(_xlfn.TEXTSPLIT(Table2614256[[#This Row],[Selection Options]:[Selection Options]],","))),,N$11),"")</f>
        <v>100%: Supported as delivered "out of the box"</v>
      </c>
      <c r="O28" s="29" t="str" cm="1">
        <f t="array" ref="O28">IFERROR(INDEX(_xlfn.UNIQUE(TRIM(_xlfn.TEXTSPLIT(Table2614256[[#This Row],[Selection Options]:[Selection Options]],","))),,O$11),"")</f>
        <v xml:space="preserve">
75%: Supported via modifications (config)</v>
      </c>
      <c r="P28" s="29" t="str" cm="1">
        <f t="array" ref="P28">IFERROR(INDEX(_xlfn.UNIQUE(TRIM(_xlfn.TEXTSPLIT(Table2614256[[#This Row],[Selection Options]:[Selection Options]],","))),,P$11),"")</f>
        <v xml:space="preserve">
50%: Supported via a third party solution</v>
      </c>
      <c r="Q28" s="29" t="str" cm="1">
        <f t="array" ref="Q28">IFERROR(INDEX(_xlfn.UNIQUE(TRIM(_xlfn.TEXTSPLIT(Table2614256[[#This Row],[Selection Options]:[Selection Options]],","))),,Q$11),"")</f>
        <v xml:space="preserve">
25%: Supported via customisation (source code changes)</v>
      </c>
      <c r="R28" s="29" t="str" cm="1">
        <f t="array" ref="R28">IFERROR(INDEX(_xlfn.UNIQUE(TRIM(_xlfn.TEXTSPLIT(Table2614256[[#This Row],[Selection Options]:[Selection Options]],","))),,R$11),"")</f>
        <v xml:space="preserve">
 0%: Not currently supported</v>
      </c>
      <c r="S28" s="29" t="str" cm="1">
        <f t="array" ref="S28">IFERROR(INDEX(_xlfn.UNIQUE(TRIM(_xlfn.TEXTSPLIT(Table2614256[[#This Row],[Selection Options]:[Selection Options]],","))),,S$11),"")</f>
        <v/>
      </c>
      <c r="T28" s="29" t="str" cm="1">
        <f t="array" ref="T28">IFERROR(INDEX(_xlfn.UNIQUE(TRIM(_xlfn.TEXTSPLIT(Table2614256[[#This Row],[Selection Options]:[Selection Options]],","))),,T$11),"")</f>
        <v/>
      </c>
      <c r="U28" s="29" t="str" cm="1">
        <f t="array" ref="U28">IFERROR(INDEX(_xlfn.UNIQUE(TRIM(_xlfn.TEXTSPLIT(Table2614256[[#This Row],[Selection Options]:[Selection Options]],","))),,U$11),"")</f>
        <v/>
      </c>
      <c r="V28" s="29" t="str" cm="1">
        <f t="array" ref="V28">IFERROR(INDEX(_xlfn.UNIQUE(TRIM(_xlfn.TEXTSPLIT(Table2614256[[#This Row],[Selection Options]:[Selection Options]],","))),,V$11),"")</f>
        <v/>
      </c>
      <c r="W28" s="29" t="str" cm="1">
        <f t="array" ref="W28">IFERROR(INDEX(_xlfn.UNIQUE(TRIM(_xlfn.TEXTSPLIT(Table2614256[[#This Row],[Selection Options]:[Selection Options]],","))),,W$11),"")</f>
        <v/>
      </c>
      <c r="X28" s="29" t="str" cm="1">
        <f t="array" ref="X28">IFERROR(INDEX(_xlfn.UNIQUE(TRIM(_xlfn.TEXTSPLIT(Table2614256[[#This Row],[Selection Options]:[Selection Options]],","))),,X$11),"")</f>
        <v/>
      </c>
      <c r="Y28" s="30" cm="1">
        <f t="array" ref="Y28">IF(Table2614256[[#This Row],[1]]="","",Table2614256[[#This Row],[Weight]:[Weight]]-(Table2614256[[#This Row],[Weight]:[Weight]]*((_xlfn.XMATCH(Table2614256[[#This Row],[1]],Table2614256[[#This Row],[1]:[11]],0))-1)/(COUNTA(Table2614256[[#This Row],[1]:[11]])-COUNTBLANK(Table2614256[[#This Row],[1]:[11]])-1)))</f>
        <v>7.4503311258278151E-4</v>
      </c>
      <c r="Z28" s="30" cm="1">
        <f t="array" ref="Z28">IF(Table2614256[[#This Row],[2]]="","",Table2614256[[#This Row],[Weight]:[Weight]]-(Table2614256[[#This Row],[Weight]:[Weight]]*((_xlfn.XMATCH(Table2614256[[#This Row],[2]],Table2614256[[#This Row],[1]:[11]],0))-1)/(COUNTA(Table2614256[[#This Row],[1]:[11]])-COUNTBLANK(Table2614256[[#This Row],[1]:[11]])-1)))</f>
        <v>5.5877483443708611E-4</v>
      </c>
      <c r="AA28" s="30" cm="1">
        <f t="array" ref="AA28">IF(Table2614256[[#This Row],[3]]="","",Table2614256[[#This Row],[Weight]:[Weight]]-(Table2614256[[#This Row],[Weight]:[Weight]]*((_xlfn.XMATCH(Table2614256[[#This Row],[3]],Table2614256[[#This Row],[1]:[11]],0))-1)/(COUNTA(Table2614256[[#This Row],[1]:[11]])-COUNTBLANK(Table2614256[[#This Row],[1]:[11]])-1)))</f>
        <v>3.7251655629139076E-4</v>
      </c>
      <c r="AB28" s="30" cm="1">
        <f t="array" ref="AB28">IF(Table2614256[[#This Row],[4]]="","",Table2614256[[#This Row],[Weight]:[Weight]]-(Table2614256[[#This Row],[Weight]:[Weight]]*((_xlfn.XMATCH(Table2614256[[#This Row],[4]],Table2614256[[#This Row],[1]:[11]],0))-1)/(COUNTA(Table2614256[[#This Row],[1]:[11]])-COUNTBLANK(Table2614256[[#This Row],[1]:[11]])-1)))</f>
        <v>1.862582781456954E-4</v>
      </c>
      <c r="AC28" s="30" cm="1">
        <f t="array" ref="AC28">IF(Table2614256[[#This Row],[5]]="","",Table2614256[[#This Row],[Weight]:[Weight]]-(Table2614256[[#This Row],[Weight]:[Weight]]*((_xlfn.XMATCH(Table2614256[[#This Row],[5]],Table2614256[[#This Row],[1]:[11]],0))-1)/(COUNTA(Table2614256[[#This Row],[1]:[11]])-COUNTBLANK(Table2614256[[#This Row],[1]:[11]])-1)))</f>
        <v>0</v>
      </c>
      <c r="AD28" s="30" t="str" cm="1">
        <f t="array" ref="AD28">IF(Table2614256[[#This Row],[6]]="","",Table2614256[[#This Row],[Weight]:[Weight]]-(Table2614256[[#This Row],[Weight]:[Weight]]*((_xlfn.XMATCH(Table2614256[[#This Row],[6]],Table2614256[[#This Row],[1]:[11]],0))-1)/(COUNTA(Table2614256[[#This Row],[1]:[11]])-COUNTBLANK(Table2614256[[#This Row],[1]:[11]])-1)))</f>
        <v/>
      </c>
      <c r="AE28" s="30" t="str" cm="1">
        <f t="array" ref="AE28">IF(Table2614256[[#This Row],[7]]="","",Table2614256[[#This Row],[Weight]:[Weight]]-(Table2614256[[#This Row],[Weight]:[Weight]]*((_xlfn.XMATCH(Table2614256[[#This Row],[7]],Table2614256[[#This Row],[1]:[11]],0))-1)/(COUNTA(Table2614256[[#This Row],[1]:[11]])-COUNTBLANK(Table2614256[[#This Row],[1]:[11]])-1)))</f>
        <v/>
      </c>
      <c r="AF28" s="30" t="str" cm="1">
        <f t="array" ref="AF28">IF(Table2614256[[#This Row],[8]]="","",Table2614256[[#This Row],[Weight]:[Weight]]-(Table2614256[[#This Row],[Weight]:[Weight]]*((_xlfn.XMATCH(Table2614256[[#This Row],[8]],Table2614256[[#This Row],[1]:[11]],0))-1)/(COUNTA(Table2614256[[#This Row],[1]:[11]])-COUNTBLANK(Table2614256[[#This Row],[1]:[11]])-1)))</f>
        <v/>
      </c>
      <c r="AG28" s="30" t="str" cm="1">
        <f t="array" ref="AG28">IF(Table2614256[[#This Row],[9]]="","",Table2614256[[#This Row],[Weight]:[Weight]]-(Table2614256[[#This Row],[Weight]:[Weight]]*((_xlfn.XMATCH(Table2614256[[#This Row],[9]],Table2614256[[#This Row],[1]:[11]],0))-1)/(COUNTA(Table2614256[[#This Row],[1]:[11]])-COUNTBLANK(Table2614256[[#This Row],[1]:[11]])-1)))</f>
        <v/>
      </c>
      <c r="AH28" s="30" t="str" cm="1">
        <f t="array" ref="AH28">IF(Table2614256[[#This Row],[10]]="","",Table2614256[[#This Row],[Weight]:[Weight]]-(Table2614256[[#This Row],[Weight]:[Weight]]*((_xlfn.XMATCH(Table2614256[[#This Row],[10]],Table2614256[[#This Row],[1]:[11]],0))-1)/(COUNTA(Table2614256[[#This Row],[1]:[11]])-COUNTBLANK(Table2614256[[#This Row],[1]:[11]])-1)))</f>
        <v/>
      </c>
      <c r="AI28" s="30" t="str" cm="1">
        <f t="array" ref="AI28">IF(Table2614256[[#This Row],[11]]="","",Table2614256[[#This Row],[Weight]:[Weight]]-(Table2614256[[#This Row],[Weight]:[Weight]]*((_xlfn.XMATCH(Table2614256[[#This Row],[11]],Table2614256[[#This Row],[1]:[11]],0))-1)/(COUNTA(Table2614256[[#This Row],[1]:[11]])-COUNTBLANK(Table2614256[[#This Row],[1]:[11]])-1)))</f>
        <v/>
      </c>
    </row>
    <row r="29" spans="1:35" ht="120" x14ac:dyDescent="0.2">
      <c r="A29" s="20">
        <v>17</v>
      </c>
      <c r="B29" s="90" t="s">
        <v>360</v>
      </c>
      <c r="C29" s="119" t="s">
        <v>215</v>
      </c>
      <c r="D29" s="153"/>
      <c r="E29" s="153"/>
      <c r="F29" s="121" t="s">
        <v>60</v>
      </c>
      <c r="G29" s="148" cm="1">
        <f t="array" ref="G29">_xlfn.IFS(F29="","",F29="No interest",0,F29="Nice to have",1,F29="Useful",2,F29="Important",3,F29="Very important",4,F29="Critical",5,F29="Show stopper",6)</f>
        <v>6</v>
      </c>
      <c r="H29" s="149">
        <f t="shared" si="1"/>
        <v>7.4503311258278151E-4</v>
      </c>
      <c r="I29" s="150" t="s">
        <v>321</v>
      </c>
      <c r="J29" s="35" t="str" cm="1">
        <f t="array" ref="J29">_xlfn.TEXTJOIN(","&amp;CHAR(10),,TEXT(Table2614256[[#This Row],[12]:[22]],"0,00%"))</f>
        <v>0,00%,
0,00%,
0,00%,
0,00%,
0,00%</v>
      </c>
      <c r="K29" s="26"/>
      <c r="L29" s="27" t="e">
        <f>H29-(H29*((MATCH(Table2614256[[#This Row],[Evaluators Response (SELECT)]],Table2614256[[#This Row],[1]:[11]],0)-1)/(COUNTA(Table2614256[[#This Row],[1]:[11]])-COUNTBLANK(Table2614256[[#This Row],[1]:[11]])-1)))</f>
        <v>#N/A</v>
      </c>
      <c r="M29" s="28"/>
      <c r="N29" s="29" t="str" cm="1">
        <f t="array" ref="N29">IFERROR(INDEX(_xlfn.UNIQUE(TRIM(_xlfn.TEXTSPLIT(Table2614256[[#This Row],[Selection Options]:[Selection Options]],","))),,N$11),"")</f>
        <v>100%: Supported as delivered "out of the box"</v>
      </c>
      <c r="O29" s="29" t="str" cm="1">
        <f t="array" ref="O29">IFERROR(INDEX(_xlfn.UNIQUE(TRIM(_xlfn.TEXTSPLIT(Table2614256[[#This Row],[Selection Options]:[Selection Options]],","))),,O$11),"")</f>
        <v xml:space="preserve">
75%: Supported via modifications (config)</v>
      </c>
      <c r="P29" s="29" t="str" cm="1">
        <f t="array" ref="P29">IFERROR(INDEX(_xlfn.UNIQUE(TRIM(_xlfn.TEXTSPLIT(Table2614256[[#This Row],[Selection Options]:[Selection Options]],","))),,P$11),"")</f>
        <v xml:space="preserve">
50%: Supported via a third party solution</v>
      </c>
      <c r="Q29" s="29" t="str" cm="1">
        <f t="array" ref="Q29">IFERROR(INDEX(_xlfn.UNIQUE(TRIM(_xlfn.TEXTSPLIT(Table2614256[[#This Row],[Selection Options]:[Selection Options]],","))),,Q$11),"")</f>
        <v xml:space="preserve">
25%: Supported via customisation (source code changes)</v>
      </c>
      <c r="R29" s="29" t="str" cm="1">
        <f t="array" ref="R29">IFERROR(INDEX(_xlfn.UNIQUE(TRIM(_xlfn.TEXTSPLIT(Table2614256[[#This Row],[Selection Options]:[Selection Options]],","))),,R$11),"")</f>
        <v xml:space="preserve">
 0%: Not currently supported</v>
      </c>
      <c r="S29" s="29" t="str" cm="1">
        <f t="array" ref="S29">IFERROR(INDEX(_xlfn.UNIQUE(TRIM(_xlfn.TEXTSPLIT(Table2614256[[#This Row],[Selection Options]:[Selection Options]],","))),,S$11),"")</f>
        <v/>
      </c>
      <c r="T29" s="29" t="str" cm="1">
        <f t="array" ref="T29">IFERROR(INDEX(_xlfn.UNIQUE(TRIM(_xlfn.TEXTSPLIT(Table2614256[[#This Row],[Selection Options]:[Selection Options]],","))),,T$11),"")</f>
        <v/>
      </c>
      <c r="U29" s="29" t="str" cm="1">
        <f t="array" ref="U29">IFERROR(INDEX(_xlfn.UNIQUE(TRIM(_xlfn.TEXTSPLIT(Table2614256[[#This Row],[Selection Options]:[Selection Options]],","))),,U$11),"")</f>
        <v/>
      </c>
      <c r="V29" s="29" t="str" cm="1">
        <f t="array" ref="V29">IFERROR(INDEX(_xlfn.UNIQUE(TRIM(_xlfn.TEXTSPLIT(Table2614256[[#This Row],[Selection Options]:[Selection Options]],","))),,V$11),"")</f>
        <v/>
      </c>
      <c r="W29" s="29" t="str" cm="1">
        <f t="array" ref="W29">IFERROR(INDEX(_xlfn.UNIQUE(TRIM(_xlfn.TEXTSPLIT(Table2614256[[#This Row],[Selection Options]:[Selection Options]],","))),,W$11),"")</f>
        <v/>
      </c>
      <c r="X29" s="29" t="str" cm="1">
        <f t="array" ref="X29">IFERROR(INDEX(_xlfn.UNIQUE(TRIM(_xlfn.TEXTSPLIT(Table2614256[[#This Row],[Selection Options]:[Selection Options]],","))),,X$11),"")</f>
        <v/>
      </c>
      <c r="Y29" s="30" cm="1">
        <f t="array" ref="Y29">IF(Table2614256[[#This Row],[1]]="","",Table2614256[[#This Row],[Weight]:[Weight]]-(Table2614256[[#This Row],[Weight]:[Weight]]*((_xlfn.XMATCH(Table2614256[[#This Row],[1]],Table2614256[[#This Row],[1]:[11]],0))-1)/(COUNTA(Table2614256[[#This Row],[1]:[11]])-COUNTBLANK(Table2614256[[#This Row],[1]:[11]])-1)))</f>
        <v>7.4503311258278151E-4</v>
      </c>
      <c r="Z29" s="30" cm="1">
        <f t="array" ref="Z29">IF(Table2614256[[#This Row],[2]]="","",Table2614256[[#This Row],[Weight]:[Weight]]-(Table2614256[[#This Row],[Weight]:[Weight]]*((_xlfn.XMATCH(Table2614256[[#This Row],[2]],Table2614256[[#This Row],[1]:[11]],0))-1)/(COUNTA(Table2614256[[#This Row],[1]:[11]])-COUNTBLANK(Table2614256[[#This Row],[1]:[11]])-1)))</f>
        <v>5.5877483443708611E-4</v>
      </c>
      <c r="AA29" s="30" cm="1">
        <f t="array" ref="AA29">IF(Table2614256[[#This Row],[3]]="","",Table2614256[[#This Row],[Weight]:[Weight]]-(Table2614256[[#This Row],[Weight]:[Weight]]*((_xlfn.XMATCH(Table2614256[[#This Row],[3]],Table2614256[[#This Row],[1]:[11]],0))-1)/(COUNTA(Table2614256[[#This Row],[1]:[11]])-COUNTBLANK(Table2614256[[#This Row],[1]:[11]])-1)))</f>
        <v>3.7251655629139076E-4</v>
      </c>
      <c r="AB29" s="30" cm="1">
        <f t="array" ref="AB29">IF(Table2614256[[#This Row],[4]]="","",Table2614256[[#This Row],[Weight]:[Weight]]-(Table2614256[[#This Row],[Weight]:[Weight]]*((_xlfn.XMATCH(Table2614256[[#This Row],[4]],Table2614256[[#This Row],[1]:[11]],0))-1)/(COUNTA(Table2614256[[#This Row],[1]:[11]])-COUNTBLANK(Table2614256[[#This Row],[1]:[11]])-1)))</f>
        <v>1.862582781456954E-4</v>
      </c>
      <c r="AC29" s="30" cm="1">
        <f t="array" ref="AC29">IF(Table2614256[[#This Row],[5]]="","",Table2614256[[#This Row],[Weight]:[Weight]]-(Table2614256[[#This Row],[Weight]:[Weight]]*((_xlfn.XMATCH(Table2614256[[#This Row],[5]],Table2614256[[#This Row],[1]:[11]],0))-1)/(COUNTA(Table2614256[[#This Row],[1]:[11]])-COUNTBLANK(Table2614256[[#This Row],[1]:[11]])-1)))</f>
        <v>0</v>
      </c>
      <c r="AD29" s="30" t="str" cm="1">
        <f t="array" ref="AD29">IF(Table2614256[[#This Row],[6]]="","",Table2614256[[#This Row],[Weight]:[Weight]]-(Table2614256[[#This Row],[Weight]:[Weight]]*((_xlfn.XMATCH(Table2614256[[#This Row],[6]],Table2614256[[#This Row],[1]:[11]],0))-1)/(COUNTA(Table2614256[[#This Row],[1]:[11]])-COUNTBLANK(Table2614256[[#This Row],[1]:[11]])-1)))</f>
        <v/>
      </c>
      <c r="AE29" s="30" t="str" cm="1">
        <f t="array" ref="AE29">IF(Table2614256[[#This Row],[7]]="","",Table2614256[[#This Row],[Weight]:[Weight]]-(Table2614256[[#This Row],[Weight]:[Weight]]*((_xlfn.XMATCH(Table2614256[[#This Row],[7]],Table2614256[[#This Row],[1]:[11]],0))-1)/(COUNTA(Table2614256[[#This Row],[1]:[11]])-COUNTBLANK(Table2614256[[#This Row],[1]:[11]])-1)))</f>
        <v/>
      </c>
      <c r="AF29" s="30" t="str" cm="1">
        <f t="array" ref="AF29">IF(Table2614256[[#This Row],[8]]="","",Table2614256[[#This Row],[Weight]:[Weight]]-(Table2614256[[#This Row],[Weight]:[Weight]]*((_xlfn.XMATCH(Table2614256[[#This Row],[8]],Table2614256[[#This Row],[1]:[11]],0))-1)/(COUNTA(Table2614256[[#This Row],[1]:[11]])-COUNTBLANK(Table2614256[[#This Row],[1]:[11]])-1)))</f>
        <v/>
      </c>
      <c r="AG29" s="30" t="str" cm="1">
        <f t="array" ref="AG29">IF(Table2614256[[#This Row],[9]]="","",Table2614256[[#This Row],[Weight]:[Weight]]-(Table2614256[[#This Row],[Weight]:[Weight]]*((_xlfn.XMATCH(Table2614256[[#This Row],[9]],Table2614256[[#This Row],[1]:[11]],0))-1)/(COUNTA(Table2614256[[#This Row],[1]:[11]])-COUNTBLANK(Table2614256[[#This Row],[1]:[11]])-1)))</f>
        <v/>
      </c>
      <c r="AH29" s="30" t="str" cm="1">
        <f t="array" ref="AH29">IF(Table2614256[[#This Row],[10]]="","",Table2614256[[#This Row],[Weight]:[Weight]]-(Table2614256[[#This Row],[Weight]:[Weight]]*((_xlfn.XMATCH(Table2614256[[#This Row],[10]],Table2614256[[#This Row],[1]:[11]],0))-1)/(COUNTA(Table2614256[[#This Row],[1]:[11]])-COUNTBLANK(Table2614256[[#This Row],[1]:[11]])-1)))</f>
        <v/>
      </c>
      <c r="AI29" s="30" t="str" cm="1">
        <f t="array" ref="AI29">IF(Table2614256[[#This Row],[11]]="","",Table2614256[[#This Row],[Weight]:[Weight]]-(Table2614256[[#This Row],[Weight]:[Weight]]*((_xlfn.XMATCH(Table2614256[[#This Row],[11]],Table2614256[[#This Row],[1]:[11]],0))-1)/(COUNTA(Table2614256[[#This Row],[1]:[11]])-COUNTBLANK(Table2614256[[#This Row],[1]:[11]])-1)))</f>
        <v/>
      </c>
    </row>
    <row r="30" spans="1:35" ht="120" x14ac:dyDescent="0.2">
      <c r="A30" s="20">
        <v>18</v>
      </c>
      <c r="B30" s="90" t="s">
        <v>361</v>
      </c>
      <c r="C30" s="119" t="s">
        <v>215</v>
      </c>
      <c r="D30" s="153"/>
      <c r="E30" s="153"/>
      <c r="F30" s="121" t="s">
        <v>60</v>
      </c>
      <c r="G30" s="148" cm="1">
        <f t="array" ref="G30">_xlfn.IFS(F30="","",F30="No interest",0,F30="Nice to have",1,F30="Useful",2,F30="Important",3,F30="Very important",4,F30="Critical",5,F30="Show stopper",6)</f>
        <v>6</v>
      </c>
      <c r="H30" s="149">
        <f t="shared" si="1"/>
        <v>7.4503311258278151E-4</v>
      </c>
      <c r="I30" s="150" t="s">
        <v>321</v>
      </c>
      <c r="J30" s="35" t="str" cm="1">
        <f t="array" ref="J30">_xlfn.TEXTJOIN(","&amp;CHAR(10),,TEXT(Table2614256[[#This Row],[12]:[22]],"0,00%"))</f>
        <v>0,00%,
0,00%,
0,00%,
0,00%,
0,00%</v>
      </c>
      <c r="K30" s="26"/>
      <c r="L30" s="27" t="e">
        <f>H30-(H30*((MATCH(Table2614256[[#This Row],[Evaluators Response (SELECT)]],Table2614256[[#This Row],[1]:[11]],0)-1)/(COUNTA(Table2614256[[#This Row],[1]:[11]])-COUNTBLANK(Table2614256[[#This Row],[1]:[11]])-1)))</f>
        <v>#N/A</v>
      </c>
      <c r="M30" s="28"/>
      <c r="N30" s="29" t="str" cm="1">
        <f t="array" ref="N30">IFERROR(INDEX(_xlfn.UNIQUE(TRIM(_xlfn.TEXTSPLIT(Table2614256[[#This Row],[Selection Options]:[Selection Options]],","))),,N$11),"")</f>
        <v>100%: Supported as delivered "out of the box"</v>
      </c>
      <c r="O30" s="29" t="str" cm="1">
        <f t="array" ref="O30">IFERROR(INDEX(_xlfn.UNIQUE(TRIM(_xlfn.TEXTSPLIT(Table2614256[[#This Row],[Selection Options]:[Selection Options]],","))),,O$11),"")</f>
        <v xml:space="preserve">
75%: Supported via modifications (config)</v>
      </c>
      <c r="P30" s="29" t="str" cm="1">
        <f t="array" ref="P30">IFERROR(INDEX(_xlfn.UNIQUE(TRIM(_xlfn.TEXTSPLIT(Table2614256[[#This Row],[Selection Options]:[Selection Options]],","))),,P$11),"")</f>
        <v xml:space="preserve">
50%: Supported via a third party solution</v>
      </c>
      <c r="Q30" s="29" t="str" cm="1">
        <f t="array" ref="Q30">IFERROR(INDEX(_xlfn.UNIQUE(TRIM(_xlfn.TEXTSPLIT(Table2614256[[#This Row],[Selection Options]:[Selection Options]],","))),,Q$11),"")</f>
        <v xml:space="preserve">
25%: Supported via customisation (source code changes)</v>
      </c>
      <c r="R30" s="29" t="str" cm="1">
        <f t="array" ref="R30">IFERROR(INDEX(_xlfn.UNIQUE(TRIM(_xlfn.TEXTSPLIT(Table2614256[[#This Row],[Selection Options]:[Selection Options]],","))),,R$11),"")</f>
        <v xml:space="preserve">
 0%: Not currently supported</v>
      </c>
      <c r="S30" s="29" t="str" cm="1">
        <f t="array" ref="S30">IFERROR(INDEX(_xlfn.UNIQUE(TRIM(_xlfn.TEXTSPLIT(Table2614256[[#This Row],[Selection Options]:[Selection Options]],","))),,S$11),"")</f>
        <v/>
      </c>
      <c r="T30" s="29" t="str" cm="1">
        <f t="array" ref="T30">IFERROR(INDEX(_xlfn.UNIQUE(TRIM(_xlfn.TEXTSPLIT(Table2614256[[#This Row],[Selection Options]:[Selection Options]],","))),,T$11),"")</f>
        <v/>
      </c>
      <c r="U30" s="29" t="str" cm="1">
        <f t="array" ref="U30">IFERROR(INDEX(_xlfn.UNIQUE(TRIM(_xlfn.TEXTSPLIT(Table2614256[[#This Row],[Selection Options]:[Selection Options]],","))),,U$11),"")</f>
        <v/>
      </c>
      <c r="V30" s="29" t="str" cm="1">
        <f t="array" ref="V30">IFERROR(INDEX(_xlfn.UNIQUE(TRIM(_xlfn.TEXTSPLIT(Table2614256[[#This Row],[Selection Options]:[Selection Options]],","))),,V$11),"")</f>
        <v/>
      </c>
      <c r="W30" s="29" t="str" cm="1">
        <f t="array" ref="W30">IFERROR(INDEX(_xlfn.UNIQUE(TRIM(_xlfn.TEXTSPLIT(Table2614256[[#This Row],[Selection Options]:[Selection Options]],","))),,W$11),"")</f>
        <v/>
      </c>
      <c r="X30" s="29" t="str" cm="1">
        <f t="array" ref="X30">IFERROR(INDEX(_xlfn.UNIQUE(TRIM(_xlfn.TEXTSPLIT(Table2614256[[#This Row],[Selection Options]:[Selection Options]],","))),,X$11),"")</f>
        <v/>
      </c>
      <c r="Y30" s="30" cm="1">
        <f t="array" ref="Y30">IF(Table2614256[[#This Row],[1]]="","",Table2614256[[#This Row],[Weight]:[Weight]]-(Table2614256[[#This Row],[Weight]:[Weight]]*((_xlfn.XMATCH(Table2614256[[#This Row],[1]],Table2614256[[#This Row],[1]:[11]],0))-1)/(COUNTA(Table2614256[[#This Row],[1]:[11]])-COUNTBLANK(Table2614256[[#This Row],[1]:[11]])-1)))</f>
        <v>7.4503311258278151E-4</v>
      </c>
      <c r="Z30" s="30" cm="1">
        <f t="array" ref="Z30">IF(Table2614256[[#This Row],[2]]="","",Table2614256[[#This Row],[Weight]:[Weight]]-(Table2614256[[#This Row],[Weight]:[Weight]]*((_xlfn.XMATCH(Table2614256[[#This Row],[2]],Table2614256[[#This Row],[1]:[11]],0))-1)/(COUNTA(Table2614256[[#This Row],[1]:[11]])-COUNTBLANK(Table2614256[[#This Row],[1]:[11]])-1)))</f>
        <v>5.5877483443708611E-4</v>
      </c>
      <c r="AA30" s="30" cm="1">
        <f t="array" ref="AA30">IF(Table2614256[[#This Row],[3]]="","",Table2614256[[#This Row],[Weight]:[Weight]]-(Table2614256[[#This Row],[Weight]:[Weight]]*((_xlfn.XMATCH(Table2614256[[#This Row],[3]],Table2614256[[#This Row],[1]:[11]],0))-1)/(COUNTA(Table2614256[[#This Row],[1]:[11]])-COUNTBLANK(Table2614256[[#This Row],[1]:[11]])-1)))</f>
        <v>3.7251655629139076E-4</v>
      </c>
      <c r="AB30" s="30" cm="1">
        <f t="array" ref="AB30">IF(Table2614256[[#This Row],[4]]="","",Table2614256[[#This Row],[Weight]:[Weight]]-(Table2614256[[#This Row],[Weight]:[Weight]]*((_xlfn.XMATCH(Table2614256[[#This Row],[4]],Table2614256[[#This Row],[1]:[11]],0))-1)/(COUNTA(Table2614256[[#This Row],[1]:[11]])-COUNTBLANK(Table2614256[[#This Row],[1]:[11]])-1)))</f>
        <v>1.862582781456954E-4</v>
      </c>
      <c r="AC30" s="30" cm="1">
        <f t="array" ref="AC30">IF(Table2614256[[#This Row],[5]]="","",Table2614256[[#This Row],[Weight]:[Weight]]-(Table2614256[[#This Row],[Weight]:[Weight]]*((_xlfn.XMATCH(Table2614256[[#This Row],[5]],Table2614256[[#This Row],[1]:[11]],0))-1)/(COUNTA(Table2614256[[#This Row],[1]:[11]])-COUNTBLANK(Table2614256[[#This Row],[1]:[11]])-1)))</f>
        <v>0</v>
      </c>
      <c r="AD30" s="30" t="str" cm="1">
        <f t="array" ref="AD30">IF(Table2614256[[#This Row],[6]]="","",Table2614256[[#This Row],[Weight]:[Weight]]-(Table2614256[[#This Row],[Weight]:[Weight]]*((_xlfn.XMATCH(Table2614256[[#This Row],[6]],Table2614256[[#This Row],[1]:[11]],0))-1)/(COUNTA(Table2614256[[#This Row],[1]:[11]])-COUNTBLANK(Table2614256[[#This Row],[1]:[11]])-1)))</f>
        <v/>
      </c>
      <c r="AE30" s="30" t="str" cm="1">
        <f t="array" ref="AE30">IF(Table2614256[[#This Row],[7]]="","",Table2614256[[#This Row],[Weight]:[Weight]]-(Table2614256[[#This Row],[Weight]:[Weight]]*((_xlfn.XMATCH(Table2614256[[#This Row],[7]],Table2614256[[#This Row],[1]:[11]],0))-1)/(COUNTA(Table2614256[[#This Row],[1]:[11]])-COUNTBLANK(Table2614256[[#This Row],[1]:[11]])-1)))</f>
        <v/>
      </c>
      <c r="AF30" s="30" t="str" cm="1">
        <f t="array" ref="AF30">IF(Table2614256[[#This Row],[8]]="","",Table2614256[[#This Row],[Weight]:[Weight]]-(Table2614256[[#This Row],[Weight]:[Weight]]*((_xlfn.XMATCH(Table2614256[[#This Row],[8]],Table2614256[[#This Row],[1]:[11]],0))-1)/(COUNTA(Table2614256[[#This Row],[1]:[11]])-COUNTBLANK(Table2614256[[#This Row],[1]:[11]])-1)))</f>
        <v/>
      </c>
      <c r="AG30" s="30" t="str" cm="1">
        <f t="array" ref="AG30">IF(Table2614256[[#This Row],[9]]="","",Table2614256[[#This Row],[Weight]:[Weight]]-(Table2614256[[#This Row],[Weight]:[Weight]]*((_xlfn.XMATCH(Table2614256[[#This Row],[9]],Table2614256[[#This Row],[1]:[11]],0))-1)/(COUNTA(Table2614256[[#This Row],[1]:[11]])-COUNTBLANK(Table2614256[[#This Row],[1]:[11]])-1)))</f>
        <v/>
      </c>
      <c r="AH30" s="30" t="str" cm="1">
        <f t="array" ref="AH30">IF(Table2614256[[#This Row],[10]]="","",Table2614256[[#This Row],[Weight]:[Weight]]-(Table2614256[[#This Row],[Weight]:[Weight]]*((_xlfn.XMATCH(Table2614256[[#This Row],[10]],Table2614256[[#This Row],[1]:[11]],0))-1)/(COUNTA(Table2614256[[#This Row],[1]:[11]])-COUNTBLANK(Table2614256[[#This Row],[1]:[11]])-1)))</f>
        <v/>
      </c>
      <c r="AI30" s="30" t="str" cm="1">
        <f t="array" ref="AI30">IF(Table2614256[[#This Row],[11]]="","",Table2614256[[#This Row],[Weight]:[Weight]]-(Table2614256[[#This Row],[Weight]:[Weight]]*((_xlfn.XMATCH(Table2614256[[#This Row],[11]],Table2614256[[#This Row],[1]:[11]],0))-1)/(COUNTA(Table2614256[[#This Row],[1]:[11]])-COUNTBLANK(Table2614256[[#This Row],[1]:[11]])-1)))</f>
        <v/>
      </c>
    </row>
    <row r="31" spans="1:35" ht="120" x14ac:dyDescent="0.2">
      <c r="A31" s="20">
        <v>19</v>
      </c>
      <c r="B31" s="90" t="s">
        <v>362</v>
      </c>
      <c r="C31" s="119" t="s">
        <v>215</v>
      </c>
      <c r="D31" s="153"/>
      <c r="E31" s="153"/>
      <c r="F31" s="121" t="s">
        <v>60</v>
      </c>
      <c r="G31" s="148" cm="1">
        <f t="array" ref="G31">_xlfn.IFS(F31="","",F31="No interest",0,F31="Nice to have",1,F31="Useful",2,F31="Important",3,F31="Very important",4,F31="Critical",5,F31="Show stopper",6)</f>
        <v>6</v>
      </c>
      <c r="H31" s="149">
        <f t="shared" si="1"/>
        <v>7.4503311258278151E-4</v>
      </c>
      <c r="I31" s="150" t="s">
        <v>321</v>
      </c>
      <c r="J31" s="35" t="str" cm="1">
        <f t="array" ref="J31">_xlfn.TEXTJOIN(","&amp;CHAR(10),,TEXT(Table2614256[[#This Row],[12]:[22]],"0,00%"))</f>
        <v>0,00%,
0,00%,
0,00%,
0,00%,
0,00%</v>
      </c>
      <c r="K31" s="26"/>
      <c r="L31" s="27" t="e">
        <f>H31-(H31*((MATCH(Table2614256[[#This Row],[Evaluators Response (SELECT)]],Table2614256[[#This Row],[1]:[11]],0)-1)/(COUNTA(Table2614256[[#This Row],[1]:[11]])-COUNTBLANK(Table2614256[[#This Row],[1]:[11]])-1)))</f>
        <v>#N/A</v>
      </c>
      <c r="M31" s="28"/>
      <c r="N31" s="29" t="str" cm="1">
        <f t="array" ref="N31">IFERROR(INDEX(_xlfn.UNIQUE(TRIM(_xlfn.TEXTSPLIT(Table2614256[[#This Row],[Selection Options]:[Selection Options]],","))),,N$11),"")</f>
        <v>100%: Supported as delivered "out of the box"</v>
      </c>
      <c r="O31" s="29" t="str" cm="1">
        <f t="array" ref="O31">IFERROR(INDEX(_xlfn.UNIQUE(TRIM(_xlfn.TEXTSPLIT(Table2614256[[#This Row],[Selection Options]:[Selection Options]],","))),,O$11),"")</f>
        <v xml:space="preserve">
75%: Supported via modifications (config)</v>
      </c>
      <c r="P31" s="29" t="str" cm="1">
        <f t="array" ref="P31">IFERROR(INDEX(_xlfn.UNIQUE(TRIM(_xlfn.TEXTSPLIT(Table2614256[[#This Row],[Selection Options]:[Selection Options]],","))),,P$11),"")</f>
        <v xml:space="preserve">
50%: Supported via a third party solution</v>
      </c>
      <c r="Q31" s="29" t="str" cm="1">
        <f t="array" ref="Q31">IFERROR(INDEX(_xlfn.UNIQUE(TRIM(_xlfn.TEXTSPLIT(Table2614256[[#This Row],[Selection Options]:[Selection Options]],","))),,Q$11),"")</f>
        <v xml:space="preserve">
25%: Supported via customisation (source code changes)</v>
      </c>
      <c r="R31" s="29" t="str" cm="1">
        <f t="array" ref="R31">IFERROR(INDEX(_xlfn.UNIQUE(TRIM(_xlfn.TEXTSPLIT(Table2614256[[#This Row],[Selection Options]:[Selection Options]],","))),,R$11),"")</f>
        <v xml:space="preserve">
 0%: Not currently supported</v>
      </c>
      <c r="S31" s="29" t="str" cm="1">
        <f t="array" ref="S31">IFERROR(INDEX(_xlfn.UNIQUE(TRIM(_xlfn.TEXTSPLIT(Table2614256[[#This Row],[Selection Options]:[Selection Options]],","))),,S$11),"")</f>
        <v/>
      </c>
      <c r="T31" s="29" t="str" cm="1">
        <f t="array" ref="T31">IFERROR(INDEX(_xlfn.UNIQUE(TRIM(_xlfn.TEXTSPLIT(Table2614256[[#This Row],[Selection Options]:[Selection Options]],","))),,T$11),"")</f>
        <v/>
      </c>
      <c r="U31" s="29" t="str" cm="1">
        <f t="array" ref="U31">IFERROR(INDEX(_xlfn.UNIQUE(TRIM(_xlfn.TEXTSPLIT(Table2614256[[#This Row],[Selection Options]:[Selection Options]],","))),,U$11),"")</f>
        <v/>
      </c>
      <c r="V31" s="29" t="str" cm="1">
        <f t="array" ref="V31">IFERROR(INDEX(_xlfn.UNIQUE(TRIM(_xlfn.TEXTSPLIT(Table2614256[[#This Row],[Selection Options]:[Selection Options]],","))),,V$11),"")</f>
        <v/>
      </c>
      <c r="W31" s="29" t="str" cm="1">
        <f t="array" ref="W31">IFERROR(INDEX(_xlfn.UNIQUE(TRIM(_xlfn.TEXTSPLIT(Table2614256[[#This Row],[Selection Options]:[Selection Options]],","))),,W$11),"")</f>
        <v/>
      </c>
      <c r="X31" s="29" t="str" cm="1">
        <f t="array" ref="X31">IFERROR(INDEX(_xlfn.UNIQUE(TRIM(_xlfn.TEXTSPLIT(Table2614256[[#This Row],[Selection Options]:[Selection Options]],","))),,X$11),"")</f>
        <v/>
      </c>
      <c r="Y31" s="30" cm="1">
        <f t="array" ref="Y31">IF(Table2614256[[#This Row],[1]]="","",Table2614256[[#This Row],[Weight]:[Weight]]-(Table2614256[[#This Row],[Weight]:[Weight]]*((_xlfn.XMATCH(Table2614256[[#This Row],[1]],Table2614256[[#This Row],[1]:[11]],0))-1)/(COUNTA(Table2614256[[#This Row],[1]:[11]])-COUNTBLANK(Table2614256[[#This Row],[1]:[11]])-1)))</f>
        <v>7.4503311258278151E-4</v>
      </c>
      <c r="Z31" s="30" cm="1">
        <f t="array" ref="Z31">IF(Table2614256[[#This Row],[2]]="","",Table2614256[[#This Row],[Weight]:[Weight]]-(Table2614256[[#This Row],[Weight]:[Weight]]*((_xlfn.XMATCH(Table2614256[[#This Row],[2]],Table2614256[[#This Row],[1]:[11]],0))-1)/(COUNTA(Table2614256[[#This Row],[1]:[11]])-COUNTBLANK(Table2614256[[#This Row],[1]:[11]])-1)))</f>
        <v>5.5877483443708611E-4</v>
      </c>
      <c r="AA31" s="30" cm="1">
        <f t="array" ref="AA31">IF(Table2614256[[#This Row],[3]]="","",Table2614256[[#This Row],[Weight]:[Weight]]-(Table2614256[[#This Row],[Weight]:[Weight]]*((_xlfn.XMATCH(Table2614256[[#This Row],[3]],Table2614256[[#This Row],[1]:[11]],0))-1)/(COUNTA(Table2614256[[#This Row],[1]:[11]])-COUNTBLANK(Table2614256[[#This Row],[1]:[11]])-1)))</f>
        <v>3.7251655629139076E-4</v>
      </c>
      <c r="AB31" s="30" cm="1">
        <f t="array" ref="AB31">IF(Table2614256[[#This Row],[4]]="","",Table2614256[[#This Row],[Weight]:[Weight]]-(Table2614256[[#This Row],[Weight]:[Weight]]*((_xlfn.XMATCH(Table2614256[[#This Row],[4]],Table2614256[[#This Row],[1]:[11]],0))-1)/(COUNTA(Table2614256[[#This Row],[1]:[11]])-COUNTBLANK(Table2614256[[#This Row],[1]:[11]])-1)))</f>
        <v>1.862582781456954E-4</v>
      </c>
      <c r="AC31" s="30" cm="1">
        <f t="array" ref="AC31">IF(Table2614256[[#This Row],[5]]="","",Table2614256[[#This Row],[Weight]:[Weight]]-(Table2614256[[#This Row],[Weight]:[Weight]]*((_xlfn.XMATCH(Table2614256[[#This Row],[5]],Table2614256[[#This Row],[1]:[11]],0))-1)/(COUNTA(Table2614256[[#This Row],[1]:[11]])-COUNTBLANK(Table2614256[[#This Row],[1]:[11]])-1)))</f>
        <v>0</v>
      </c>
      <c r="AD31" s="30" t="str" cm="1">
        <f t="array" ref="AD31">IF(Table2614256[[#This Row],[6]]="","",Table2614256[[#This Row],[Weight]:[Weight]]-(Table2614256[[#This Row],[Weight]:[Weight]]*((_xlfn.XMATCH(Table2614256[[#This Row],[6]],Table2614256[[#This Row],[1]:[11]],0))-1)/(COUNTA(Table2614256[[#This Row],[1]:[11]])-COUNTBLANK(Table2614256[[#This Row],[1]:[11]])-1)))</f>
        <v/>
      </c>
      <c r="AE31" s="30" t="str" cm="1">
        <f t="array" ref="AE31">IF(Table2614256[[#This Row],[7]]="","",Table2614256[[#This Row],[Weight]:[Weight]]-(Table2614256[[#This Row],[Weight]:[Weight]]*((_xlfn.XMATCH(Table2614256[[#This Row],[7]],Table2614256[[#This Row],[1]:[11]],0))-1)/(COUNTA(Table2614256[[#This Row],[1]:[11]])-COUNTBLANK(Table2614256[[#This Row],[1]:[11]])-1)))</f>
        <v/>
      </c>
      <c r="AF31" s="30" t="str" cm="1">
        <f t="array" ref="AF31">IF(Table2614256[[#This Row],[8]]="","",Table2614256[[#This Row],[Weight]:[Weight]]-(Table2614256[[#This Row],[Weight]:[Weight]]*((_xlfn.XMATCH(Table2614256[[#This Row],[8]],Table2614256[[#This Row],[1]:[11]],0))-1)/(COUNTA(Table2614256[[#This Row],[1]:[11]])-COUNTBLANK(Table2614256[[#This Row],[1]:[11]])-1)))</f>
        <v/>
      </c>
      <c r="AG31" s="30" t="str" cm="1">
        <f t="array" ref="AG31">IF(Table2614256[[#This Row],[9]]="","",Table2614256[[#This Row],[Weight]:[Weight]]-(Table2614256[[#This Row],[Weight]:[Weight]]*((_xlfn.XMATCH(Table2614256[[#This Row],[9]],Table2614256[[#This Row],[1]:[11]],0))-1)/(COUNTA(Table2614256[[#This Row],[1]:[11]])-COUNTBLANK(Table2614256[[#This Row],[1]:[11]])-1)))</f>
        <v/>
      </c>
      <c r="AH31" s="30" t="str" cm="1">
        <f t="array" ref="AH31">IF(Table2614256[[#This Row],[10]]="","",Table2614256[[#This Row],[Weight]:[Weight]]-(Table2614256[[#This Row],[Weight]:[Weight]]*((_xlfn.XMATCH(Table2614256[[#This Row],[10]],Table2614256[[#This Row],[1]:[11]],0))-1)/(COUNTA(Table2614256[[#This Row],[1]:[11]])-COUNTBLANK(Table2614256[[#This Row],[1]:[11]])-1)))</f>
        <v/>
      </c>
      <c r="AI31" s="30" t="str" cm="1">
        <f t="array" ref="AI31">IF(Table2614256[[#This Row],[11]]="","",Table2614256[[#This Row],[Weight]:[Weight]]-(Table2614256[[#This Row],[Weight]:[Weight]]*((_xlfn.XMATCH(Table2614256[[#This Row],[11]],Table2614256[[#This Row],[1]:[11]],0))-1)/(COUNTA(Table2614256[[#This Row],[1]:[11]])-COUNTBLANK(Table2614256[[#This Row],[1]:[11]])-1)))</f>
        <v/>
      </c>
    </row>
    <row r="32" spans="1:35" ht="120" x14ac:dyDescent="0.2">
      <c r="A32" s="20">
        <v>20</v>
      </c>
      <c r="B32" s="90" t="s">
        <v>363</v>
      </c>
      <c r="C32" s="119" t="s">
        <v>215</v>
      </c>
      <c r="D32" s="153"/>
      <c r="E32" s="153"/>
      <c r="F32" s="121" t="s">
        <v>188</v>
      </c>
      <c r="G32" s="148" cm="1">
        <f t="array" ref="G32">_xlfn.IFS(F32="","",F32="No interest",0,F32="Nice to have",1,F32="Useful",2,F32="Important",3,F32="Very important",4,F32="Critical",5,F32="Show stopper",6)</f>
        <v>5</v>
      </c>
      <c r="H32" s="149">
        <f t="shared" si="1"/>
        <v>6.2086092715231791E-4</v>
      </c>
      <c r="I32" s="150" t="s">
        <v>321</v>
      </c>
      <c r="J32" s="35" t="str" cm="1">
        <f t="array" ref="J32">_xlfn.TEXTJOIN(","&amp;CHAR(10),,TEXT(Table2614256[[#This Row],[12]:[22]],"0,00%"))</f>
        <v>0,00%,
0,00%,
0,00%,
0,00%,
0,00%</v>
      </c>
      <c r="K32" s="26"/>
      <c r="L32" s="27" t="e">
        <f>H32-(H32*((MATCH(Table2614256[[#This Row],[Evaluators Response (SELECT)]],Table2614256[[#This Row],[1]:[11]],0)-1)/(COUNTA(Table2614256[[#This Row],[1]:[11]])-COUNTBLANK(Table2614256[[#This Row],[1]:[11]])-1)))</f>
        <v>#N/A</v>
      </c>
      <c r="M32" s="28"/>
      <c r="N32" s="29" t="str" cm="1">
        <f t="array" ref="N32">IFERROR(INDEX(_xlfn.UNIQUE(TRIM(_xlfn.TEXTSPLIT(Table2614256[[#This Row],[Selection Options]:[Selection Options]],","))),,N$11),"")</f>
        <v>100%: Supported as delivered "out of the box"</v>
      </c>
      <c r="O32" s="29" t="str" cm="1">
        <f t="array" ref="O32">IFERROR(INDEX(_xlfn.UNIQUE(TRIM(_xlfn.TEXTSPLIT(Table2614256[[#This Row],[Selection Options]:[Selection Options]],","))),,O$11),"")</f>
        <v xml:space="preserve">
75%: Supported via modifications (config)</v>
      </c>
      <c r="P32" s="29" t="str" cm="1">
        <f t="array" ref="P32">IFERROR(INDEX(_xlfn.UNIQUE(TRIM(_xlfn.TEXTSPLIT(Table2614256[[#This Row],[Selection Options]:[Selection Options]],","))),,P$11),"")</f>
        <v xml:space="preserve">
50%: Supported via a third party solution</v>
      </c>
      <c r="Q32" s="29" t="str" cm="1">
        <f t="array" ref="Q32">IFERROR(INDEX(_xlfn.UNIQUE(TRIM(_xlfn.TEXTSPLIT(Table2614256[[#This Row],[Selection Options]:[Selection Options]],","))),,Q$11),"")</f>
        <v xml:space="preserve">
25%: Supported via customisation (source code changes)</v>
      </c>
      <c r="R32" s="29" t="str" cm="1">
        <f t="array" ref="R32">IFERROR(INDEX(_xlfn.UNIQUE(TRIM(_xlfn.TEXTSPLIT(Table2614256[[#This Row],[Selection Options]:[Selection Options]],","))),,R$11),"")</f>
        <v xml:space="preserve">
 0%: Not currently supported</v>
      </c>
      <c r="S32" s="29" t="str" cm="1">
        <f t="array" ref="S32">IFERROR(INDEX(_xlfn.UNIQUE(TRIM(_xlfn.TEXTSPLIT(Table2614256[[#This Row],[Selection Options]:[Selection Options]],","))),,S$11),"")</f>
        <v/>
      </c>
      <c r="T32" s="29" t="str" cm="1">
        <f t="array" ref="T32">IFERROR(INDEX(_xlfn.UNIQUE(TRIM(_xlfn.TEXTSPLIT(Table2614256[[#This Row],[Selection Options]:[Selection Options]],","))),,T$11),"")</f>
        <v/>
      </c>
      <c r="U32" s="29" t="str" cm="1">
        <f t="array" ref="U32">IFERROR(INDEX(_xlfn.UNIQUE(TRIM(_xlfn.TEXTSPLIT(Table2614256[[#This Row],[Selection Options]:[Selection Options]],","))),,U$11),"")</f>
        <v/>
      </c>
      <c r="V32" s="29" t="str" cm="1">
        <f t="array" ref="V32">IFERROR(INDEX(_xlfn.UNIQUE(TRIM(_xlfn.TEXTSPLIT(Table2614256[[#This Row],[Selection Options]:[Selection Options]],","))),,V$11),"")</f>
        <v/>
      </c>
      <c r="W32" s="29" t="str" cm="1">
        <f t="array" ref="W32">IFERROR(INDEX(_xlfn.UNIQUE(TRIM(_xlfn.TEXTSPLIT(Table2614256[[#This Row],[Selection Options]:[Selection Options]],","))),,W$11),"")</f>
        <v/>
      </c>
      <c r="X32" s="29" t="str" cm="1">
        <f t="array" ref="X32">IFERROR(INDEX(_xlfn.UNIQUE(TRIM(_xlfn.TEXTSPLIT(Table2614256[[#This Row],[Selection Options]:[Selection Options]],","))),,X$11),"")</f>
        <v/>
      </c>
      <c r="Y32" s="30" cm="1">
        <f t="array" ref="Y32">IF(Table2614256[[#This Row],[1]]="","",Table2614256[[#This Row],[Weight]:[Weight]]-(Table2614256[[#This Row],[Weight]:[Weight]]*((_xlfn.XMATCH(Table2614256[[#This Row],[1]],Table2614256[[#This Row],[1]:[11]],0))-1)/(COUNTA(Table2614256[[#This Row],[1]:[11]])-COUNTBLANK(Table2614256[[#This Row],[1]:[11]])-1)))</f>
        <v>6.2086092715231791E-4</v>
      </c>
      <c r="Z32" s="30" cm="1">
        <f t="array" ref="Z32">IF(Table2614256[[#This Row],[2]]="","",Table2614256[[#This Row],[Weight]:[Weight]]-(Table2614256[[#This Row],[Weight]:[Weight]]*((_xlfn.XMATCH(Table2614256[[#This Row],[2]],Table2614256[[#This Row],[1]:[11]],0))-1)/(COUNTA(Table2614256[[#This Row],[1]:[11]])-COUNTBLANK(Table2614256[[#This Row],[1]:[11]])-1)))</f>
        <v>4.656456953642384E-4</v>
      </c>
      <c r="AA32" s="30" cm="1">
        <f t="array" ref="AA32">IF(Table2614256[[#This Row],[3]]="","",Table2614256[[#This Row],[Weight]:[Weight]]-(Table2614256[[#This Row],[Weight]:[Weight]]*((_xlfn.XMATCH(Table2614256[[#This Row],[3]],Table2614256[[#This Row],[1]:[11]],0))-1)/(COUNTA(Table2614256[[#This Row],[1]:[11]])-COUNTBLANK(Table2614256[[#This Row],[1]:[11]])-1)))</f>
        <v>3.1043046357615895E-4</v>
      </c>
      <c r="AB32" s="30" cm="1">
        <f t="array" ref="AB32">IF(Table2614256[[#This Row],[4]]="","",Table2614256[[#This Row],[Weight]:[Weight]]-(Table2614256[[#This Row],[Weight]:[Weight]]*((_xlfn.XMATCH(Table2614256[[#This Row],[4]],Table2614256[[#This Row],[1]:[11]],0))-1)/(COUNTA(Table2614256[[#This Row],[1]:[11]])-COUNTBLANK(Table2614256[[#This Row],[1]:[11]])-1)))</f>
        <v>1.552152317880795E-4</v>
      </c>
      <c r="AC32" s="30" cm="1">
        <f t="array" ref="AC32">IF(Table2614256[[#This Row],[5]]="","",Table2614256[[#This Row],[Weight]:[Weight]]-(Table2614256[[#This Row],[Weight]:[Weight]]*((_xlfn.XMATCH(Table2614256[[#This Row],[5]],Table2614256[[#This Row],[1]:[11]],0))-1)/(COUNTA(Table2614256[[#This Row],[1]:[11]])-COUNTBLANK(Table2614256[[#This Row],[1]:[11]])-1)))</f>
        <v>0</v>
      </c>
      <c r="AD32" s="30" t="str" cm="1">
        <f t="array" ref="AD32">IF(Table2614256[[#This Row],[6]]="","",Table2614256[[#This Row],[Weight]:[Weight]]-(Table2614256[[#This Row],[Weight]:[Weight]]*((_xlfn.XMATCH(Table2614256[[#This Row],[6]],Table2614256[[#This Row],[1]:[11]],0))-1)/(COUNTA(Table2614256[[#This Row],[1]:[11]])-COUNTBLANK(Table2614256[[#This Row],[1]:[11]])-1)))</f>
        <v/>
      </c>
      <c r="AE32" s="30" t="str" cm="1">
        <f t="array" ref="AE32">IF(Table2614256[[#This Row],[7]]="","",Table2614256[[#This Row],[Weight]:[Weight]]-(Table2614256[[#This Row],[Weight]:[Weight]]*((_xlfn.XMATCH(Table2614256[[#This Row],[7]],Table2614256[[#This Row],[1]:[11]],0))-1)/(COUNTA(Table2614256[[#This Row],[1]:[11]])-COUNTBLANK(Table2614256[[#This Row],[1]:[11]])-1)))</f>
        <v/>
      </c>
      <c r="AF32" s="30" t="str" cm="1">
        <f t="array" ref="AF32">IF(Table2614256[[#This Row],[8]]="","",Table2614256[[#This Row],[Weight]:[Weight]]-(Table2614256[[#This Row],[Weight]:[Weight]]*((_xlfn.XMATCH(Table2614256[[#This Row],[8]],Table2614256[[#This Row],[1]:[11]],0))-1)/(COUNTA(Table2614256[[#This Row],[1]:[11]])-COUNTBLANK(Table2614256[[#This Row],[1]:[11]])-1)))</f>
        <v/>
      </c>
      <c r="AG32" s="30" t="str" cm="1">
        <f t="array" ref="AG32">IF(Table2614256[[#This Row],[9]]="","",Table2614256[[#This Row],[Weight]:[Weight]]-(Table2614256[[#This Row],[Weight]:[Weight]]*((_xlfn.XMATCH(Table2614256[[#This Row],[9]],Table2614256[[#This Row],[1]:[11]],0))-1)/(COUNTA(Table2614256[[#This Row],[1]:[11]])-COUNTBLANK(Table2614256[[#This Row],[1]:[11]])-1)))</f>
        <v/>
      </c>
      <c r="AH32" s="30" t="str" cm="1">
        <f t="array" ref="AH32">IF(Table2614256[[#This Row],[10]]="","",Table2614256[[#This Row],[Weight]:[Weight]]-(Table2614256[[#This Row],[Weight]:[Weight]]*((_xlfn.XMATCH(Table2614256[[#This Row],[10]],Table2614256[[#This Row],[1]:[11]],0))-1)/(COUNTA(Table2614256[[#This Row],[1]:[11]])-COUNTBLANK(Table2614256[[#This Row],[1]:[11]])-1)))</f>
        <v/>
      </c>
      <c r="AI32" s="30" t="str" cm="1">
        <f t="array" ref="AI32">IF(Table2614256[[#This Row],[11]]="","",Table2614256[[#This Row],[Weight]:[Weight]]-(Table2614256[[#This Row],[Weight]:[Weight]]*((_xlfn.XMATCH(Table2614256[[#This Row],[11]],Table2614256[[#This Row],[1]:[11]],0))-1)/(COUNTA(Table2614256[[#This Row],[1]:[11]])-COUNTBLANK(Table2614256[[#This Row],[1]:[11]])-1)))</f>
        <v/>
      </c>
    </row>
    <row r="33" spans="1:35" ht="120" x14ac:dyDescent="0.2">
      <c r="A33" s="20">
        <v>21</v>
      </c>
      <c r="B33" s="90" t="s">
        <v>364</v>
      </c>
      <c r="C33" s="119" t="s">
        <v>215</v>
      </c>
      <c r="D33" s="153"/>
      <c r="E33" s="153"/>
      <c r="F33" s="121" t="s">
        <v>60</v>
      </c>
      <c r="G33" s="148" cm="1">
        <f t="array" ref="G33">_xlfn.IFS(F33="","",F33="No interest",0,F33="Nice to have",1,F33="Useful",2,F33="Important",3,F33="Very important",4,F33="Critical",5,F33="Show stopper",6)</f>
        <v>6</v>
      </c>
      <c r="H33" s="149">
        <f t="shared" si="1"/>
        <v>7.4503311258278151E-4</v>
      </c>
      <c r="I33" s="150" t="s">
        <v>321</v>
      </c>
      <c r="J33" s="35" t="str" cm="1">
        <f t="array" ref="J33">_xlfn.TEXTJOIN(","&amp;CHAR(10),,TEXT(Table2614256[[#This Row],[12]:[22]],"0,00%"))</f>
        <v>0,00%,
0,00%,
0,00%,
0,00%,
0,00%</v>
      </c>
      <c r="K33" s="26"/>
      <c r="L33" s="27" t="e">
        <f>H33-(H33*((MATCH(Table2614256[[#This Row],[Evaluators Response (SELECT)]],Table2614256[[#This Row],[1]:[11]],0)-1)/(COUNTA(Table2614256[[#This Row],[1]:[11]])-COUNTBLANK(Table2614256[[#This Row],[1]:[11]])-1)))</f>
        <v>#N/A</v>
      </c>
      <c r="M33" s="28"/>
      <c r="N33" s="29" t="str" cm="1">
        <f t="array" ref="N33">IFERROR(INDEX(_xlfn.UNIQUE(TRIM(_xlfn.TEXTSPLIT(Table2614256[[#This Row],[Selection Options]:[Selection Options]],","))),,N$11),"")</f>
        <v>100%: Supported as delivered "out of the box"</v>
      </c>
      <c r="O33" s="29" t="str" cm="1">
        <f t="array" ref="O33">IFERROR(INDEX(_xlfn.UNIQUE(TRIM(_xlfn.TEXTSPLIT(Table2614256[[#This Row],[Selection Options]:[Selection Options]],","))),,O$11),"")</f>
        <v xml:space="preserve">
75%: Supported via modifications (config)</v>
      </c>
      <c r="P33" s="29" t="str" cm="1">
        <f t="array" ref="P33">IFERROR(INDEX(_xlfn.UNIQUE(TRIM(_xlfn.TEXTSPLIT(Table2614256[[#This Row],[Selection Options]:[Selection Options]],","))),,P$11),"")</f>
        <v xml:space="preserve">
50%: Supported via a third party solution</v>
      </c>
      <c r="Q33" s="29" t="str" cm="1">
        <f t="array" ref="Q33">IFERROR(INDEX(_xlfn.UNIQUE(TRIM(_xlfn.TEXTSPLIT(Table2614256[[#This Row],[Selection Options]:[Selection Options]],","))),,Q$11),"")</f>
        <v xml:space="preserve">
25%: Supported via customisation (source code changes)</v>
      </c>
      <c r="R33" s="29" t="str" cm="1">
        <f t="array" ref="R33">IFERROR(INDEX(_xlfn.UNIQUE(TRIM(_xlfn.TEXTSPLIT(Table2614256[[#This Row],[Selection Options]:[Selection Options]],","))),,R$11),"")</f>
        <v xml:space="preserve">
 0%: Not currently supported</v>
      </c>
      <c r="S33" s="29" t="str" cm="1">
        <f t="array" ref="S33">IFERROR(INDEX(_xlfn.UNIQUE(TRIM(_xlfn.TEXTSPLIT(Table2614256[[#This Row],[Selection Options]:[Selection Options]],","))),,S$11),"")</f>
        <v/>
      </c>
      <c r="T33" s="29" t="str" cm="1">
        <f t="array" ref="T33">IFERROR(INDEX(_xlfn.UNIQUE(TRIM(_xlfn.TEXTSPLIT(Table2614256[[#This Row],[Selection Options]:[Selection Options]],","))),,T$11),"")</f>
        <v/>
      </c>
      <c r="U33" s="29" t="str" cm="1">
        <f t="array" ref="U33">IFERROR(INDEX(_xlfn.UNIQUE(TRIM(_xlfn.TEXTSPLIT(Table2614256[[#This Row],[Selection Options]:[Selection Options]],","))),,U$11),"")</f>
        <v/>
      </c>
      <c r="V33" s="29" t="str" cm="1">
        <f t="array" ref="V33">IFERROR(INDEX(_xlfn.UNIQUE(TRIM(_xlfn.TEXTSPLIT(Table2614256[[#This Row],[Selection Options]:[Selection Options]],","))),,V$11),"")</f>
        <v/>
      </c>
      <c r="W33" s="29" t="str" cm="1">
        <f t="array" ref="W33">IFERROR(INDEX(_xlfn.UNIQUE(TRIM(_xlfn.TEXTSPLIT(Table2614256[[#This Row],[Selection Options]:[Selection Options]],","))),,W$11),"")</f>
        <v/>
      </c>
      <c r="X33" s="29" t="str" cm="1">
        <f t="array" ref="X33">IFERROR(INDEX(_xlfn.UNIQUE(TRIM(_xlfn.TEXTSPLIT(Table2614256[[#This Row],[Selection Options]:[Selection Options]],","))),,X$11),"")</f>
        <v/>
      </c>
      <c r="Y33" s="30" cm="1">
        <f t="array" ref="Y33">IF(Table2614256[[#This Row],[1]]="","",Table2614256[[#This Row],[Weight]:[Weight]]-(Table2614256[[#This Row],[Weight]:[Weight]]*((_xlfn.XMATCH(Table2614256[[#This Row],[1]],Table2614256[[#This Row],[1]:[11]],0))-1)/(COUNTA(Table2614256[[#This Row],[1]:[11]])-COUNTBLANK(Table2614256[[#This Row],[1]:[11]])-1)))</f>
        <v>7.4503311258278151E-4</v>
      </c>
      <c r="Z33" s="30" cm="1">
        <f t="array" ref="Z33">IF(Table2614256[[#This Row],[2]]="","",Table2614256[[#This Row],[Weight]:[Weight]]-(Table2614256[[#This Row],[Weight]:[Weight]]*((_xlfn.XMATCH(Table2614256[[#This Row],[2]],Table2614256[[#This Row],[1]:[11]],0))-1)/(COUNTA(Table2614256[[#This Row],[1]:[11]])-COUNTBLANK(Table2614256[[#This Row],[1]:[11]])-1)))</f>
        <v>5.5877483443708611E-4</v>
      </c>
      <c r="AA33" s="30" cm="1">
        <f t="array" ref="AA33">IF(Table2614256[[#This Row],[3]]="","",Table2614256[[#This Row],[Weight]:[Weight]]-(Table2614256[[#This Row],[Weight]:[Weight]]*((_xlfn.XMATCH(Table2614256[[#This Row],[3]],Table2614256[[#This Row],[1]:[11]],0))-1)/(COUNTA(Table2614256[[#This Row],[1]:[11]])-COUNTBLANK(Table2614256[[#This Row],[1]:[11]])-1)))</f>
        <v>3.7251655629139076E-4</v>
      </c>
      <c r="AB33" s="30" cm="1">
        <f t="array" ref="AB33">IF(Table2614256[[#This Row],[4]]="","",Table2614256[[#This Row],[Weight]:[Weight]]-(Table2614256[[#This Row],[Weight]:[Weight]]*((_xlfn.XMATCH(Table2614256[[#This Row],[4]],Table2614256[[#This Row],[1]:[11]],0))-1)/(COUNTA(Table2614256[[#This Row],[1]:[11]])-COUNTBLANK(Table2614256[[#This Row],[1]:[11]])-1)))</f>
        <v>1.862582781456954E-4</v>
      </c>
      <c r="AC33" s="30" cm="1">
        <f t="array" ref="AC33">IF(Table2614256[[#This Row],[5]]="","",Table2614256[[#This Row],[Weight]:[Weight]]-(Table2614256[[#This Row],[Weight]:[Weight]]*((_xlfn.XMATCH(Table2614256[[#This Row],[5]],Table2614256[[#This Row],[1]:[11]],0))-1)/(COUNTA(Table2614256[[#This Row],[1]:[11]])-COUNTBLANK(Table2614256[[#This Row],[1]:[11]])-1)))</f>
        <v>0</v>
      </c>
      <c r="AD33" s="30" t="str" cm="1">
        <f t="array" ref="AD33">IF(Table2614256[[#This Row],[6]]="","",Table2614256[[#This Row],[Weight]:[Weight]]-(Table2614256[[#This Row],[Weight]:[Weight]]*((_xlfn.XMATCH(Table2614256[[#This Row],[6]],Table2614256[[#This Row],[1]:[11]],0))-1)/(COUNTA(Table2614256[[#This Row],[1]:[11]])-COUNTBLANK(Table2614256[[#This Row],[1]:[11]])-1)))</f>
        <v/>
      </c>
      <c r="AE33" s="30" t="str" cm="1">
        <f t="array" ref="AE33">IF(Table2614256[[#This Row],[7]]="","",Table2614256[[#This Row],[Weight]:[Weight]]-(Table2614256[[#This Row],[Weight]:[Weight]]*((_xlfn.XMATCH(Table2614256[[#This Row],[7]],Table2614256[[#This Row],[1]:[11]],0))-1)/(COUNTA(Table2614256[[#This Row],[1]:[11]])-COUNTBLANK(Table2614256[[#This Row],[1]:[11]])-1)))</f>
        <v/>
      </c>
      <c r="AF33" s="30" t="str" cm="1">
        <f t="array" ref="AF33">IF(Table2614256[[#This Row],[8]]="","",Table2614256[[#This Row],[Weight]:[Weight]]-(Table2614256[[#This Row],[Weight]:[Weight]]*((_xlfn.XMATCH(Table2614256[[#This Row],[8]],Table2614256[[#This Row],[1]:[11]],0))-1)/(COUNTA(Table2614256[[#This Row],[1]:[11]])-COUNTBLANK(Table2614256[[#This Row],[1]:[11]])-1)))</f>
        <v/>
      </c>
      <c r="AG33" s="30" t="str" cm="1">
        <f t="array" ref="AG33">IF(Table2614256[[#This Row],[9]]="","",Table2614256[[#This Row],[Weight]:[Weight]]-(Table2614256[[#This Row],[Weight]:[Weight]]*((_xlfn.XMATCH(Table2614256[[#This Row],[9]],Table2614256[[#This Row],[1]:[11]],0))-1)/(COUNTA(Table2614256[[#This Row],[1]:[11]])-COUNTBLANK(Table2614256[[#This Row],[1]:[11]])-1)))</f>
        <v/>
      </c>
      <c r="AH33" s="30" t="str" cm="1">
        <f t="array" ref="AH33">IF(Table2614256[[#This Row],[10]]="","",Table2614256[[#This Row],[Weight]:[Weight]]-(Table2614256[[#This Row],[Weight]:[Weight]]*((_xlfn.XMATCH(Table2614256[[#This Row],[10]],Table2614256[[#This Row],[1]:[11]],0))-1)/(COUNTA(Table2614256[[#This Row],[1]:[11]])-COUNTBLANK(Table2614256[[#This Row],[1]:[11]])-1)))</f>
        <v/>
      </c>
      <c r="AI33" s="30" t="str" cm="1">
        <f t="array" ref="AI33">IF(Table2614256[[#This Row],[11]]="","",Table2614256[[#This Row],[Weight]:[Weight]]-(Table2614256[[#This Row],[Weight]:[Weight]]*((_xlfn.XMATCH(Table2614256[[#This Row],[11]],Table2614256[[#This Row],[1]:[11]],0))-1)/(COUNTA(Table2614256[[#This Row],[1]:[11]])-COUNTBLANK(Table2614256[[#This Row],[1]:[11]])-1)))</f>
        <v/>
      </c>
    </row>
    <row r="34" spans="1:35" ht="120" x14ac:dyDescent="0.2">
      <c r="A34" s="20">
        <v>22</v>
      </c>
      <c r="B34" s="90" t="s">
        <v>365</v>
      </c>
      <c r="C34" s="119" t="s">
        <v>215</v>
      </c>
      <c r="D34" s="153"/>
      <c r="E34" s="153"/>
      <c r="F34" s="121" t="s">
        <v>60</v>
      </c>
      <c r="G34" s="148" cm="1">
        <f t="array" ref="G34">_xlfn.IFS(F34="","",F34="No interest",0,F34="Nice to have",1,F34="Useful",2,F34="Important",3,F34="Very important",4,F34="Critical",5,F34="Show stopper",6)</f>
        <v>6</v>
      </c>
      <c r="H34" s="149">
        <f t="shared" si="1"/>
        <v>7.4503311258278151E-4</v>
      </c>
      <c r="I34" s="150" t="s">
        <v>321</v>
      </c>
      <c r="J34" s="35" t="str" cm="1">
        <f t="array" ref="J34">_xlfn.TEXTJOIN(","&amp;CHAR(10),,TEXT(Table2614256[[#This Row],[12]:[22]],"0,00%"))</f>
        <v>0,00%,
0,00%,
0,00%,
0,00%,
0,00%</v>
      </c>
      <c r="K34" s="26"/>
      <c r="L34" s="27" t="e">
        <f>H34-(H34*((MATCH(Table2614256[[#This Row],[Evaluators Response (SELECT)]],Table2614256[[#This Row],[1]:[11]],0)-1)/(COUNTA(Table2614256[[#This Row],[1]:[11]])-COUNTBLANK(Table2614256[[#This Row],[1]:[11]])-1)))</f>
        <v>#N/A</v>
      </c>
      <c r="M34" s="28"/>
      <c r="N34" s="29" t="str" cm="1">
        <f t="array" ref="N34">IFERROR(INDEX(_xlfn.UNIQUE(TRIM(_xlfn.TEXTSPLIT(Table2614256[[#This Row],[Selection Options]:[Selection Options]],","))),,N$11),"")</f>
        <v>100%: Supported as delivered "out of the box"</v>
      </c>
      <c r="O34" s="29" t="str" cm="1">
        <f t="array" ref="O34">IFERROR(INDEX(_xlfn.UNIQUE(TRIM(_xlfn.TEXTSPLIT(Table2614256[[#This Row],[Selection Options]:[Selection Options]],","))),,O$11),"")</f>
        <v xml:space="preserve">
75%: Supported via modifications (config)</v>
      </c>
      <c r="P34" s="29" t="str" cm="1">
        <f t="array" ref="P34">IFERROR(INDEX(_xlfn.UNIQUE(TRIM(_xlfn.TEXTSPLIT(Table2614256[[#This Row],[Selection Options]:[Selection Options]],","))),,P$11),"")</f>
        <v xml:space="preserve">
50%: Supported via a third party solution</v>
      </c>
      <c r="Q34" s="29" t="str" cm="1">
        <f t="array" ref="Q34">IFERROR(INDEX(_xlfn.UNIQUE(TRIM(_xlfn.TEXTSPLIT(Table2614256[[#This Row],[Selection Options]:[Selection Options]],","))),,Q$11),"")</f>
        <v xml:space="preserve">
25%: Supported via customisation (source code changes)</v>
      </c>
      <c r="R34" s="29" t="str" cm="1">
        <f t="array" ref="R34">IFERROR(INDEX(_xlfn.UNIQUE(TRIM(_xlfn.TEXTSPLIT(Table2614256[[#This Row],[Selection Options]:[Selection Options]],","))),,R$11),"")</f>
        <v xml:space="preserve">
 0%: Not currently supported</v>
      </c>
      <c r="S34" s="29" t="str" cm="1">
        <f t="array" ref="S34">IFERROR(INDEX(_xlfn.UNIQUE(TRIM(_xlfn.TEXTSPLIT(Table2614256[[#This Row],[Selection Options]:[Selection Options]],","))),,S$11),"")</f>
        <v/>
      </c>
      <c r="T34" s="29" t="str" cm="1">
        <f t="array" ref="T34">IFERROR(INDEX(_xlfn.UNIQUE(TRIM(_xlfn.TEXTSPLIT(Table2614256[[#This Row],[Selection Options]:[Selection Options]],","))),,T$11),"")</f>
        <v/>
      </c>
      <c r="U34" s="29" t="str" cm="1">
        <f t="array" ref="U34">IFERROR(INDEX(_xlfn.UNIQUE(TRIM(_xlfn.TEXTSPLIT(Table2614256[[#This Row],[Selection Options]:[Selection Options]],","))),,U$11),"")</f>
        <v/>
      </c>
      <c r="V34" s="29" t="str" cm="1">
        <f t="array" ref="V34">IFERROR(INDEX(_xlfn.UNIQUE(TRIM(_xlfn.TEXTSPLIT(Table2614256[[#This Row],[Selection Options]:[Selection Options]],","))),,V$11),"")</f>
        <v/>
      </c>
      <c r="W34" s="29" t="str" cm="1">
        <f t="array" ref="W34">IFERROR(INDEX(_xlfn.UNIQUE(TRIM(_xlfn.TEXTSPLIT(Table2614256[[#This Row],[Selection Options]:[Selection Options]],","))),,W$11),"")</f>
        <v/>
      </c>
      <c r="X34" s="29" t="str" cm="1">
        <f t="array" ref="X34">IFERROR(INDEX(_xlfn.UNIQUE(TRIM(_xlfn.TEXTSPLIT(Table2614256[[#This Row],[Selection Options]:[Selection Options]],","))),,X$11),"")</f>
        <v/>
      </c>
      <c r="Y34" s="30" cm="1">
        <f t="array" ref="Y34">IF(Table2614256[[#This Row],[1]]="","",Table2614256[[#This Row],[Weight]:[Weight]]-(Table2614256[[#This Row],[Weight]:[Weight]]*((_xlfn.XMATCH(Table2614256[[#This Row],[1]],Table2614256[[#This Row],[1]:[11]],0))-1)/(COUNTA(Table2614256[[#This Row],[1]:[11]])-COUNTBLANK(Table2614256[[#This Row],[1]:[11]])-1)))</f>
        <v>7.4503311258278151E-4</v>
      </c>
      <c r="Z34" s="30" cm="1">
        <f t="array" ref="Z34">IF(Table2614256[[#This Row],[2]]="","",Table2614256[[#This Row],[Weight]:[Weight]]-(Table2614256[[#This Row],[Weight]:[Weight]]*((_xlfn.XMATCH(Table2614256[[#This Row],[2]],Table2614256[[#This Row],[1]:[11]],0))-1)/(COUNTA(Table2614256[[#This Row],[1]:[11]])-COUNTBLANK(Table2614256[[#This Row],[1]:[11]])-1)))</f>
        <v>5.5877483443708611E-4</v>
      </c>
      <c r="AA34" s="30" cm="1">
        <f t="array" ref="AA34">IF(Table2614256[[#This Row],[3]]="","",Table2614256[[#This Row],[Weight]:[Weight]]-(Table2614256[[#This Row],[Weight]:[Weight]]*((_xlfn.XMATCH(Table2614256[[#This Row],[3]],Table2614256[[#This Row],[1]:[11]],0))-1)/(COUNTA(Table2614256[[#This Row],[1]:[11]])-COUNTBLANK(Table2614256[[#This Row],[1]:[11]])-1)))</f>
        <v>3.7251655629139076E-4</v>
      </c>
      <c r="AB34" s="30" cm="1">
        <f t="array" ref="AB34">IF(Table2614256[[#This Row],[4]]="","",Table2614256[[#This Row],[Weight]:[Weight]]-(Table2614256[[#This Row],[Weight]:[Weight]]*((_xlfn.XMATCH(Table2614256[[#This Row],[4]],Table2614256[[#This Row],[1]:[11]],0))-1)/(COUNTA(Table2614256[[#This Row],[1]:[11]])-COUNTBLANK(Table2614256[[#This Row],[1]:[11]])-1)))</f>
        <v>1.862582781456954E-4</v>
      </c>
      <c r="AC34" s="30" cm="1">
        <f t="array" ref="AC34">IF(Table2614256[[#This Row],[5]]="","",Table2614256[[#This Row],[Weight]:[Weight]]-(Table2614256[[#This Row],[Weight]:[Weight]]*((_xlfn.XMATCH(Table2614256[[#This Row],[5]],Table2614256[[#This Row],[1]:[11]],0))-1)/(COUNTA(Table2614256[[#This Row],[1]:[11]])-COUNTBLANK(Table2614256[[#This Row],[1]:[11]])-1)))</f>
        <v>0</v>
      </c>
      <c r="AD34" s="30" t="str" cm="1">
        <f t="array" ref="AD34">IF(Table2614256[[#This Row],[6]]="","",Table2614256[[#This Row],[Weight]:[Weight]]-(Table2614256[[#This Row],[Weight]:[Weight]]*((_xlfn.XMATCH(Table2614256[[#This Row],[6]],Table2614256[[#This Row],[1]:[11]],0))-1)/(COUNTA(Table2614256[[#This Row],[1]:[11]])-COUNTBLANK(Table2614256[[#This Row],[1]:[11]])-1)))</f>
        <v/>
      </c>
      <c r="AE34" s="30" t="str" cm="1">
        <f t="array" ref="AE34">IF(Table2614256[[#This Row],[7]]="","",Table2614256[[#This Row],[Weight]:[Weight]]-(Table2614256[[#This Row],[Weight]:[Weight]]*((_xlfn.XMATCH(Table2614256[[#This Row],[7]],Table2614256[[#This Row],[1]:[11]],0))-1)/(COUNTA(Table2614256[[#This Row],[1]:[11]])-COUNTBLANK(Table2614256[[#This Row],[1]:[11]])-1)))</f>
        <v/>
      </c>
      <c r="AF34" s="30" t="str" cm="1">
        <f t="array" ref="AF34">IF(Table2614256[[#This Row],[8]]="","",Table2614256[[#This Row],[Weight]:[Weight]]-(Table2614256[[#This Row],[Weight]:[Weight]]*((_xlfn.XMATCH(Table2614256[[#This Row],[8]],Table2614256[[#This Row],[1]:[11]],0))-1)/(COUNTA(Table2614256[[#This Row],[1]:[11]])-COUNTBLANK(Table2614256[[#This Row],[1]:[11]])-1)))</f>
        <v/>
      </c>
      <c r="AG34" s="30" t="str" cm="1">
        <f t="array" ref="AG34">IF(Table2614256[[#This Row],[9]]="","",Table2614256[[#This Row],[Weight]:[Weight]]-(Table2614256[[#This Row],[Weight]:[Weight]]*((_xlfn.XMATCH(Table2614256[[#This Row],[9]],Table2614256[[#This Row],[1]:[11]],0))-1)/(COUNTA(Table2614256[[#This Row],[1]:[11]])-COUNTBLANK(Table2614256[[#This Row],[1]:[11]])-1)))</f>
        <v/>
      </c>
      <c r="AH34" s="30" t="str" cm="1">
        <f t="array" ref="AH34">IF(Table2614256[[#This Row],[10]]="","",Table2614256[[#This Row],[Weight]:[Weight]]-(Table2614256[[#This Row],[Weight]:[Weight]]*((_xlfn.XMATCH(Table2614256[[#This Row],[10]],Table2614256[[#This Row],[1]:[11]],0))-1)/(COUNTA(Table2614256[[#This Row],[1]:[11]])-COUNTBLANK(Table2614256[[#This Row],[1]:[11]])-1)))</f>
        <v/>
      </c>
      <c r="AI34" s="30" t="str" cm="1">
        <f t="array" ref="AI34">IF(Table2614256[[#This Row],[11]]="","",Table2614256[[#This Row],[Weight]:[Weight]]-(Table2614256[[#This Row],[Weight]:[Weight]]*((_xlfn.XMATCH(Table2614256[[#This Row],[11]],Table2614256[[#This Row],[1]:[11]],0))-1)/(COUNTA(Table2614256[[#This Row],[1]:[11]])-COUNTBLANK(Table2614256[[#This Row],[1]:[11]])-1)))</f>
        <v/>
      </c>
    </row>
    <row r="35" spans="1:35" ht="120" x14ac:dyDescent="0.2">
      <c r="A35" s="20">
        <v>23</v>
      </c>
      <c r="B35" s="90" t="s">
        <v>366</v>
      </c>
      <c r="C35" s="119" t="s">
        <v>215</v>
      </c>
      <c r="D35" s="153"/>
      <c r="E35" s="153"/>
      <c r="F35" s="121" t="s">
        <v>188</v>
      </c>
      <c r="G35" s="148" cm="1">
        <f t="array" ref="G35">_xlfn.IFS(F35="","",F35="No interest",0,F35="Nice to have",1,F35="Useful",2,F35="Important",3,F35="Very important",4,F35="Critical",5,F35="Show stopper",6)</f>
        <v>5</v>
      </c>
      <c r="H35" s="149">
        <f t="shared" si="1"/>
        <v>6.2086092715231791E-4</v>
      </c>
      <c r="I35" s="150" t="s">
        <v>321</v>
      </c>
      <c r="J35" s="35" t="str" cm="1">
        <f t="array" ref="J35">_xlfn.TEXTJOIN(","&amp;CHAR(10),,TEXT(Table2614256[[#This Row],[12]:[22]],"0,00%"))</f>
        <v>0,00%,
0,00%,
0,00%,
0,00%,
0,00%</v>
      </c>
      <c r="K35" s="26"/>
      <c r="L35" s="27" t="e">
        <f>H35-(H35*((MATCH(Table2614256[[#This Row],[Evaluators Response (SELECT)]],Table2614256[[#This Row],[1]:[11]],0)-1)/(COUNTA(Table2614256[[#This Row],[1]:[11]])-COUNTBLANK(Table2614256[[#This Row],[1]:[11]])-1)))</f>
        <v>#N/A</v>
      </c>
      <c r="M35" s="28"/>
      <c r="N35" s="29" t="str" cm="1">
        <f t="array" ref="N35">IFERROR(INDEX(_xlfn.UNIQUE(TRIM(_xlfn.TEXTSPLIT(Table2614256[[#This Row],[Selection Options]:[Selection Options]],","))),,N$11),"")</f>
        <v>100%: Supported as delivered "out of the box"</v>
      </c>
      <c r="O35" s="29" t="str" cm="1">
        <f t="array" ref="O35">IFERROR(INDEX(_xlfn.UNIQUE(TRIM(_xlfn.TEXTSPLIT(Table2614256[[#This Row],[Selection Options]:[Selection Options]],","))),,O$11),"")</f>
        <v xml:space="preserve">
75%: Supported via modifications (config)</v>
      </c>
      <c r="P35" s="29" t="str" cm="1">
        <f t="array" ref="P35">IFERROR(INDEX(_xlfn.UNIQUE(TRIM(_xlfn.TEXTSPLIT(Table2614256[[#This Row],[Selection Options]:[Selection Options]],","))),,P$11),"")</f>
        <v xml:space="preserve">
50%: Supported via a third party solution</v>
      </c>
      <c r="Q35" s="29" t="str" cm="1">
        <f t="array" ref="Q35">IFERROR(INDEX(_xlfn.UNIQUE(TRIM(_xlfn.TEXTSPLIT(Table2614256[[#This Row],[Selection Options]:[Selection Options]],","))),,Q$11),"")</f>
        <v xml:space="preserve">
25%: Supported via customisation (source code changes)</v>
      </c>
      <c r="R35" s="29" t="str" cm="1">
        <f t="array" ref="R35">IFERROR(INDEX(_xlfn.UNIQUE(TRIM(_xlfn.TEXTSPLIT(Table2614256[[#This Row],[Selection Options]:[Selection Options]],","))),,R$11),"")</f>
        <v xml:space="preserve">
 0%: Not currently supported</v>
      </c>
      <c r="S35" s="29" t="str" cm="1">
        <f t="array" ref="S35">IFERROR(INDEX(_xlfn.UNIQUE(TRIM(_xlfn.TEXTSPLIT(Table2614256[[#This Row],[Selection Options]:[Selection Options]],","))),,S$11),"")</f>
        <v/>
      </c>
      <c r="T35" s="29" t="str" cm="1">
        <f t="array" ref="T35">IFERROR(INDEX(_xlfn.UNIQUE(TRIM(_xlfn.TEXTSPLIT(Table2614256[[#This Row],[Selection Options]:[Selection Options]],","))),,T$11),"")</f>
        <v/>
      </c>
      <c r="U35" s="29" t="str" cm="1">
        <f t="array" ref="U35">IFERROR(INDEX(_xlfn.UNIQUE(TRIM(_xlfn.TEXTSPLIT(Table2614256[[#This Row],[Selection Options]:[Selection Options]],","))),,U$11),"")</f>
        <v/>
      </c>
      <c r="V35" s="29" t="str" cm="1">
        <f t="array" ref="V35">IFERROR(INDEX(_xlfn.UNIQUE(TRIM(_xlfn.TEXTSPLIT(Table2614256[[#This Row],[Selection Options]:[Selection Options]],","))),,V$11),"")</f>
        <v/>
      </c>
      <c r="W35" s="29" t="str" cm="1">
        <f t="array" ref="W35">IFERROR(INDEX(_xlfn.UNIQUE(TRIM(_xlfn.TEXTSPLIT(Table2614256[[#This Row],[Selection Options]:[Selection Options]],","))),,W$11),"")</f>
        <v/>
      </c>
      <c r="X35" s="29" t="str" cm="1">
        <f t="array" ref="X35">IFERROR(INDEX(_xlfn.UNIQUE(TRIM(_xlfn.TEXTSPLIT(Table2614256[[#This Row],[Selection Options]:[Selection Options]],","))),,X$11),"")</f>
        <v/>
      </c>
      <c r="Y35" s="30" cm="1">
        <f t="array" ref="Y35">IF(Table2614256[[#This Row],[1]]="","",Table2614256[[#This Row],[Weight]:[Weight]]-(Table2614256[[#This Row],[Weight]:[Weight]]*((_xlfn.XMATCH(Table2614256[[#This Row],[1]],Table2614256[[#This Row],[1]:[11]],0))-1)/(COUNTA(Table2614256[[#This Row],[1]:[11]])-COUNTBLANK(Table2614256[[#This Row],[1]:[11]])-1)))</f>
        <v>6.2086092715231791E-4</v>
      </c>
      <c r="Z35" s="30" cm="1">
        <f t="array" ref="Z35">IF(Table2614256[[#This Row],[2]]="","",Table2614256[[#This Row],[Weight]:[Weight]]-(Table2614256[[#This Row],[Weight]:[Weight]]*((_xlfn.XMATCH(Table2614256[[#This Row],[2]],Table2614256[[#This Row],[1]:[11]],0))-1)/(COUNTA(Table2614256[[#This Row],[1]:[11]])-COUNTBLANK(Table2614256[[#This Row],[1]:[11]])-1)))</f>
        <v>4.656456953642384E-4</v>
      </c>
      <c r="AA35" s="30" cm="1">
        <f t="array" ref="AA35">IF(Table2614256[[#This Row],[3]]="","",Table2614256[[#This Row],[Weight]:[Weight]]-(Table2614256[[#This Row],[Weight]:[Weight]]*((_xlfn.XMATCH(Table2614256[[#This Row],[3]],Table2614256[[#This Row],[1]:[11]],0))-1)/(COUNTA(Table2614256[[#This Row],[1]:[11]])-COUNTBLANK(Table2614256[[#This Row],[1]:[11]])-1)))</f>
        <v>3.1043046357615895E-4</v>
      </c>
      <c r="AB35" s="30" cm="1">
        <f t="array" ref="AB35">IF(Table2614256[[#This Row],[4]]="","",Table2614256[[#This Row],[Weight]:[Weight]]-(Table2614256[[#This Row],[Weight]:[Weight]]*((_xlfn.XMATCH(Table2614256[[#This Row],[4]],Table2614256[[#This Row],[1]:[11]],0))-1)/(COUNTA(Table2614256[[#This Row],[1]:[11]])-COUNTBLANK(Table2614256[[#This Row],[1]:[11]])-1)))</f>
        <v>1.552152317880795E-4</v>
      </c>
      <c r="AC35" s="30" cm="1">
        <f t="array" ref="AC35">IF(Table2614256[[#This Row],[5]]="","",Table2614256[[#This Row],[Weight]:[Weight]]-(Table2614256[[#This Row],[Weight]:[Weight]]*((_xlfn.XMATCH(Table2614256[[#This Row],[5]],Table2614256[[#This Row],[1]:[11]],0))-1)/(COUNTA(Table2614256[[#This Row],[1]:[11]])-COUNTBLANK(Table2614256[[#This Row],[1]:[11]])-1)))</f>
        <v>0</v>
      </c>
      <c r="AD35" s="30" t="str" cm="1">
        <f t="array" ref="AD35">IF(Table2614256[[#This Row],[6]]="","",Table2614256[[#This Row],[Weight]:[Weight]]-(Table2614256[[#This Row],[Weight]:[Weight]]*((_xlfn.XMATCH(Table2614256[[#This Row],[6]],Table2614256[[#This Row],[1]:[11]],0))-1)/(COUNTA(Table2614256[[#This Row],[1]:[11]])-COUNTBLANK(Table2614256[[#This Row],[1]:[11]])-1)))</f>
        <v/>
      </c>
      <c r="AE35" s="30" t="str" cm="1">
        <f t="array" ref="AE35">IF(Table2614256[[#This Row],[7]]="","",Table2614256[[#This Row],[Weight]:[Weight]]-(Table2614256[[#This Row],[Weight]:[Weight]]*((_xlfn.XMATCH(Table2614256[[#This Row],[7]],Table2614256[[#This Row],[1]:[11]],0))-1)/(COUNTA(Table2614256[[#This Row],[1]:[11]])-COUNTBLANK(Table2614256[[#This Row],[1]:[11]])-1)))</f>
        <v/>
      </c>
      <c r="AF35" s="30" t="str" cm="1">
        <f t="array" ref="AF35">IF(Table2614256[[#This Row],[8]]="","",Table2614256[[#This Row],[Weight]:[Weight]]-(Table2614256[[#This Row],[Weight]:[Weight]]*((_xlfn.XMATCH(Table2614256[[#This Row],[8]],Table2614256[[#This Row],[1]:[11]],0))-1)/(COUNTA(Table2614256[[#This Row],[1]:[11]])-COUNTBLANK(Table2614256[[#This Row],[1]:[11]])-1)))</f>
        <v/>
      </c>
      <c r="AG35" s="30" t="str" cm="1">
        <f t="array" ref="AG35">IF(Table2614256[[#This Row],[9]]="","",Table2614256[[#This Row],[Weight]:[Weight]]-(Table2614256[[#This Row],[Weight]:[Weight]]*((_xlfn.XMATCH(Table2614256[[#This Row],[9]],Table2614256[[#This Row],[1]:[11]],0))-1)/(COUNTA(Table2614256[[#This Row],[1]:[11]])-COUNTBLANK(Table2614256[[#This Row],[1]:[11]])-1)))</f>
        <v/>
      </c>
      <c r="AH35" s="30" t="str" cm="1">
        <f t="array" ref="AH35">IF(Table2614256[[#This Row],[10]]="","",Table2614256[[#This Row],[Weight]:[Weight]]-(Table2614256[[#This Row],[Weight]:[Weight]]*((_xlfn.XMATCH(Table2614256[[#This Row],[10]],Table2614256[[#This Row],[1]:[11]],0))-1)/(COUNTA(Table2614256[[#This Row],[1]:[11]])-COUNTBLANK(Table2614256[[#This Row],[1]:[11]])-1)))</f>
        <v/>
      </c>
      <c r="AI35" s="30" t="str" cm="1">
        <f t="array" ref="AI35">IF(Table2614256[[#This Row],[11]]="","",Table2614256[[#This Row],[Weight]:[Weight]]-(Table2614256[[#This Row],[Weight]:[Weight]]*((_xlfn.XMATCH(Table2614256[[#This Row],[11]],Table2614256[[#This Row],[1]:[11]],0))-1)/(COUNTA(Table2614256[[#This Row],[1]:[11]])-COUNTBLANK(Table2614256[[#This Row],[1]:[11]])-1)))</f>
        <v/>
      </c>
    </row>
    <row r="36" spans="1:35" ht="120" x14ac:dyDescent="0.2">
      <c r="A36" s="20">
        <v>24</v>
      </c>
      <c r="B36" s="90" t="s">
        <v>367</v>
      </c>
      <c r="C36" s="119" t="s">
        <v>215</v>
      </c>
      <c r="D36" s="153"/>
      <c r="E36" s="153"/>
      <c r="F36" s="121" t="s">
        <v>60</v>
      </c>
      <c r="G36" s="148" cm="1">
        <f t="array" ref="G36">_xlfn.IFS(F36="","",F36="No interest",0,F36="Nice to have",1,F36="Useful",2,F36="Important",3,F36="Very important",4,F36="Critical",5,F36="Show stopper",6)</f>
        <v>6</v>
      </c>
      <c r="H36" s="149">
        <f t="shared" si="1"/>
        <v>7.4503311258278151E-4</v>
      </c>
      <c r="I36" s="150" t="s">
        <v>321</v>
      </c>
      <c r="J36" s="35" t="str" cm="1">
        <f t="array" ref="J36">_xlfn.TEXTJOIN(","&amp;CHAR(10),,TEXT(Table2614256[[#This Row],[12]:[22]],"0,00%"))</f>
        <v>0,00%,
0,00%,
0,00%,
0,00%,
0,00%</v>
      </c>
      <c r="K36" s="26"/>
      <c r="L36" s="27" t="e">
        <f>H36-(H36*((MATCH(Table2614256[[#This Row],[Evaluators Response (SELECT)]],Table2614256[[#This Row],[1]:[11]],0)-1)/(COUNTA(Table2614256[[#This Row],[1]:[11]])-COUNTBLANK(Table2614256[[#This Row],[1]:[11]])-1)))</f>
        <v>#N/A</v>
      </c>
      <c r="M36" s="28"/>
      <c r="N36" s="29" t="str" cm="1">
        <f t="array" ref="N36">IFERROR(INDEX(_xlfn.UNIQUE(TRIM(_xlfn.TEXTSPLIT(Table2614256[[#This Row],[Selection Options]:[Selection Options]],","))),,N$11),"")</f>
        <v>100%: Supported as delivered "out of the box"</v>
      </c>
      <c r="O36" s="29" t="str" cm="1">
        <f t="array" ref="O36">IFERROR(INDEX(_xlfn.UNIQUE(TRIM(_xlfn.TEXTSPLIT(Table2614256[[#This Row],[Selection Options]:[Selection Options]],","))),,O$11),"")</f>
        <v xml:space="preserve">
75%: Supported via modifications (config)</v>
      </c>
      <c r="P36" s="29" t="str" cm="1">
        <f t="array" ref="P36">IFERROR(INDEX(_xlfn.UNIQUE(TRIM(_xlfn.TEXTSPLIT(Table2614256[[#This Row],[Selection Options]:[Selection Options]],","))),,P$11),"")</f>
        <v xml:space="preserve">
50%: Supported via a third party solution</v>
      </c>
      <c r="Q36" s="29" t="str" cm="1">
        <f t="array" ref="Q36">IFERROR(INDEX(_xlfn.UNIQUE(TRIM(_xlfn.TEXTSPLIT(Table2614256[[#This Row],[Selection Options]:[Selection Options]],","))),,Q$11),"")</f>
        <v xml:space="preserve">
25%: Supported via customisation (source code changes)</v>
      </c>
      <c r="R36" s="29" t="str" cm="1">
        <f t="array" ref="R36">IFERROR(INDEX(_xlfn.UNIQUE(TRIM(_xlfn.TEXTSPLIT(Table2614256[[#This Row],[Selection Options]:[Selection Options]],","))),,R$11),"")</f>
        <v xml:space="preserve">
 0%: Not currently supported</v>
      </c>
      <c r="S36" s="29" t="str" cm="1">
        <f t="array" ref="S36">IFERROR(INDEX(_xlfn.UNIQUE(TRIM(_xlfn.TEXTSPLIT(Table2614256[[#This Row],[Selection Options]:[Selection Options]],","))),,S$11),"")</f>
        <v/>
      </c>
      <c r="T36" s="29" t="str" cm="1">
        <f t="array" ref="T36">IFERROR(INDEX(_xlfn.UNIQUE(TRIM(_xlfn.TEXTSPLIT(Table2614256[[#This Row],[Selection Options]:[Selection Options]],","))),,T$11),"")</f>
        <v/>
      </c>
      <c r="U36" s="29" t="str" cm="1">
        <f t="array" ref="U36">IFERROR(INDEX(_xlfn.UNIQUE(TRIM(_xlfn.TEXTSPLIT(Table2614256[[#This Row],[Selection Options]:[Selection Options]],","))),,U$11),"")</f>
        <v/>
      </c>
      <c r="V36" s="29" t="str" cm="1">
        <f t="array" ref="V36">IFERROR(INDEX(_xlfn.UNIQUE(TRIM(_xlfn.TEXTSPLIT(Table2614256[[#This Row],[Selection Options]:[Selection Options]],","))),,V$11),"")</f>
        <v/>
      </c>
      <c r="W36" s="29" t="str" cm="1">
        <f t="array" ref="W36">IFERROR(INDEX(_xlfn.UNIQUE(TRIM(_xlfn.TEXTSPLIT(Table2614256[[#This Row],[Selection Options]:[Selection Options]],","))),,W$11),"")</f>
        <v/>
      </c>
      <c r="X36" s="29" t="str" cm="1">
        <f t="array" ref="X36">IFERROR(INDEX(_xlfn.UNIQUE(TRIM(_xlfn.TEXTSPLIT(Table2614256[[#This Row],[Selection Options]:[Selection Options]],","))),,X$11),"")</f>
        <v/>
      </c>
      <c r="Y36" s="30" cm="1">
        <f t="array" ref="Y36">IF(Table2614256[[#This Row],[1]]="","",Table2614256[[#This Row],[Weight]:[Weight]]-(Table2614256[[#This Row],[Weight]:[Weight]]*((_xlfn.XMATCH(Table2614256[[#This Row],[1]],Table2614256[[#This Row],[1]:[11]],0))-1)/(COUNTA(Table2614256[[#This Row],[1]:[11]])-COUNTBLANK(Table2614256[[#This Row],[1]:[11]])-1)))</f>
        <v>7.4503311258278151E-4</v>
      </c>
      <c r="Z36" s="30" cm="1">
        <f t="array" ref="Z36">IF(Table2614256[[#This Row],[2]]="","",Table2614256[[#This Row],[Weight]:[Weight]]-(Table2614256[[#This Row],[Weight]:[Weight]]*((_xlfn.XMATCH(Table2614256[[#This Row],[2]],Table2614256[[#This Row],[1]:[11]],0))-1)/(COUNTA(Table2614256[[#This Row],[1]:[11]])-COUNTBLANK(Table2614256[[#This Row],[1]:[11]])-1)))</f>
        <v>5.5877483443708611E-4</v>
      </c>
      <c r="AA36" s="30" cm="1">
        <f t="array" ref="AA36">IF(Table2614256[[#This Row],[3]]="","",Table2614256[[#This Row],[Weight]:[Weight]]-(Table2614256[[#This Row],[Weight]:[Weight]]*((_xlfn.XMATCH(Table2614256[[#This Row],[3]],Table2614256[[#This Row],[1]:[11]],0))-1)/(COUNTA(Table2614256[[#This Row],[1]:[11]])-COUNTBLANK(Table2614256[[#This Row],[1]:[11]])-1)))</f>
        <v>3.7251655629139076E-4</v>
      </c>
      <c r="AB36" s="30" cm="1">
        <f t="array" ref="AB36">IF(Table2614256[[#This Row],[4]]="","",Table2614256[[#This Row],[Weight]:[Weight]]-(Table2614256[[#This Row],[Weight]:[Weight]]*((_xlfn.XMATCH(Table2614256[[#This Row],[4]],Table2614256[[#This Row],[1]:[11]],0))-1)/(COUNTA(Table2614256[[#This Row],[1]:[11]])-COUNTBLANK(Table2614256[[#This Row],[1]:[11]])-1)))</f>
        <v>1.862582781456954E-4</v>
      </c>
      <c r="AC36" s="30" cm="1">
        <f t="array" ref="AC36">IF(Table2614256[[#This Row],[5]]="","",Table2614256[[#This Row],[Weight]:[Weight]]-(Table2614256[[#This Row],[Weight]:[Weight]]*((_xlfn.XMATCH(Table2614256[[#This Row],[5]],Table2614256[[#This Row],[1]:[11]],0))-1)/(COUNTA(Table2614256[[#This Row],[1]:[11]])-COUNTBLANK(Table2614256[[#This Row],[1]:[11]])-1)))</f>
        <v>0</v>
      </c>
      <c r="AD36" s="30" t="str" cm="1">
        <f t="array" ref="AD36">IF(Table2614256[[#This Row],[6]]="","",Table2614256[[#This Row],[Weight]:[Weight]]-(Table2614256[[#This Row],[Weight]:[Weight]]*((_xlfn.XMATCH(Table2614256[[#This Row],[6]],Table2614256[[#This Row],[1]:[11]],0))-1)/(COUNTA(Table2614256[[#This Row],[1]:[11]])-COUNTBLANK(Table2614256[[#This Row],[1]:[11]])-1)))</f>
        <v/>
      </c>
      <c r="AE36" s="30" t="str" cm="1">
        <f t="array" ref="AE36">IF(Table2614256[[#This Row],[7]]="","",Table2614256[[#This Row],[Weight]:[Weight]]-(Table2614256[[#This Row],[Weight]:[Weight]]*((_xlfn.XMATCH(Table2614256[[#This Row],[7]],Table2614256[[#This Row],[1]:[11]],0))-1)/(COUNTA(Table2614256[[#This Row],[1]:[11]])-COUNTBLANK(Table2614256[[#This Row],[1]:[11]])-1)))</f>
        <v/>
      </c>
      <c r="AF36" s="30" t="str" cm="1">
        <f t="array" ref="AF36">IF(Table2614256[[#This Row],[8]]="","",Table2614256[[#This Row],[Weight]:[Weight]]-(Table2614256[[#This Row],[Weight]:[Weight]]*((_xlfn.XMATCH(Table2614256[[#This Row],[8]],Table2614256[[#This Row],[1]:[11]],0))-1)/(COUNTA(Table2614256[[#This Row],[1]:[11]])-COUNTBLANK(Table2614256[[#This Row],[1]:[11]])-1)))</f>
        <v/>
      </c>
      <c r="AG36" s="30" t="str" cm="1">
        <f t="array" ref="AG36">IF(Table2614256[[#This Row],[9]]="","",Table2614256[[#This Row],[Weight]:[Weight]]-(Table2614256[[#This Row],[Weight]:[Weight]]*((_xlfn.XMATCH(Table2614256[[#This Row],[9]],Table2614256[[#This Row],[1]:[11]],0))-1)/(COUNTA(Table2614256[[#This Row],[1]:[11]])-COUNTBLANK(Table2614256[[#This Row],[1]:[11]])-1)))</f>
        <v/>
      </c>
      <c r="AH36" s="30" t="str" cm="1">
        <f t="array" ref="AH36">IF(Table2614256[[#This Row],[10]]="","",Table2614256[[#This Row],[Weight]:[Weight]]-(Table2614256[[#This Row],[Weight]:[Weight]]*((_xlfn.XMATCH(Table2614256[[#This Row],[10]],Table2614256[[#This Row],[1]:[11]],0))-1)/(COUNTA(Table2614256[[#This Row],[1]:[11]])-COUNTBLANK(Table2614256[[#This Row],[1]:[11]])-1)))</f>
        <v/>
      </c>
      <c r="AI36" s="30" t="str" cm="1">
        <f t="array" ref="AI36">IF(Table2614256[[#This Row],[11]]="","",Table2614256[[#This Row],[Weight]:[Weight]]-(Table2614256[[#This Row],[Weight]:[Weight]]*((_xlfn.XMATCH(Table2614256[[#This Row],[11]],Table2614256[[#This Row],[1]:[11]],0))-1)/(COUNTA(Table2614256[[#This Row],[1]:[11]])-COUNTBLANK(Table2614256[[#This Row],[1]:[11]])-1)))</f>
        <v/>
      </c>
    </row>
    <row r="37" spans="1:35" ht="120" x14ac:dyDescent="0.2">
      <c r="A37" s="20">
        <v>25</v>
      </c>
      <c r="B37" s="90" t="s">
        <v>368</v>
      </c>
      <c r="C37" s="119" t="s">
        <v>215</v>
      </c>
      <c r="D37" s="153"/>
      <c r="E37" s="153"/>
      <c r="F37" s="121" t="s">
        <v>60</v>
      </c>
      <c r="G37" s="148" cm="1">
        <f t="array" ref="G37">_xlfn.IFS(F37="","",F37="No interest",0,F37="Nice to have",1,F37="Useful",2,F37="Important",3,F37="Very important",4,F37="Critical",5,F37="Show stopper",6)</f>
        <v>6</v>
      </c>
      <c r="H37" s="149">
        <f t="shared" si="1"/>
        <v>7.4503311258278151E-4</v>
      </c>
      <c r="I37" s="150" t="s">
        <v>321</v>
      </c>
      <c r="J37" s="35" t="str" cm="1">
        <f t="array" ref="J37">_xlfn.TEXTJOIN(","&amp;CHAR(10),,TEXT(Table2614256[[#This Row],[12]:[22]],"0,00%"))</f>
        <v>0,00%,
0,00%,
0,00%,
0,00%,
0,00%</v>
      </c>
      <c r="K37" s="26"/>
      <c r="L37" s="27" t="e">
        <f>H37-(H37*((MATCH(Table2614256[[#This Row],[Evaluators Response (SELECT)]],Table2614256[[#This Row],[1]:[11]],0)-1)/(COUNTA(Table2614256[[#This Row],[1]:[11]])-COUNTBLANK(Table2614256[[#This Row],[1]:[11]])-1)))</f>
        <v>#N/A</v>
      </c>
      <c r="M37" s="28"/>
      <c r="N37" s="29" t="str" cm="1">
        <f t="array" ref="N37">IFERROR(INDEX(_xlfn.UNIQUE(TRIM(_xlfn.TEXTSPLIT(Table2614256[[#This Row],[Selection Options]:[Selection Options]],","))),,N$11),"")</f>
        <v>100%: Supported as delivered "out of the box"</v>
      </c>
      <c r="O37" s="29" t="str" cm="1">
        <f t="array" ref="O37">IFERROR(INDEX(_xlfn.UNIQUE(TRIM(_xlfn.TEXTSPLIT(Table2614256[[#This Row],[Selection Options]:[Selection Options]],","))),,O$11),"")</f>
        <v xml:space="preserve">
75%: Supported via modifications (config)</v>
      </c>
      <c r="P37" s="29" t="str" cm="1">
        <f t="array" ref="P37">IFERROR(INDEX(_xlfn.UNIQUE(TRIM(_xlfn.TEXTSPLIT(Table2614256[[#This Row],[Selection Options]:[Selection Options]],","))),,P$11),"")</f>
        <v xml:space="preserve">
50%: Supported via a third party solution</v>
      </c>
      <c r="Q37" s="29" t="str" cm="1">
        <f t="array" ref="Q37">IFERROR(INDEX(_xlfn.UNIQUE(TRIM(_xlfn.TEXTSPLIT(Table2614256[[#This Row],[Selection Options]:[Selection Options]],","))),,Q$11),"")</f>
        <v xml:space="preserve">
25%: Supported via customisation (source code changes)</v>
      </c>
      <c r="R37" s="29" t="str" cm="1">
        <f t="array" ref="R37">IFERROR(INDEX(_xlfn.UNIQUE(TRIM(_xlfn.TEXTSPLIT(Table2614256[[#This Row],[Selection Options]:[Selection Options]],","))),,R$11),"")</f>
        <v xml:space="preserve">
 0%: Not currently supported</v>
      </c>
      <c r="S37" s="29" t="str" cm="1">
        <f t="array" ref="S37">IFERROR(INDEX(_xlfn.UNIQUE(TRIM(_xlfn.TEXTSPLIT(Table2614256[[#This Row],[Selection Options]:[Selection Options]],","))),,S$11),"")</f>
        <v/>
      </c>
      <c r="T37" s="29" t="str" cm="1">
        <f t="array" ref="T37">IFERROR(INDEX(_xlfn.UNIQUE(TRIM(_xlfn.TEXTSPLIT(Table2614256[[#This Row],[Selection Options]:[Selection Options]],","))),,T$11),"")</f>
        <v/>
      </c>
      <c r="U37" s="29" t="str" cm="1">
        <f t="array" ref="U37">IFERROR(INDEX(_xlfn.UNIQUE(TRIM(_xlfn.TEXTSPLIT(Table2614256[[#This Row],[Selection Options]:[Selection Options]],","))),,U$11),"")</f>
        <v/>
      </c>
      <c r="V37" s="29" t="str" cm="1">
        <f t="array" ref="V37">IFERROR(INDEX(_xlfn.UNIQUE(TRIM(_xlfn.TEXTSPLIT(Table2614256[[#This Row],[Selection Options]:[Selection Options]],","))),,V$11),"")</f>
        <v/>
      </c>
      <c r="W37" s="29" t="str" cm="1">
        <f t="array" ref="W37">IFERROR(INDEX(_xlfn.UNIQUE(TRIM(_xlfn.TEXTSPLIT(Table2614256[[#This Row],[Selection Options]:[Selection Options]],","))),,W$11),"")</f>
        <v/>
      </c>
      <c r="X37" s="29" t="str" cm="1">
        <f t="array" ref="X37">IFERROR(INDEX(_xlfn.UNIQUE(TRIM(_xlfn.TEXTSPLIT(Table2614256[[#This Row],[Selection Options]:[Selection Options]],","))),,X$11),"")</f>
        <v/>
      </c>
      <c r="Y37" s="30" cm="1">
        <f t="array" ref="Y37">IF(Table2614256[[#This Row],[1]]="","",Table2614256[[#This Row],[Weight]:[Weight]]-(Table2614256[[#This Row],[Weight]:[Weight]]*((_xlfn.XMATCH(Table2614256[[#This Row],[1]],Table2614256[[#This Row],[1]:[11]],0))-1)/(COUNTA(Table2614256[[#This Row],[1]:[11]])-COUNTBLANK(Table2614256[[#This Row],[1]:[11]])-1)))</f>
        <v>7.4503311258278151E-4</v>
      </c>
      <c r="Z37" s="30" cm="1">
        <f t="array" ref="Z37">IF(Table2614256[[#This Row],[2]]="","",Table2614256[[#This Row],[Weight]:[Weight]]-(Table2614256[[#This Row],[Weight]:[Weight]]*((_xlfn.XMATCH(Table2614256[[#This Row],[2]],Table2614256[[#This Row],[1]:[11]],0))-1)/(COUNTA(Table2614256[[#This Row],[1]:[11]])-COUNTBLANK(Table2614256[[#This Row],[1]:[11]])-1)))</f>
        <v>5.5877483443708611E-4</v>
      </c>
      <c r="AA37" s="30" cm="1">
        <f t="array" ref="AA37">IF(Table2614256[[#This Row],[3]]="","",Table2614256[[#This Row],[Weight]:[Weight]]-(Table2614256[[#This Row],[Weight]:[Weight]]*((_xlfn.XMATCH(Table2614256[[#This Row],[3]],Table2614256[[#This Row],[1]:[11]],0))-1)/(COUNTA(Table2614256[[#This Row],[1]:[11]])-COUNTBLANK(Table2614256[[#This Row],[1]:[11]])-1)))</f>
        <v>3.7251655629139076E-4</v>
      </c>
      <c r="AB37" s="30" cm="1">
        <f t="array" ref="AB37">IF(Table2614256[[#This Row],[4]]="","",Table2614256[[#This Row],[Weight]:[Weight]]-(Table2614256[[#This Row],[Weight]:[Weight]]*((_xlfn.XMATCH(Table2614256[[#This Row],[4]],Table2614256[[#This Row],[1]:[11]],0))-1)/(COUNTA(Table2614256[[#This Row],[1]:[11]])-COUNTBLANK(Table2614256[[#This Row],[1]:[11]])-1)))</f>
        <v>1.862582781456954E-4</v>
      </c>
      <c r="AC37" s="30" cm="1">
        <f t="array" ref="AC37">IF(Table2614256[[#This Row],[5]]="","",Table2614256[[#This Row],[Weight]:[Weight]]-(Table2614256[[#This Row],[Weight]:[Weight]]*((_xlfn.XMATCH(Table2614256[[#This Row],[5]],Table2614256[[#This Row],[1]:[11]],0))-1)/(COUNTA(Table2614256[[#This Row],[1]:[11]])-COUNTBLANK(Table2614256[[#This Row],[1]:[11]])-1)))</f>
        <v>0</v>
      </c>
      <c r="AD37" s="30" t="str" cm="1">
        <f t="array" ref="AD37">IF(Table2614256[[#This Row],[6]]="","",Table2614256[[#This Row],[Weight]:[Weight]]-(Table2614256[[#This Row],[Weight]:[Weight]]*((_xlfn.XMATCH(Table2614256[[#This Row],[6]],Table2614256[[#This Row],[1]:[11]],0))-1)/(COUNTA(Table2614256[[#This Row],[1]:[11]])-COUNTBLANK(Table2614256[[#This Row],[1]:[11]])-1)))</f>
        <v/>
      </c>
      <c r="AE37" s="30" t="str" cm="1">
        <f t="array" ref="AE37">IF(Table2614256[[#This Row],[7]]="","",Table2614256[[#This Row],[Weight]:[Weight]]-(Table2614256[[#This Row],[Weight]:[Weight]]*((_xlfn.XMATCH(Table2614256[[#This Row],[7]],Table2614256[[#This Row],[1]:[11]],0))-1)/(COUNTA(Table2614256[[#This Row],[1]:[11]])-COUNTBLANK(Table2614256[[#This Row],[1]:[11]])-1)))</f>
        <v/>
      </c>
      <c r="AF37" s="30" t="str" cm="1">
        <f t="array" ref="AF37">IF(Table2614256[[#This Row],[8]]="","",Table2614256[[#This Row],[Weight]:[Weight]]-(Table2614256[[#This Row],[Weight]:[Weight]]*((_xlfn.XMATCH(Table2614256[[#This Row],[8]],Table2614256[[#This Row],[1]:[11]],0))-1)/(COUNTA(Table2614256[[#This Row],[1]:[11]])-COUNTBLANK(Table2614256[[#This Row],[1]:[11]])-1)))</f>
        <v/>
      </c>
      <c r="AG37" s="30" t="str" cm="1">
        <f t="array" ref="AG37">IF(Table2614256[[#This Row],[9]]="","",Table2614256[[#This Row],[Weight]:[Weight]]-(Table2614256[[#This Row],[Weight]:[Weight]]*((_xlfn.XMATCH(Table2614256[[#This Row],[9]],Table2614256[[#This Row],[1]:[11]],0))-1)/(COUNTA(Table2614256[[#This Row],[1]:[11]])-COUNTBLANK(Table2614256[[#This Row],[1]:[11]])-1)))</f>
        <v/>
      </c>
      <c r="AH37" s="30" t="str" cm="1">
        <f t="array" ref="AH37">IF(Table2614256[[#This Row],[10]]="","",Table2614256[[#This Row],[Weight]:[Weight]]-(Table2614256[[#This Row],[Weight]:[Weight]]*((_xlfn.XMATCH(Table2614256[[#This Row],[10]],Table2614256[[#This Row],[1]:[11]],0))-1)/(COUNTA(Table2614256[[#This Row],[1]:[11]])-COUNTBLANK(Table2614256[[#This Row],[1]:[11]])-1)))</f>
        <v/>
      </c>
      <c r="AI37" s="30" t="str" cm="1">
        <f t="array" ref="AI37">IF(Table2614256[[#This Row],[11]]="","",Table2614256[[#This Row],[Weight]:[Weight]]-(Table2614256[[#This Row],[Weight]:[Weight]]*((_xlfn.XMATCH(Table2614256[[#This Row],[11]],Table2614256[[#This Row],[1]:[11]],0))-1)/(COUNTA(Table2614256[[#This Row],[1]:[11]])-COUNTBLANK(Table2614256[[#This Row],[1]:[11]])-1)))</f>
        <v/>
      </c>
    </row>
    <row r="38" spans="1:35" ht="120" x14ac:dyDescent="0.2">
      <c r="A38" s="20">
        <v>26</v>
      </c>
      <c r="B38" s="90" t="s">
        <v>369</v>
      </c>
      <c r="C38" s="119" t="s">
        <v>215</v>
      </c>
      <c r="D38" s="153"/>
      <c r="E38" s="153"/>
      <c r="F38" s="121" t="s">
        <v>60</v>
      </c>
      <c r="G38" s="148" cm="1">
        <f t="array" ref="G38">_xlfn.IFS(F38="","",F38="No interest",0,F38="Nice to have",1,F38="Useful",2,F38="Important",3,F38="Very important",4,F38="Critical",5,F38="Show stopper",6)</f>
        <v>6</v>
      </c>
      <c r="H38" s="149">
        <f t="shared" ref="H38:H64" si="2">(G38/$G$11)*$F$11</f>
        <v>7.4503311258278151E-4</v>
      </c>
      <c r="I38" s="150" t="s">
        <v>321</v>
      </c>
      <c r="J38" s="35" t="str" cm="1">
        <f t="array" ref="J38">_xlfn.TEXTJOIN(","&amp;CHAR(10),,TEXT(Table2614256[[#This Row],[12]:[22]],"0,00%"))</f>
        <v>0,00%,
0,00%,
0,00%,
0,00%,
0,00%</v>
      </c>
      <c r="K38" s="26"/>
      <c r="L38" s="27" t="e">
        <f>H38-(H38*((MATCH(Table2614256[[#This Row],[Evaluators Response (SELECT)]],Table2614256[[#This Row],[1]:[11]],0)-1)/(COUNTA(Table2614256[[#This Row],[1]:[11]])-COUNTBLANK(Table2614256[[#This Row],[1]:[11]])-1)))</f>
        <v>#N/A</v>
      </c>
      <c r="M38" s="28"/>
      <c r="N38" s="29" t="str" cm="1">
        <f t="array" ref="N38">IFERROR(INDEX(_xlfn.UNIQUE(TRIM(_xlfn.TEXTSPLIT(Table2614256[[#This Row],[Selection Options]:[Selection Options]],","))),,N$11),"")</f>
        <v>100%: Supported as delivered "out of the box"</v>
      </c>
      <c r="O38" s="29" t="str" cm="1">
        <f t="array" ref="O38">IFERROR(INDEX(_xlfn.UNIQUE(TRIM(_xlfn.TEXTSPLIT(Table2614256[[#This Row],[Selection Options]:[Selection Options]],","))),,O$11),"")</f>
        <v xml:space="preserve">
75%: Supported via modifications (config)</v>
      </c>
      <c r="P38" s="29" t="str" cm="1">
        <f t="array" ref="P38">IFERROR(INDEX(_xlfn.UNIQUE(TRIM(_xlfn.TEXTSPLIT(Table2614256[[#This Row],[Selection Options]:[Selection Options]],","))),,P$11),"")</f>
        <v xml:space="preserve">
50%: Supported via a third party solution</v>
      </c>
      <c r="Q38" s="29" t="str" cm="1">
        <f t="array" ref="Q38">IFERROR(INDEX(_xlfn.UNIQUE(TRIM(_xlfn.TEXTSPLIT(Table2614256[[#This Row],[Selection Options]:[Selection Options]],","))),,Q$11),"")</f>
        <v xml:space="preserve">
25%: Supported via customisation (source code changes)</v>
      </c>
      <c r="R38" s="29" t="str" cm="1">
        <f t="array" ref="R38">IFERROR(INDEX(_xlfn.UNIQUE(TRIM(_xlfn.TEXTSPLIT(Table2614256[[#This Row],[Selection Options]:[Selection Options]],","))),,R$11),"")</f>
        <v xml:space="preserve">
 0%: Not currently supported</v>
      </c>
      <c r="S38" s="29" t="str" cm="1">
        <f t="array" ref="S38">IFERROR(INDEX(_xlfn.UNIQUE(TRIM(_xlfn.TEXTSPLIT(Table2614256[[#This Row],[Selection Options]:[Selection Options]],","))),,S$11),"")</f>
        <v/>
      </c>
      <c r="T38" s="29" t="str" cm="1">
        <f t="array" ref="T38">IFERROR(INDEX(_xlfn.UNIQUE(TRIM(_xlfn.TEXTSPLIT(Table2614256[[#This Row],[Selection Options]:[Selection Options]],","))),,T$11),"")</f>
        <v/>
      </c>
      <c r="U38" s="29" t="str" cm="1">
        <f t="array" ref="U38">IFERROR(INDEX(_xlfn.UNIQUE(TRIM(_xlfn.TEXTSPLIT(Table2614256[[#This Row],[Selection Options]:[Selection Options]],","))),,U$11),"")</f>
        <v/>
      </c>
      <c r="V38" s="29" t="str" cm="1">
        <f t="array" ref="V38">IFERROR(INDEX(_xlfn.UNIQUE(TRIM(_xlfn.TEXTSPLIT(Table2614256[[#This Row],[Selection Options]:[Selection Options]],","))),,V$11),"")</f>
        <v/>
      </c>
      <c r="W38" s="29" t="str" cm="1">
        <f t="array" ref="W38">IFERROR(INDEX(_xlfn.UNIQUE(TRIM(_xlfn.TEXTSPLIT(Table2614256[[#This Row],[Selection Options]:[Selection Options]],","))),,W$11),"")</f>
        <v/>
      </c>
      <c r="X38" s="29" t="str" cm="1">
        <f t="array" ref="X38">IFERROR(INDEX(_xlfn.UNIQUE(TRIM(_xlfn.TEXTSPLIT(Table2614256[[#This Row],[Selection Options]:[Selection Options]],","))),,X$11),"")</f>
        <v/>
      </c>
      <c r="Y38" s="30" cm="1">
        <f t="array" ref="Y38">IF(Table2614256[[#This Row],[1]]="","",Table2614256[[#This Row],[Weight]:[Weight]]-(Table2614256[[#This Row],[Weight]:[Weight]]*((_xlfn.XMATCH(Table2614256[[#This Row],[1]],Table2614256[[#This Row],[1]:[11]],0))-1)/(COUNTA(Table2614256[[#This Row],[1]:[11]])-COUNTBLANK(Table2614256[[#This Row],[1]:[11]])-1)))</f>
        <v>7.4503311258278151E-4</v>
      </c>
      <c r="Z38" s="30" cm="1">
        <f t="array" ref="Z38">IF(Table2614256[[#This Row],[2]]="","",Table2614256[[#This Row],[Weight]:[Weight]]-(Table2614256[[#This Row],[Weight]:[Weight]]*((_xlfn.XMATCH(Table2614256[[#This Row],[2]],Table2614256[[#This Row],[1]:[11]],0))-1)/(COUNTA(Table2614256[[#This Row],[1]:[11]])-COUNTBLANK(Table2614256[[#This Row],[1]:[11]])-1)))</f>
        <v>5.5877483443708611E-4</v>
      </c>
      <c r="AA38" s="30" cm="1">
        <f t="array" ref="AA38">IF(Table2614256[[#This Row],[3]]="","",Table2614256[[#This Row],[Weight]:[Weight]]-(Table2614256[[#This Row],[Weight]:[Weight]]*((_xlfn.XMATCH(Table2614256[[#This Row],[3]],Table2614256[[#This Row],[1]:[11]],0))-1)/(COUNTA(Table2614256[[#This Row],[1]:[11]])-COUNTBLANK(Table2614256[[#This Row],[1]:[11]])-1)))</f>
        <v>3.7251655629139076E-4</v>
      </c>
      <c r="AB38" s="30" cm="1">
        <f t="array" ref="AB38">IF(Table2614256[[#This Row],[4]]="","",Table2614256[[#This Row],[Weight]:[Weight]]-(Table2614256[[#This Row],[Weight]:[Weight]]*((_xlfn.XMATCH(Table2614256[[#This Row],[4]],Table2614256[[#This Row],[1]:[11]],0))-1)/(COUNTA(Table2614256[[#This Row],[1]:[11]])-COUNTBLANK(Table2614256[[#This Row],[1]:[11]])-1)))</f>
        <v>1.862582781456954E-4</v>
      </c>
      <c r="AC38" s="30" cm="1">
        <f t="array" ref="AC38">IF(Table2614256[[#This Row],[5]]="","",Table2614256[[#This Row],[Weight]:[Weight]]-(Table2614256[[#This Row],[Weight]:[Weight]]*((_xlfn.XMATCH(Table2614256[[#This Row],[5]],Table2614256[[#This Row],[1]:[11]],0))-1)/(COUNTA(Table2614256[[#This Row],[1]:[11]])-COUNTBLANK(Table2614256[[#This Row],[1]:[11]])-1)))</f>
        <v>0</v>
      </c>
      <c r="AD38" s="30" t="str" cm="1">
        <f t="array" ref="AD38">IF(Table2614256[[#This Row],[6]]="","",Table2614256[[#This Row],[Weight]:[Weight]]-(Table2614256[[#This Row],[Weight]:[Weight]]*((_xlfn.XMATCH(Table2614256[[#This Row],[6]],Table2614256[[#This Row],[1]:[11]],0))-1)/(COUNTA(Table2614256[[#This Row],[1]:[11]])-COUNTBLANK(Table2614256[[#This Row],[1]:[11]])-1)))</f>
        <v/>
      </c>
      <c r="AE38" s="30" t="str" cm="1">
        <f t="array" ref="AE38">IF(Table2614256[[#This Row],[7]]="","",Table2614256[[#This Row],[Weight]:[Weight]]-(Table2614256[[#This Row],[Weight]:[Weight]]*((_xlfn.XMATCH(Table2614256[[#This Row],[7]],Table2614256[[#This Row],[1]:[11]],0))-1)/(COUNTA(Table2614256[[#This Row],[1]:[11]])-COUNTBLANK(Table2614256[[#This Row],[1]:[11]])-1)))</f>
        <v/>
      </c>
      <c r="AF38" s="30" t="str" cm="1">
        <f t="array" ref="AF38">IF(Table2614256[[#This Row],[8]]="","",Table2614256[[#This Row],[Weight]:[Weight]]-(Table2614256[[#This Row],[Weight]:[Weight]]*((_xlfn.XMATCH(Table2614256[[#This Row],[8]],Table2614256[[#This Row],[1]:[11]],0))-1)/(COUNTA(Table2614256[[#This Row],[1]:[11]])-COUNTBLANK(Table2614256[[#This Row],[1]:[11]])-1)))</f>
        <v/>
      </c>
      <c r="AG38" s="30" t="str" cm="1">
        <f t="array" ref="AG38">IF(Table2614256[[#This Row],[9]]="","",Table2614256[[#This Row],[Weight]:[Weight]]-(Table2614256[[#This Row],[Weight]:[Weight]]*((_xlfn.XMATCH(Table2614256[[#This Row],[9]],Table2614256[[#This Row],[1]:[11]],0))-1)/(COUNTA(Table2614256[[#This Row],[1]:[11]])-COUNTBLANK(Table2614256[[#This Row],[1]:[11]])-1)))</f>
        <v/>
      </c>
      <c r="AH38" s="30" t="str" cm="1">
        <f t="array" ref="AH38">IF(Table2614256[[#This Row],[10]]="","",Table2614256[[#This Row],[Weight]:[Weight]]-(Table2614256[[#This Row],[Weight]:[Weight]]*((_xlfn.XMATCH(Table2614256[[#This Row],[10]],Table2614256[[#This Row],[1]:[11]],0))-1)/(COUNTA(Table2614256[[#This Row],[1]:[11]])-COUNTBLANK(Table2614256[[#This Row],[1]:[11]])-1)))</f>
        <v/>
      </c>
      <c r="AI38" s="30" t="str" cm="1">
        <f t="array" ref="AI38">IF(Table2614256[[#This Row],[11]]="","",Table2614256[[#This Row],[Weight]:[Weight]]-(Table2614256[[#This Row],[Weight]:[Weight]]*((_xlfn.XMATCH(Table2614256[[#This Row],[11]],Table2614256[[#This Row],[1]:[11]],0))-1)/(COUNTA(Table2614256[[#This Row],[1]:[11]])-COUNTBLANK(Table2614256[[#This Row],[1]:[11]])-1)))</f>
        <v/>
      </c>
    </row>
    <row r="39" spans="1:35" ht="120" x14ac:dyDescent="0.2">
      <c r="A39" s="20">
        <v>27</v>
      </c>
      <c r="B39" s="90" t="s">
        <v>370</v>
      </c>
      <c r="C39" s="119" t="s">
        <v>215</v>
      </c>
      <c r="D39" s="153"/>
      <c r="E39" s="153"/>
      <c r="F39" s="121" t="s">
        <v>60</v>
      </c>
      <c r="G39" s="148" cm="1">
        <f t="array" ref="G39">_xlfn.IFS(F39="","",F39="No interest",0,F39="Nice to have",1,F39="Useful",2,F39="Important",3,F39="Very important",4,F39="Critical",5,F39="Show stopper",6)</f>
        <v>6</v>
      </c>
      <c r="H39" s="149">
        <f t="shared" si="2"/>
        <v>7.4503311258278151E-4</v>
      </c>
      <c r="I39" s="150" t="s">
        <v>321</v>
      </c>
      <c r="J39" s="35" t="str" cm="1">
        <f t="array" ref="J39">_xlfn.TEXTJOIN(","&amp;CHAR(10),,TEXT(Table2614256[[#This Row],[12]:[22]],"0,00%"))</f>
        <v>0,00%,
0,00%,
0,00%,
0,00%,
0,00%</v>
      </c>
      <c r="K39" s="26"/>
      <c r="L39" s="27" t="e">
        <f>H39-(H39*((MATCH(Table2614256[[#This Row],[Evaluators Response (SELECT)]],Table2614256[[#This Row],[1]:[11]],0)-1)/(COUNTA(Table2614256[[#This Row],[1]:[11]])-COUNTBLANK(Table2614256[[#This Row],[1]:[11]])-1)))</f>
        <v>#N/A</v>
      </c>
      <c r="M39" s="28"/>
      <c r="N39" s="29" t="str" cm="1">
        <f t="array" ref="N39">IFERROR(INDEX(_xlfn.UNIQUE(TRIM(_xlfn.TEXTSPLIT(Table2614256[[#This Row],[Selection Options]:[Selection Options]],","))),,N$11),"")</f>
        <v>100%: Supported as delivered "out of the box"</v>
      </c>
      <c r="O39" s="29" t="str" cm="1">
        <f t="array" ref="O39">IFERROR(INDEX(_xlfn.UNIQUE(TRIM(_xlfn.TEXTSPLIT(Table2614256[[#This Row],[Selection Options]:[Selection Options]],","))),,O$11),"")</f>
        <v xml:space="preserve">
75%: Supported via modifications (config)</v>
      </c>
      <c r="P39" s="29" t="str" cm="1">
        <f t="array" ref="P39">IFERROR(INDEX(_xlfn.UNIQUE(TRIM(_xlfn.TEXTSPLIT(Table2614256[[#This Row],[Selection Options]:[Selection Options]],","))),,P$11),"")</f>
        <v xml:space="preserve">
50%: Supported via a third party solution</v>
      </c>
      <c r="Q39" s="29" t="str" cm="1">
        <f t="array" ref="Q39">IFERROR(INDEX(_xlfn.UNIQUE(TRIM(_xlfn.TEXTSPLIT(Table2614256[[#This Row],[Selection Options]:[Selection Options]],","))),,Q$11),"")</f>
        <v xml:space="preserve">
25%: Supported via customisation (source code changes)</v>
      </c>
      <c r="R39" s="29" t="str" cm="1">
        <f t="array" ref="R39">IFERROR(INDEX(_xlfn.UNIQUE(TRIM(_xlfn.TEXTSPLIT(Table2614256[[#This Row],[Selection Options]:[Selection Options]],","))),,R$11),"")</f>
        <v xml:space="preserve">
 0%: Not currently supported</v>
      </c>
      <c r="S39" s="29" t="str" cm="1">
        <f t="array" ref="S39">IFERROR(INDEX(_xlfn.UNIQUE(TRIM(_xlfn.TEXTSPLIT(Table2614256[[#This Row],[Selection Options]:[Selection Options]],","))),,S$11),"")</f>
        <v/>
      </c>
      <c r="T39" s="29" t="str" cm="1">
        <f t="array" ref="T39">IFERROR(INDEX(_xlfn.UNIQUE(TRIM(_xlfn.TEXTSPLIT(Table2614256[[#This Row],[Selection Options]:[Selection Options]],","))),,T$11),"")</f>
        <v/>
      </c>
      <c r="U39" s="29" t="str" cm="1">
        <f t="array" ref="U39">IFERROR(INDEX(_xlfn.UNIQUE(TRIM(_xlfn.TEXTSPLIT(Table2614256[[#This Row],[Selection Options]:[Selection Options]],","))),,U$11),"")</f>
        <v/>
      </c>
      <c r="V39" s="29" t="str" cm="1">
        <f t="array" ref="V39">IFERROR(INDEX(_xlfn.UNIQUE(TRIM(_xlfn.TEXTSPLIT(Table2614256[[#This Row],[Selection Options]:[Selection Options]],","))),,V$11),"")</f>
        <v/>
      </c>
      <c r="W39" s="29" t="str" cm="1">
        <f t="array" ref="W39">IFERROR(INDEX(_xlfn.UNIQUE(TRIM(_xlfn.TEXTSPLIT(Table2614256[[#This Row],[Selection Options]:[Selection Options]],","))),,W$11),"")</f>
        <v/>
      </c>
      <c r="X39" s="29" t="str" cm="1">
        <f t="array" ref="X39">IFERROR(INDEX(_xlfn.UNIQUE(TRIM(_xlfn.TEXTSPLIT(Table2614256[[#This Row],[Selection Options]:[Selection Options]],","))),,X$11),"")</f>
        <v/>
      </c>
      <c r="Y39" s="30" cm="1">
        <f t="array" ref="Y39">IF(Table2614256[[#This Row],[1]]="","",Table2614256[[#This Row],[Weight]:[Weight]]-(Table2614256[[#This Row],[Weight]:[Weight]]*((_xlfn.XMATCH(Table2614256[[#This Row],[1]],Table2614256[[#This Row],[1]:[11]],0))-1)/(COUNTA(Table2614256[[#This Row],[1]:[11]])-COUNTBLANK(Table2614256[[#This Row],[1]:[11]])-1)))</f>
        <v>7.4503311258278151E-4</v>
      </c>
      <c r="Z39" s="30" cm="1">
        <f t="array" ref="Z39">IF(Table2614256[[#This Row],[2]]="","",Table2614256[[#This Row],[Weight]:[Weight]]-(Table2614256[[#This Row],[Weight]:[Weight]]*((_xlfn.XMATCH(Table2614256[[#This Row],[2]],Table2614256[[#This Row],[1]:[11]],0))-1)/(COUNTA(Table2614256[[#This Row],[1]:[11]])-COUNTBLANK(Table2614256[[#This Row],[1]:[11]])-1)))</f>
        <v>5.5877483443708611E-4</v>
      </c>
      <c r="AA39" s="30" cm="1">
        <f t="array" ref="AA39">IF(Table2614256[[#This Row],[3]]="","",Table2614256[[#This Row],[Weight]:[Weight]]-(Table2614256[[#This Row],[Weight]:[Weight]]*((_xlfn.XMATCH(Table2614256[[#This Row],[3]],Table2614256[[#This Row],[1]:[11]],0))-1)/(COUNTA(Table2614256[[#This Row],[1]:[11]])-COUNTBLANK(Table2614256[[#This Row],[1]:[11]])-1)))</f>
        <v>3.7251655629139076E-4</v>
      </c>
      <c r="AB39" s="30" cm="1">
        <f t="array" ref="AB39">IF(Table2614256[[#This Row],[4]]="","",Table2614256[[#This Row],[Weight]:[Weight]]-(Table2614256[[#This Row],[Weight]:[Weight]]*((_xlfn.XMATCH(Table2614256[[#This Row],[4]],Table2614256[[#This Row],[1]:[11]],0))-1)/(COUNTA(Table2614256[[#This Row],[1]:[11]])-COUNTBLANK(Table2614256[[#This Row],[1]:[11]])-1)))</f>
        <v>1.862582781456954E-4</v>
      </c>
      <c r="AC39" s="30" cm="1">
        <f t="array" ref="AC39">IF(Table2614256[[#This Row],[5]]="","",Table2614256[[#This Row],[Weight]:[Weight]]-(Table2614256[[#This Row],[Weight]:[Weight]]*((_xlfn.XMATCH(Table2614256[[#This Row],[5]],Table2614256[[#This Row],[1]:[11]],0))-1)/(COUNTA(Table2614256[[#This Row],[1]:[11]])-COUNTBLANK(Table2614256[[#This Row],[1]:[11]])-1)))</f>
        <v>0</v>
      </c>
      <c r="AD39" s="30" t="str" cm="1">
        <f t="array" ref="AD39">IF(Table2614256[[#This Row],[6]]="","",Table2614256[[#This Row],[Weight]:[Weight]]-(Table2614256[[#This Row],[Weight]:[Weight]]*((_xlfn.XMATCH(Table2614256[[#This Row],[6]],Table2614256[[#This Row],[1]:[11]],0))-1)/(COUNTA(Table2614256[[#This Row],[1]:[11]])-COUNTBLANK(Table2614256[[#This Row],[1]:[11]])-1)))</f>
        <v/>
      </c>
      <c r="AE39" s="30" t="str" cm="1">
        <f t="array" ref="AE39">IF(Table2614256[[#This Row],[7]]="","",Table2614256[[#This Row],[Weight]:[Weight]]-(Table2614256[[#This Row],[Weight]:[Weight]]*((_xlfn.XMATCH(Table2614256[[#This Row],[7]],Table2614256[[#This Row],[1]:[11]],0))-1)/(COUNTA(Table2614256[[#This Row],[1]:[11]])-COUNTBLANK(Table2614256[[#This Row],[1]:[11]])-1)))</f>
        <v/>
      </c>
      <c r="AF39" s="30" t="str" cm="1">
        <f t="array" ref="AF39">IF(Table2614256[[#This Row],[8]]="","",Table2614256[[#This Row],[Weight]:[Weight]]-(Table2614256[[#This Row],[Weight]:[Weight]]*((_xlfn.XMATCH(Table2614256[[#This Row],[8]],Table2614256[[#This Row],[1]:[11]],0))-1)/(COUNTA(Table2614256[[#This Row],[1]:[11]])-COUNTBLANK(Table2614256[[#This Row],[1]:[11]])-1)))</f>
        <v/>
      </c>
      <c r="AG39" s="30" t="str" cm="1">
        <f t="array" ref="AG39">IF(Table2614256[[#This Row],[9]]="","",Table2614256[[#This Row],[Weight]:[Weight]]-(Table2614256[[#This Row],[Weight]:[Weight]]*((_xlfn.XMATCH(Table2614256[[#This Row],[9]],Table2614256[[#This Row],[1]:[11]],0))-1)/(COUNTA(Table2614256[[#This Row],[1]:[11]])-COUNTBLANK(Table2614256[[#This Row],[1]:[11]])-1)))</f>
        <v/>
      </c>
      <c r="AH39" s="30" t="str" cm="1">
        <f t="array" ref="AH39">IF(Table2614256[[#This Row],[10]]="","",Table2614256[[#This Row],[Weight]:[Weight]]-(Table2614256[[#This Row],[Weight]:[Weight]]*((_xlfn.XMATCH(Table2614256[[#This Row],[10]],Table2614256[[#This Row],[1]:[11]],0))-1)/(COUNTA(Table2614256[[#This Row],[1]:[11]])-COUNTBLANK(Table2614256[[#This Row],[1]:[11]])-1)))</f>
        <v/>
      </c>
      <c r="AI39" s="30" t="str" cm="1">
        <f t="array" ref="AI39">IF(Table2614256[[#This Row],[11]]="","",Table2614256[[#This Row],[Weight]:[Weight]]-(Table2614256[[#This Row],[Weight]:[Weight]]*((_xlfn.XMATCH(Table2614256[[#This Row],[11]],Table2614256[[#This Row],[1]:[11]],0))-1)/(COUNTA(Table2614256[[#This Row],[1]:[11]])-COUNTBLANK(Table2614256[[#This Row],[1]:[11]])-1)))</f>
        <v/>
      </c>
    </row>
    <row r="40" spans="1:35" ht="120" x14ac:dyDescent="0.2">
      <c r="A40" s="20">
        <v>28</v>
      </c>
      <c r="B40" s="90" t="s">
        <v>371</v>
      </c>
      <c r="C40" s="119" t="s">
        <v>215</v>
      </c>
      <c r="D40" s="153"/>
      <c r="E40" s="153"/>
      <c r="F40" s="121" t="s">
        <v>60</v>
      </c>
      <c r="G40" s="148" cm="1">
        <f t="array" ref="G40">_xlfn.IFS(F40="","",F40="No interest",0,F40="Nice to have",1,F40="Useful",2,F40="Important",3,F40="Very important",4,F40="Critical",5,F40="Show stopper",6)</f>
        <v>6</v>
      </c>
      <c r="H40" s="149">
        <f t="shared" si="2"/>
        <v>7.4503311258278151E-4</v>
      </c>
      <c r="I40" s="150" t="s">
        <v>321</v>
      </c>
      <c r="J40" s="35" t="str" cm="1">
        <f t="array" ref="J40">_xlfn.TEXTJOIN(","&amp;CHAR(10),,TEXT(Table2614256[[#This Row],[12]:[22]],"0,00%"))</f>
        <v>0,00%,
0,00%,
0,00%,
0,00%,
0,00%</v>
      </c>
      <c r="K40" s="26"/>
      <c r="L40" s="27" t="e">
        <f>H40-(H40*((MATCH(Table2614256[[#This Row],[Evaluators Response (SELECT)]],Table2614256[[#This Row],[1]:[11]],0)-1)/(COUNTA(Table2614256[[#This Row],[1]:[11]])-COUNTBLANK(Table2614256[[#This Row],[1]:[11]])-1)))</f>
        <v>#N/A</v>
      </c>
      <c r="M40" s="28"/>
      <c r="N40" s="29" t="str" cm="1">
        <f t="array" ref="N40">IFERROR(INDEX(_xlfn.UNIQUE(TRIM(_xlfn.TEXTSPLIT(Table2614256[[#This Row],[Selection Options]:[Selection Options]],","))),,N$11),"")</f>
        <v>100%: Supported as delivered "out of the box"</v>
      </c>
      <c r="O40" s="29" t="str" cm="1">
        <f t="array" ref="O40">IFERROR(INDEX(_xlfn.UNIQUE(TRIM(_xlfn.TEXTSPLIT(Table2614256[[#This Row],[Selection Options]:[Selection Options]],","))),,O$11),"")</f>
        <v xml:space="preserve">
75%: Supported via modifications (config)</v>
      </c>
      <c r="P40" s="29" t="str" cm="1">
        <f t="array" ref="P40">IFERROR(INDEX(_xlfn.UNIQUE(TRIM(_xlfn.TEXTSPLIT(Table2614256[[#This Row],[Selection Options]:[Selection Options]],","))),,P$11),"")</f>
        <v xml:space="preserve">
50%: Supported via a third party solution</v>
      </c>
      <c r="Q40" s="29" t="str" cm="1">
        <f t="array" ref="Q40">IFERROR(INDEX(_xlfn.UNIQUE(TRIM(_xlfn.TEXTSPLIT(Table2614256[[#This Row],[Selection Options]:[Selection Options]],","))),,Q$11),"")</f>
        <v xml:space="preserve">
25%: Supported via customisation (source code changes)</v>
      </c>
      <c r="R40" s="29" t="str" cm="1">
        <f t="array" ref="R40">IFERROR(INDEX(_xlfn.UNIQUE(TRIM(_xlfn.TEXTSPLIT(Table2614256[[#This Row],[Selection Options]:[Selection Options]],","))),,R$11),"")</f>
        <v xml:space="preserve">
 0%: Not currently supported</v>
      </c>
      <c r="S40" s="29" t="str" cm="1">
        <f t="array" ref="S40">IFERROR(INDEX(_xlfn.UNIQUE(TRIM(_xlfn.TEXTSPLIT(Table2614256[[#This Row],[Selection Options]:[Selection Options]],","))),,S$11),"")</f>
        <v/>
      </c>
      <c r="T40" s="29" t="str" cm="1">
        <f t="array" ref="T40">IFERROR(INDEX(_xlfn.UNIQUE(TRIM(_xlfn.TEXTSPLIT(Table2614256[[#This Row],[Selection Options]:[Selection Options]],","))),,T$11),"")</f>
        <v/>
      </c>
      <c r="U40" s="29" t="str" cm="1">
        <f t="array" ref="U40">IFERROR(INDEX(_xlfn.UNIQUE(TRIM(_xlfn.TEXTSPLIT(Table2614256[[#This Row],[Selection Options]:[Selection Options]],","))),,U$11),"")</f>
        <v/>
      </c>
      <c r="V40" s="29" t="str" cm="1">
        <f t="array" ref="V40">IFERROR(INDEX(_xlfn.UNIQUE(TRIM(_xlfn.TEXTSPLIT(Table2614256[[#This Row],[Selection Options]:[Selection Options]],","))),,V$11),"")</f>
        <v/>
      </c>
      <c r="W40" s="29" t="str" cm="1">
        <f t="array" ref="W40">IFERROR(INDEX(_xlfn.UNIQUE(TRIM(_xlfn.TEXTSPLIT(Table2614256[[#This Row],[Selection Options]:[Selection Options]],","))),,W$11),"")</f>
        <v/>
      </c>
      <c r="X40" s="29" t="str" cm="1">
        <f t="array" ref="X40">IFERROR(INDEX(_xlfn.UNIQUE(TRIM(_xlfn.TEXTSPLIT(Table2614256[[#This Row],[Selection Options]:[Selection Options]],","))),,X$11),"")</f>
        <v/>
      </c>
      <c r="Y40" s="30" cm="1">
        <f t="array" ref="Y40">IF(Table2614256[[#This Row],[1]]="","",Table2614256[[#This Row],[Weight]:[Weight]]-(Table2614256[[#This Row],[Weight]:[Weight]]*((_xlfn.XMATCH(Table2614256[[#This Row],[1]],Table2614256[[#This Row],[1]:[11]],0))-1)/(COUNTA(Table2614256[[#This Row],[1]:[11]])-COUNTBLANK(Table2614256[[#This Row],[1]:[11]])-1)))</f>
        <v>7.4503311258278151E-4</v>
      </c>
      <c r="Z40" s="30" cm="1">
        <f t="array" ref="Z40">IF(Table2614256[[#This Row],[2]]="","",Table2614256[[#This Row],[Weight]:[Weight]]-(Table2614256[[#This Row],[Weight]:[Weight]]*((_xlfn.XMATCH(Table2614256[[#This Row],[2]],Table2614256[[#This Row],[1]:[11]],0))-1)/(COUNTA(Table2614256[[#This Row],[1]:[11]])-COUNTBLANK(Table2614256[[#This Row],[1]:[11]])-1)))</f>
        <v>5.5877483443708611E-4</v>
      </c>
      <c r="AA40" s="30" cm="1">
        <f t="array" ref="AA40">IF(Table2614256[[#This Row],[3]]="","",Table2614256[[#This Row],[Weight]:[Weight]]-(Table2614256[[#This Row],[Weight]:[Weight]]*((_xlfn.XMATCH(Table2614256[[#This Row],[3]],Table2614256[[#This Row],[1]:[11]],0))-1)/(COUNTA(Table2614256[[#This Row],[1]:[11]])-COUNTBLANK(Table2614256[[#This Row],[1]:[11]])-1)))</f>
        <v>3.7251655629139076E-4</v>
      </c>
      <c r="AB40" s="30" cm="1">
        <f t="array" ref="AB40">IF(Table2614256[[#This Row],[4]]="","",Table2614256[[#This Row],[Weight]:[Weight]]-(Table2614256[[#This Row],[Weight]:[Weight]]*((_xlfn.XMATCH(Table2614256[[#This Row],[4]],Table2614256[[#This Row],[1]:[11]],0))-1)/(COUNTA(Table2614256[[#This Row],[1]:[11]])-COUNTBLANK(Table2614256[[#This Row],[1]:[11]])-1)))</f>
        <v>1.862582781456954E-4</v>
      </c>
      <c r="AC40" s="30" cm="1">
        <f t="array" ref="AC40">IF(Table2614256[[#This Row],[5]]="","",Table2614256[[#This Row],[Weight]:[Weight]]-(Table2614256[[#This Row],[Weight]:[Weight]]*((_xlfn.XMATCH(Table2614256[[#This Row],[5]],Table2614256[[#This Row],[1]:[11]],0))-1)/(COUNTA(Table2614256[[#This Row],[1]:[11]])-COUNTBLANK(Table2614256[[#This Row],[1]:[11]])-1)))</f>
        <v>0</v>
      </c>
      <c r="AD40" s="30" t="str" cm="1">
        <f t="array" ref="AD40">IF(Table2614256[[#This Row],[6]]="","",Table2614256[[#This Row],[Weight]:[Weight]]-(Table2614256[[#This Row],[Weight]:[Weight]]*((_xlfn.XMATCH(Table2614256[[#This Row],[6]],Table2614256[[#This Row],[1]:[11]],0))-1)/(COUNTA(Table2614256[[#This Row],[1]:[11]])-COUNTBLANK(Table2614256[[#This Row],[1]:[11]])-1)))</f>
        <v/>
      </c>
      <c r="AE40" s="30" t="str" cm="1">
        <f t="array" ref="AE40">IF(Table2614256[[#This Row],[7]]="","",Table2614256[[#This Row],[Weight]:[Weight]]-(Table2614256[[#This Row],[Weight]:[Weight]]*((_xlfn.XMATCH(Table2614256[[#This Row],[7]],Table2614256[[#This Row],[1]:[11]],0))-1)/(COUNTA(Table2614256[[#This Row],[1]:[11]])-COUNTBLANK(Table2614256[[#This Row],[1]:[11]])-1)))</f>
        <v/>
      </c>
      <c r="AF40" s="30" t="str" cm="1">
        <f t="array" ref="AF40">IF(Table2614256[[#This Row],[8]]="","",Table2614256[[#This Row],[Weight]:[Weight]]-(Table2614256[[#This Row],[Weight]:[Weight]]*((_xlfn.XMATCH(Table2614256[[#This Row],[8]],Table2614256[[#This Row],[1]:[11]],0))-1)/(COUNTA(Table2614256[[#This Row],[1]:[11]])-COUNTBLANK(Table2614256[[#This Row],[1]:[11]])-1)))</f>
        <v/>
      </c>
      <c r="AG40" s="30" t="str" cm="1">
        <f t="array" ref="AG40">IF(Table2614256[[#This Row],[9]]="","",Table2614256[[#This Row],[Weight]:[Weight]]-(Table2614256[[#This Row],[Weight]:[Weight]]*((_xlfn.XMATCH(Table2614256[[#This Row],[9]],Table2614256[[#This Row],[1]:[11]],0))-1)/(COUNTA(Table2614256[[#This Row],[1]:[11]])-COUNTBLANK(Table2614256[[#This Row],[1]:[11]])-1)))</f>
        <v/>
      </c>
      <c r="AH40" s="30" t="str" cm="1">
        <f t="array" ref="AH40">IF(Table2614256[[#This Row],[10]]="","",Table2614256[[#This Row],[Weight]:[Weight]]-(Table2614256[[#This Row],[Weight]:[Weight]]*((_xlfn.XMATCH(Table2614256[[#This Row],[10]],Table2614256[[#This Row],[1]:[11]],0))-1)/(COUNTA(Table2614256[[#This Row],[1]:[11]])-COUNTBLANK(Table2614256[[#This Row],[1]:[11]])-1)))</f>
        <v/>
      </c>
      <c r="AI40" s="30" t="str" cm="1">
        <f t="array" ref="AI40">IF(Table2614256[[#This Row],[11]]="","",Table2614256[[#This Row],[Weight]:[Weight]]-(Table2614256[[#This Row],[Weight]:[Weight]]*((_xlfn.XMATCH(Table2614256[[#This Row],[11]],Table2614256[[#This Row],[1]:[11]],0))-1)/(COUNTA(Table2614256[[#This Row],[1]:[11]])-COUNTBLANK(Table2614256[[#This Row],[1]:[11]])-1)))</f>
        <v/>
      </c>
    </row>
    <row r="41" spans="1:35" ht="120" x14ac:dyDescent="0.2">
      <c r="A41" s="20">
        <v>29</v>
      </c>
      <c r="B41" s="90" t="s">
        <v>372</v>
      </c>
      <c r="C41" s="119" t="s">
        <v>215</v>
      </c>
      <c r="D41" s="153"/>
      <c r="E41" s="153"/>
      <c r="F41" s="121" t="s">
        <v>60</v>
      </c>
      <c r="G41" s="148" cm="1">
        <f t="array" ref="G41">_xlfn.IFS(F41="","",F41="No interest",0,F41="Nice to have",1,F41="Useful",2,F41="Important",3,F41="Very important",4,F41="Critical",5,F41="Show stopper",6)</f>
        <v>6</v>
      </c>
      <c r="H41" s="149">
        <f t="shared" si="2"/>
        <v>7.4503311258278151E-4</v>
      </c>
      <c r="I41" s="150" t="s">
        <v>321</v>
      </c>
      <c r="J41" s="35" t="str" cm="1">
        <f t="array" ref="J41">_xlfn.TEXTJOIN(","&amp;CHAR(10),,TEXT(Table2614256[[#This Row],[12]:[22]],"0,00%"))</f>
        <v>0,00%,
0,00%,
0,00%,
0,00%,
0,00%</v>
      </c>
      <c r="K41" s="26"/>
      <c r="L41" s="27" t="e">
        <f>H41-(H41*((MATCH(Table2614256[[#This Row],[Evaluators Response (SELECT)]],Table2614256[[#This Row],[1]:[11]],0)-1)/(COUNTA(Table2614256[[#This Row],[1]:[11]])-COUNTBLANK(Table2614256[[#This Row],[1]:[11]])-1)))</f>
        <v>#N/A</v>
      </c>
      <c r="M41" s="28"/>
      <c r="N41" s="29" t="str" cm="1">
        <f t="array" ref="N41">IFERROR(INDEX(_xlfn.UNIQUE(TRIM(_xlfn.TEXTSPLIT(Table2614256[[#This Row],[Selection Options]:[Selection Options]],","))),,N$11),"")</f>
        <v>100%: Supported as delivered "out of the box"</v>
      </c>
      <c r="O41" s="29" t="str" cm="1">
        <f t="array" ref="O41">IFERROR(INDEX(_xlfn.UNIQUE(TRIM(_xlfn.TEXTSPLIT(Table2614256[[#This Row],[Selection Options]:[Selection Options]],","))),,O$11),"")</f>
        <v xml:space="preserve">
75%: Supported via modifications (config)</v>
      </c>
      <c r="P41" s="29" t="str" cm="1">
        <f t="array" ref="P41">IFERROR(INDEX(_xlfn.UNIQUE(TRIM(_xlfn.TEXTSPLIT(Table2614256[[#This Row],[Selection Options]:[Selection Options]],","))),,P$11),"")</f>
        <v xml:space="preserve">
50%: Supported via a third party solution</v>
      </c>
      <c r="Q41" s="29" t="str" cm="1">
        <f t="array" ref="Q41">IFERROR(INDEX(_xlfn.UNIQUE(TRIM(_xlfn.TEXTSPLIT(Table2614256[[#This Row],[Selection Options]:[Selection Options]],","))),,Q$11),"")</f>
        <v xml:space="preserve">
25%: Supported via customisation (source code changes)</v>
      </c>
      <c r="R41" s="29" t="str" cm="1">
        <f t="array" ref="R41">IFERROR(INDEX(_xlfn.UNIQUE(TRIM(_xlfn.TEXTSPLIT(Table2614256[[#This Row],[Selection Options]:[Selection Options]],","))),,R$11),"")</f>
        <v xml:space="preserve">
 0%: Not currently supported</v>
      </c>
      <c r="S41" s="29" t="str" cm="1">
        <f t="array" ref="S41">IFERROR(INDEX(_xlfn.UNIQUE(TRIM(_xlfn.TEXTSPLIT(Table2614256[[#This Row],[Selection Options]:[Selection Options]],","))),,S$11),"")</f>
        <v/>
      </c>
      <c r="T41" s="29" t="str" cm="1">
        <f t="array" ref="T41">IFERROR(INDEX(_xlfn.UNIQUE(TRIM(_xlfn.TEXTSPLIT(Table2614256[[#This Row],[Selection Options]:[Selection Options]],","))),,T$11),"")</f>
        <v/>
      </c>
      <c r="U41" s="29" t="str" cm="1">
        <f t="array" ref="U41">IFERROR(INDEX(_xlfn.UNIQUE(TRIM(_xlfn.TEXTSPLIT(Table2614256[[#This Row],[Selection Options]:[Selection Options]],","))),,U$11),"")</f>
        <v/>
      </c>
      <c r="V41" s="29" t="str" cm="1">
        <f t="array" ref="V41">IFERROR(INDEX(_xlfn.UNIQUE(TRIM(_xlfn.TEXTSPLIT(Table2614256[[#This Row],[Selection Options]:[Selection Options]],","))),,V$11),"")</f>
        <v/>
      </c>
      <c r="W41" s="29" t="str" cm="1">
        <f t="array" ref="W41">IFERROR(INDEX(_xlfn.UNIQUE(TRIM(_xlfn.TEXTSPLIT(Table2614256[[#This Row],[Selection Options]:[Selection Options]],","))),,W$11),"")</f>
        <v/>
      </c>
      <c r="X41" s="29" t="str" cm="1">
        <f t="array" ref="X41">IFERROR(INDEX(_xlfn.UNIQUE(TRIM(_xlfn.TEXTSPLIT(Table2614256[[#This Row],[Selection Options]:[Selection Options]],","))),,X$11),"")</f>
        <v/>
      </c>
      <c r="Y41" s="30" cm="1">
        <f t="array" ref="Y41">IF(Table2614256[[#This Row],[1]]="","",Table2614256[[#This Row],[Weight]:[Weight]]-(Table2614256[[#This Row],[Weight]:[Weight]]*((_xlfn.XMATCH(Table2614256[[#This Row],[1]],Table2614256[[#This Row],[1]:[11]],0))-1)/(COUNTA(Table2614256[[#This Row],[1]:[11]])-COUNTBLANK(Table2614256[[#This Row],[1]:[11]])-1)))</f>
        <v>7.4503311258278151E-4</v>
      </c>
      <c r="Z41" s="30" cm="1">
        <f t="array" ref="Z41">IF(Table2614256[[#This Row],[2]]="","",Table2614256[[#This Row],[Weight]:[Weight]]-(Table2614256[[#This Row],[Weight]:[Weight]]*((_xlfn.XMATCH(Table2614256[[#This Row],[2]],Table2614256[[#This Row],[1]:[11]],0))-1)/(COUNTA(Table2614256[[#This Row],[1]:[11]])-COUNTBLANK(Table2614256[[#This Row],[1]:[11]])-1)))</f>
        <v>5.5877483443708611E-4</v>
      </c>
      <c r="AA41" s="30" cm="1">
        <f t="array" ref="AA41">IF(Table2614256[[#This Row],[3]]="","",Table2614256[[#This Row],[Weight]:[Weight]]-(Table2614256[[#This Row],[Weight]:[Weight]]*((_xlfn.XMATCH(Table2614256[[#This Row],[3]],Table2614256[[#This Row],[1]:[11]],0))-1)/(COUNTA(Table2614256[[#This Row],[1]:[11]])-COUNTBLANK(Table2614256[[#This Row],[1]:[11]])-1)))</f>
        <v>3.7251655629139076E-4</v>
      </c>
      <c r="AB41" s="30" cm="1">
        <f t="array" ref="AB41">IF(Table2614256[[#This Row],[4]]="","",Table2614256[[#This Row],[Weight]:[Weight]]-(Table2614256[[#This Row],[Weight]:[Weight]]*((_xlfn.XMATCH(Table2614256[[#This Row],[4]],Table2614256[[#This Row],[1]:[11]],0))-1)/(COUNTA(Table2614256[[#This Row],[1]:[11]])-COUNTBLANK(Table2614256[[#This Row],[1]:[11]])-1)))</f>
        <v>1.862582781456954E-4</v>
      </c>
      <c r="AC41" s="30" cm="1">
        <f t="array" ref="AC41">IF(Table2614256[[#This Row],[5]]="","",Table2614256[[#This Row],[Weight]:[Weight]]-(Table2614256[[#This Row],[Weight]:[Weight]]*((_xlfn.XMATCH(Table2614256[[#This Row],[5]],Table2614256[[#This Row],[1]:[11]],0))-1)/(COUNTA(Table2614256[[#This Row],[1]:[11]])-COUNTBLANK(Table2614256[[#This Row],[1]:[11]])-1)))</f>
        <v>0</v>
      </c>
      <c r="AD41" s="30" t="str" cm="1">
        <f t="array" ref="AD41">IF(Table2614256[[#This Row],[6]]="","",Table2614256[[#This Row],[Weight]:[Weight]]-(Table2614256[[#This Row],[Weight]:[Weight]]*((_xlfn.XMATCH(Table2614256[[#This Row],[6]],Table2614256[[#This Row],[1]:[11]],0))-1)/(COUNTA(Table2614256[[#This Row],[1]:[11]])-COUNTBLANK(Table2614256[[#This Row],[1]:[11]])-1)))</f>
        <v/>
      </c>
      <c r="AE41" s="30" t="str" cm="1">
        <f t="array" ref="AE41">IF(Table2614256[[#This Row],[7]]="","",Table2614256[[#This Row],[Weight]:[Weight]]-(Table2614256[[#This Row],[Weight]:[Weight]]*((_xlfn.XMATCH(Table2614256[[#This Row],[7]],Table2614256[[#This Row],[1]:[11]],0))-1)/(COUNTA(Table2614256[[#This Row],[1]:[11]])-COUNTBLANK(Table2614256[[#This Row],[1]:[11]])-1)))</f>
        <v/>
      </c>
      <c r="AF41" s="30" t="str" cm="1">
        <f t="array" ref="AF41">IF(Table2614256[[#This Row],[8]]="","",Table2614256[[#This Row],[Weight]:[Weight]]-(Table2614256[[#This Row],[Weight]:[Weight]]*((_xlfn.XMATCH(Table2614256[[#This Row],[8]],Table2614256[[#This Row],[1]:[11]],0))-1)/(COUNTA(Table2614256[[#This Row],[1]:[11]])-COUNTBLANK(Table2614256[[#This Row],[1]:[11]])-1)))</f>
        <v/>
      </c>
      <c r="AG41" s="30" t="str" cm="1">
        <f t="array" ref="AG41">IF(Table2614256[[#This Row],[9]]="","",Table2614256[[#This Row],[Weight]:[Weight]]-(Table2614256[[#This Row],[Weight]:[Weight]]*((_xlfn.XMATCH(Table2614256[[#This Row],[9]],Table2614256[[#This Row],[1]:[11]],0))-1)/(COUNTA(Table2614256[[#This Row],[1]:[11]])-COUNTBLANK(Table2614256[[#This Row],[1]:[11]])-1)))</f>
        <v/>
      </c>
      <c r="AH41" s="30" t="str" cm="1">
        <f t="array" ref="AH41">IF(Table2614256[[#This Row],[10]]="","",Table2614256[[#This Row],[Weight]:[Weight]]-(Table2614256[[#This Row],[Weight]:[Weight]]*((_xlfn.XMATCH(Table2614256[[#This Row],[10]],Table2614256[[#This Row],[1]:[11]],0))-1)/(COUNTA(Table2614256[[#This Row],[1]:[11]])-COUNTBLANK(Table2614256[[#This Row],[1]:[11]])-1)))</f>
        <v/>
      </c>
      <c r="AI41" s="30" t="str" cm="1">
        <f t="array" ref="AI41">IF(Table2614256[[#This Row],[11]]="","",Table2614256[[#This Row],[Weight]:[Weight]]-(Table2614256[[#This Row],[Weight]:[Weight]]*((_xlfn.XMATCH(Table2614256[[#This Row],[11]],Table2614256[[#This Row],[1]:[11]],0))-1)/(COUNTA(Table2614256[[#This Row],[1]:[11]])-COUNTBLANK(Table2614256[[#This Row],[1]:[11]])-1)))</f>
        <v/>
      </c>
    </row>
    <row r="42" spans="1:35" ht="120" x14ac:dyDescent="0.2">
      <c r="A42" s="20">
        <v>30</v>
      </c>
      <c r="B42" s="90" t="s">
        <v>373</v>
      </c>
      <c r="C42" s="119" t="s">
        <v>215</v>
      </c>
      <c r="D42" s="153"/>
      <c r="E42" s="153"/>
      <c r="F42" s="121" t="s">
        <v>60</v>
      </c>
      <c r="G42" s="148" cm="1">
        <f t="array" ref="G42">_xlfn.IFS(F42="","",F42="No interest",0,F42="Nice to have",1,F42="Useful",2,F42="Important",3,F42="Very important",4,F42="Critical",5,F42="Show stopper",6)</f>
        <v>6</v>
      </c>
      <c r="H42" s="149">
        <f t="shared" si="2"/>
        <v>7.4503311258278151E-4</v>
      </c>
      <c r="I42" s="150" t="s">
        <v>321</v>
      </c>
      <c r="J42" s="35" t="str" cm="1">
        <f t="array" ref="J42">_xlfn.TEXTJOIN(","&amp;CHAR(10),,TEXT(Table2614256[[#This Row],[12]:[22]],"0,00%"))</f>
        <v>0,00%,
0,00%,
0,00%,
0,00%,
0,00%</v>
      </c>
      <c r="K42" s="26"/>
      <c r="L42" s="27" t="e">
        <f>H42-(H42*((MATCH(Table2614256[[#This Row],[Evaluators Response (SELECT)]],Table2614256[[#This Row],[1]:[11]],0)-1)/(COUNTA(Table2614256[[#This Row],[1]:[11]])-COUNTBLANK(Table2614256[[#This Row],[1]:[11]])-1)))</f>
        <v>#N/A</v>
      </c>
      <c r="M42" s="28"/>
      <c r="N42" s="29" t="str" cm="1">
        <f t="array" ref="N42">IFERROR(INDEX(_xlfn.UNIQUE(TRIM(_xlfn.TEXTSPLIT(Table2614256[[#This Row],[Selection Options]:[Selection Options]],","))),,N$11),"")</f>
        <v>100%: Supported as delivered "out of the box"</v>
      </c>
      <c r="O42" s="29" t="str" cm="1">
        <f t="array" ref="O42">IFERROR(INDEX(_xlfn.UNIQUE(TRIM(_xlfn.TEXTSPLIT(Table2614256[[#This Row],[Selection Options]:[Selection Options]],","))),,O$11),"")</f>
        <v xml:space="preserve">
75%: Supported via modifications (config)</v>
      </c>
      <c r="P42" s="29" t="str" cm="1">
        <f t="array" ref="P42">IFERROR(INDEX(_xlfn.UNIQUE(TRIM(_xlfn.TEXTSPLIT(Table2614256[[#This Row],[Selection Options]:[Selection Options]],","))),,P$11),"")</f>
        <v xml:space="preserve">
50%: Supported via a third party solution</v>
      </c>
      <c r="Q42" s="29" t="str" cm="1">
        <f t="array" ref="Q42">IFERROR(INDEX(_xlfn.UNIQUE(TRIM(_xlfn.TEXTSPLIT(Table2614256[[#This Row],[Selection Options]:[Selection Options]],","))),,Q$11),"")</f>
        <v xml:space="preserve">
25%: Supported via customisation (source code changes)</v>
      </c>
      <c r="R42" s="29" t="str" cm="1">
        <f t="array" ref="R42">IFERROR(INDEX(_xlfn.UNIQUE(TRIM(_xlfn.TEXTSPLIT(Table2614256[[#This Row],[Selection Options]:[Selection Options]],","))),,R$11),"")</f>
        <v xml:space="preserve">
 0%: Not currently supported</v>
      </c>
      <c r="S42" s="29" t="str" cm="1">
        <f t="array" ref="S42">IFERROR(INDEX(_xlfn.UNIQUE(TRIM(_xlfn.TEXTSPLIT(Table2614256[[#This Row],[Selection Options]:[Selection Options]],","))),,S$11),"")</f>
        <v/>
      </c>
      <c r="T42" s="29" t="str" cm="1">
        <f t="array" ref="T42">IFERROR(INDEX(_xlfn.UNIQUE(TRIM(_xlfn.TEXTSPLIT(Table2614256[[#This Row],[Selection Options]:[Selection Options]],","))),,T$11),"")</f>
        <v/>
      </c>
      <c r="U42" s="29" t="str" cm="1">
        <f t="array" ref="U42">IFERROR(INDEX(_xlfn.UNIQUE(TRIM(_xlfn.TEXTSPLIT(Table2614256[[#This Row],[Selection Options]:[Selection Options]],","))),,U$11),"")</f>
        <v/>
      </c>
      <c r="V42" s="29" t="str" cm="1">
        <f t="array" ref="V42">IFERROR(INDEX(_xlfn.UNIQUE(TRIM(_xlfn.TEXTSPLIT(Table2614256[[#This Row],[Selection Options]:[Selection Options]],","))),,V$11),"")</f>
        <v/>
      </c>
      <c r="W42" s="29" t="str" cm="1">
        <f t="array" ref="W42">IFERROR(INDEX(_xlfn.UNIQUE(TRIM(_xlfn.TEXTSPLIT(Table2614256[[#This Row],[Selection Options]:[Selection Options]],","))),,W$11),"")</f>
        <v/>
      </c>
      <c r="X42" s="29" t="str" cm="1">
        <f t="array" ref="X42">IFERROR(INDEX(_xlfn.UNIQUE(TRIM(_xlfn.TEXTSPLIT(Table2614256[[#This Row],[Selection Options]:[Selection Options]],","))),,X$11),"")</f>
        <v/>
      </c>
      <c r="Y42" s="30" cm="1">
        <f t="array" ref="Y42">IF(Table2614256[[#This Row],[1]]="","",Table2614256[[#This Row],[Weight]:[Weight]]-(Table2614256[[#This Row],[Weight]:[Weight]]*((_xlfn.XMATCH(Table2614256[[#This Row],[1]],Table2614256[[#This Row],[1]:[11]],0))-1)/(COUNTA(Table2614256[[#This Row],[1]:[11]])-COUNTBLANK(Table2614256[[#This Row],[1]:[11]])-1)))</f>
        <v>7.4503311258278151E-4</v>
      </c>
      <c r="Z42" s="30" cm="1">
        <f t="array" ref="Z42">IF(Table2614256[[#This Row],[2]]="","",Table2614256[[#This Row],[Weight]:[Weight]]-(Table2614256[[#This Row],[Weight]:[Weight]]*((_xlfn.XMATCH(Table2614256[[#This Row],[2]],Table2614256[[#This Row],[1]:[11]],0))-1)/(COUNTA(Table2614256[[#This Row],[1]:[11]])-COUNTBLANK(Table2614256[[#This Row],[1]:[11]])-1)))</f>
        <v>5.5877483443708611E-4</v>
      </c>
      <c r="AA42" s="30" cm="1">
        <f t="array" ref="AA42">IF(Table2614256[[#This Row],[3]]="","",Table2614256[[#This Row],[Weight]:[Weight]]-(Table2614256[[#This Row],[Weight]:[Weight]]*((_xlfn.XMATCH(Table2614256[[#This Row],[3]],Table2614256[[#This Row],[1]:[11]],0))-1)/(COUNTA(Table2614256[[#This Row],[1]:[11]])-COUNTBLANK(Table2614256[[#This Row],[1]:[11]])-1)))</f>
        <v>3.7251655629139076E-4</v>
      </c>
      <c r="AB42" s="30" cm="1">
        <f t="array" ref="AB42">IF(Table2614256[[#This Row],[4]]="","",Table2614256[[#This Row],[Weight]:[Weight]]-(Table2614256[[#This Row],[Weight]:[Weight]]*((_xlfn.XMATCH(Table2614256[[#This Row],[4]],Table2614256[[#This Row],[1]:[11]],0))-1)/(COUNTA(Table2614256[[#This Row],[1]:[11]])-COUNTBLANK(Table2614256[[#This Row],[1]:[11]])-1)))</f>
        <v>1.862582781456954E-4</v>
      </c>
      <c r="AC42" s="30" cm="1">
        <f t="array" ref="AC42">IF(Table2614256[[#This Row],[5]]="","",Table2614256[[#This Row],[Weight]:[Weight]]-(Table2614256[[#This Row],[Weight]:[Weight]]*((_xlfn.XMATCH(Table2614256[[#This Row],[5]],Table2614256[[#This Row],[1]:[11]],0))-1)/(COUNTA(Table2614256[[#This Row],[1]:[11]])-COUNTBLANK(Table2614256[[#This Row],[1]:[11]])-1)))</f>
        <v>0</v>
      </c>
      <c r="AD42" s="30" t="str" cm="1">
        <f t="array" ref="AD42">IF(Table2614256[[#This Row],[6]]="","",Table2614256[[#This Row],[Weight]:[Weight]]-(Table2614256[[#This Row],[Weight]:[Weight]]*((_xlfn.XMATCH(Table2614256[[#This Row],[6]],Table2614256[[#This Row],[1]:[11]],0))-1)/(COUNTA(Table2614256[[#This Row],[1]:[11]])-COUNTBLANK(Table2614256[[#This Row],[1]:[11]])-1)))</f>
        <v/>
      </c>
      <c r="AE42" s="30" t="str" cm="1">
        <f t="array" ref="AE42">IF(Table2614256[[#This Row],[7]]="","",Table2614256[[#This Row],[Weight]:[Weight]]-(Table2614256[[#This Row],[Weight]:[Weight]]*((_xlfn.XMATCH(Table2614256[[#This Row],[7]],Table2614256[[#This Row],[1]:[11]],0))-1)/(COUNTA(Table2614256[[#This Row],[1]:[11]])-COUNTBLANK(Table2614256[[#This Row],[1]:[11]])-1)))</f>
        <v/>
      </c>
      <c r="AF42" s="30" t="str" cm="1">
        <f t="array" ref="AF42">IF(Table2614256[[#This Row],[8]]="","",Table2614256[[#This Row],[Weight]:[Weight]]-(Table2614256[[#This Row],[Weight]:[Weight]]*((_xlfn.XMATCH(Table2614256[[#This Row],[8]],Table2614256[[#This Row],[1]:[11]],0))-1)/(COUNTA(Table2614256[[#This Row],[1]:[11]])-COUNTBLANK(Table2614256[[#This Row],[1]:[11]])-1)))</f>
        <v/>
      </c>
      <c r="AG42" s="30" t="str" cm="1">
        <f t="array" ref="AG42">IF(Table2614256[[#This Row],[9]]="","",Table2614256[[#This Row],[Weight]:[Weight]]-(Table2614256[[#This Row],[Weight]:[Weight]]*((_xlfn.XMATCH(Table2614256[[#This Row],[9]],Table2614256[[#This Row],[1]:[11]],0))-1)/(COUNTA(Table2614256[[#This Row],[1]:[11]])-COUNTBLANK(Table2614256[[#This Row],[1]:[11]])-1)))</f>
        <v/>
      </c>
      <c r="AH42" s="30" t="str" cm="1">
        <f t="array" ref="AH42">IF(Table2614256[[#This Row],[10]]="","",Table2614256[[#This Row],[Weight]:[Weight]]-(Table2614256[[#This Row],[Weight]:[Weight]]*((_xlfn.XMATCH(Table2614256[[#This Row],[10]],Table2614256[[#This Row],[1]:[11]],0))-1)/(COUNTA(Table2614256[[#This Row],[1]:[11]])-COUNTBLANK(Table2614256[[#This Row],[1]:[11]])-1)))</f>
        <v/>
      </c>
      <c r="AI42" s="30" t="str" cm="1">
        <f t="array" ref="AI42">IF(Table2614256[[#This Row],[11]]="","",Table2614256[[#This Row],[Weight]:[Weight]]-(Table2614256[[#This Row],[Weight]:[Weight]]*((_xlfn.XMATCH(Table2614256[[#This Row],[11]],Table2614256[[#This Row],[1]:[11]],0))-1)/(COUNTA(Table2614256[[#This Row],[1]:[11]])-COUNTBLANK(Table2614256[[#This Row],[1]:[11]])-1)))</f>
        <v/>
      </c>
    </row>
    <row r="43" spans="1:35" ht="120" x14ac:dyDescent="0.2">
      <c r="A43" s="20">
        <v>31</v>
      </c>
      <c r="B43" s="90" t="s">
        <v>374</v>
      </c>
      <c r="C43" s="119" t="s">
        <v>215</v>
      </c>
      <c r="D43" s="153"/>
      <c r="E43" s="153"/>
      <c r="F43" s="121" t="s">
        <v>60</v>
      </c>
      <c r="G43" s="148" cm="1">
        <f t="array" ref="G43">_xlfn.IFS(F43="","",F43="No interest",0,F43="Nice to have",1,F43="Useful",2,F43="Important",3,F43="Very important",4,F43="Critical",5,F43="Show stopper",6)</f>
        <v>6</v>
      </c>
      <c r="H43" s="149">
        <f t="shared" si="2"/>
        <v>7.4503311258278151E-4</v>
      </c>
      <c r="I43" s="150" t="s">
        <v>321</v>
      </c>
      <c r="J43" s="35" t="str" cm="1">
        <f t="array" ref="J43">_xlfn.TEXTJOIN(","&amp;CHAR(10),,TEXT(Table2614256[[#This Row],[12]:[22]],"0,00%"))</f>
        <v>0,00%,
0,00%,
0,00%,
0,00%,
0,00%</v>
      </c>
      <c r="K43" s="26"/>
      <c r="L43" s="27" t="e">
        <f>H43-(H43*((MATCH(Table2614256[[#This Row],[Evaluators Response (SELECT)]],Table2614256[[#This Row],[1]:[11]],0)-1)/(COUNTA(Table2614256[[#This Row],[1]:[11]])-COUNTBLANK(Table2614256[[#This Row],[1]:[11]])-1)))</f>
        <v>#N/A</v>
      </c>
      <c r="M43" s="28"/>
      <c r="N43" s="29" t="str" cm="1">
        <f t="array" ref="N43">IFERROR(INDEX(_xlfn.UNIQUE(TRIM(_xlfn.TEXTSPLIT(Table2614256[[#This Row],[Selection Options]:[Selection Options]],","))),,N$11),"")</f>
        <v>100%: Supported as delivered "out of the box"</v>
      </c>
      <c r="O43" s="29" t="str" cm="1">
        <f t="array" ref="O43">IFERROR(INDEX(_xlfn.UNIQUE(TRIM(_xlfn.TEXTSPLIT(Table2614256[[#This Row],[Selection Options]:[Selection Options]],","))),,O$11),"")</f>
        <v xml:space="preserve">
75%: Supported via modifications (config)</v>
      </c>
      <c r="P43" s="29" t="str" cm="1">
        <f t="array" ref="P43">IFERROR(INDEX(_xlfn.UNIQUE(TRIM(_xlfn.TEXTSPLIT(Table2614256[[#This Row],[Selection Options]:[Selection Options]],","))),,P$11),"")</f>
        <v xml:space="preserve">
50%: Supported via a third party solution</v>
      </c>
      <c r="Q43" s="29" t="str" cm="1">
        <f t="array" ref="Q43">IFERROR(INDEX(_xlfn.UNIQUE(TRIM(_xlfn.TEXTSPLIT(Table2614256[[#This Row],[Selection Options]:[Selection Options]],","))),,Q$11),"")</f>
        <v xml:space="preserve">
25%: Supported via customisation (source code changes)</v>
      </c>
      <c r="R43" s="29" t="str" cm="1">
        <f t="array" ref="R43">IFERROR(INDEX(_xlfn.UNIQUE(TRIM(_xlfn.TEXTSPLIT(Table2614256[[#This Row],[Selection Options]:[Selection Options]],","))),,R$11),"")</f>
        <v xml:space="preserve">
 0%: Not currently supported</v>
      </c>
      <c r="S43" s="29" t="str" cm="1">
        <f t="array" ref="S43">IFERROR(INDEX(_xlfn.UNIQUE(TRIM(_xlfn.TEXTSPLIT(Table2614256[[#This Row],[Selection Options]:[Selection Options]],","))),,S$11),"")</f>
        <v/>
      </c>
      <c r="T43" s="29" t="str" cm="1">
        <f t="array" ref="T43">IFERROR(INDEX(_xlfn.UNIQUE(TRIM(_xlfn.TEXTSPLIT(Table2614256[[#This Row],[Selection Options]:[Selection Options]],","))),,T$11),"")</f>
        <v/>
      </c>
      <c r="U43" s="29" t="str" cm="1">
        <f t="array" ref="U43">IFERROR(INDEX(_xlfn.UNIQUE(TRIM(_xlfn.TEXTSPLIT(Table2614256[[#This Row],[Selection Options]:[Selection Options]],","))),,U$11),"")</f>
        <v/>
      </c>
      <c r="V43" s="29" t="str" cm="1">
        <f t="array" ref="V43">IFERROR(INDEX(_xlfn.UNIQUE(TRIM(_xlfn.TEXTSPLIT(Table2614256[[#This Row],[Selection Options]:[Selection Options]],","))),,V$11),"")</f>
        <v/>
      </c>
      <c r="W43" s="29" t="str" cm="1">
        <f t="array" ref="W43">IFERROR(INDEX(_xlfn.UNIQUE(TRIM(_xlfn.TEXTSPLIT(Table2614256[[#This Row],[Selection Options]:[Selection Options]],","))),,W$11),"")</f>
        <v/>
      </c>
      <c r="X43" s="29" t="str" cm="1">
        <f t="array" ref="X43">IFERROR(INDEX(_xlfn.UNIQUE(TRIM(_xlfn.TEXTSPLIT(Table2614256[[#This Row],[Selection Options]:[Selection Options]],","))),,X$11),"")</f>
        <v/>
      </c>
      <c r="Y43" s="30" cm="1">
        <f t="array" ref="Y43">IF(Table2614256[[#This Row],[1]]="","",Table2614256[[#This Row],[Weight]:[Weight]]-(Table2614256[[#This Row],[Weight]:[Weight]]*((_xlfn.XMATCH(Table2614256[[#This Row],[1]],Table2614256[[#This Row],[1]:[11]],0))-1)/(COUNTA(Table2614256[[#This Row],[1]:[11]])-COUNTBLANK(Table2614256[[#This Row],[1]:[11]])-1)))</f>
        <v>7.4503311258278151E-4</v>
      </c>
      <c r="Z43" s="30" cm="1">
        <f t="array" ref="Z43">IF(Table2614256[[#This Row],[2]]="","",Table2614256[[#This Row],[Weight]:[Weight]]-(Table2614256[[#This Row],[Weight]:[Weight]]*((_xlfn.XMATCH(Table2614256[[#This Row],[2]],Table2614256[[#This Row],[1]:[11]],0))-1)/(COUNTA(Table2614256[[#This Row],[1]:[11]])-COUNTBLANK(Table2614256[[#This Row],[1]:[11]])-1)))</f>
        <v>5.5877483443708611E-4</v>
      </c>
      <c r="AA43" s="30" cm="1">
        <f t="array" ref="AA43">IF(Table2614256[[#This Row],[3]]="","",Table2614256[[#This Row],[Weight]:[Weight]]-(Table2614256[[#This Row],[Weight]:[Weight]]*((_xlfn.XMATCH(Table2614256[[#This Row],[3]],Table2614256[[#This Row],[1]:[11]],0))-1)/(COUNTA(Table2614256[[#This Row],[1]:[11]])-COUNTBLANK(Table2614256[[#This Row],[1]:[11]])-1)))</f>
        <v>3.7251655629139076E-4</v>
      </c>
      <c r="AB43" s="30" cm="1">
        <f t="array" ref="AB43">IF(Table2614256[[#This Row],[4]]="","",Table2614256[[#This Row],[Weight]:[Weight]]-(Table2614256[[#This Row],[Weight]:[Weight]]*((_xlfn.XMATCH(Table2614256[[#This Row],[4]],Table2614256[[#This Row],[1]:[11]],0))-1)/(COUNTA(Table2614256[[#This Row],[1]:[11]])-COUNTBLANK(Table2614256[[#This Row],[1]:[11]])-1)))</f>
        <v>1.862582781456954E-4</v>
      </c>
      <c r="AC43" s="30" cm="1">
        <f t="array" ref="AC43">IF(Table2614256[[#This Row],[5]]="","",Table2614256[[#This Row],[Weight]:[Weight]]-(Table2614256[[#This Row],[Weight]:[Weight]]*((_xlfn.XMATCH(Table2614256[[#This Row],[5]],Table2614256[[#This Row],[1]:[11]],0))-1)/(COUNTA(Table2614256[[#This Row],[1]:[11]])-COUNTBLANK(Table2614256[[#This Row],[1]:[11]])-1)))</f>
        <v>0</v>
      </c>
      <c r="AD43" s="30" t="str" cm="1">
        <f t="array" ref="AD43">IF(Table2614256[[#This Row],[6]]="","",Table2614256[[#This Row],[Weight]:[Weight]]-(Table2614256[[#This Row],[Weight]:[Weight]]*((_xlfn.XMATCH(Table2614256[[#This Row],[6]],Table2614256[[#This Row],[1]:[11]],0))-1)/(COUNTA(Table2614256[[#This Row],[1]:[11]])-COUNTBLANK(Table2614256[[#This Row],[1]:[11]])-1)))</f>
        <v/>
      </c>
      <c r="AE43" s="30" t="str" cm="1">
        <f t="array" ref="AE43">IF(Table2614256[[#This Row],[7]]="","",Table2614256[[#This Row],[Weight]:[Weight]]-(Table2614256[[#This Row],[Weight]:[Weight]]*((_xlfn.XMATCH(Table2614256[[#This Row],[7]],Table2614256[[#This Row],[1]:[11]],0))-1)/(COUNTA(Table2614256[[#This Row],[1]:[11]])-COUNTBLANK(Table2614256[[#This Row],[1]:[11]])-1)))</f>
        <v/>
      </c>
      <c r="AF43" s="30" t="str" cm="1">
        <f t="array" ref="AF43">IF(Table2614256[[#This Row],[8]]="","",Table2614256[[#This Row],[Weight]:[Weight]]-(Table2614256[[#This Row],[Weight]:[Weight]]*((_xlfn.XMATCH(Table2614256[[#This Row],[8]],Table2614256[[#This Row],[1]:[11]],0))-1)/(COUNTA(Table2614256[[#This Row],[1]:[11]])-COUNTBLANK(Table2614256[[#This Row],[1]:[11]])-1)))</f>
        <v/>
      </c>
      <c r="AG43" s="30" t="str" cm="1">
        <f t="array" ref="AG43">IF(Table2614256[[#This Row],[9]]="","",Table2614256[[#This Row],[Weight]:[Weight]]-(Table2614256[[#This Row],[Weight]:[Weight]]*((_xlfn.XMATCH(Table2614256[[#This Row],[9]],Table2614256[[#This Row],[1]:[11]],0))-1)/(COUNTA(Table2614256[[#This Row],[1]:[11]])-COUNTBLANK(Table2614256[[#This Row],[1]:[11]])-1)))</f>
        <v/>
      </c>
      <c r="AH43" s="30" t="str" cm="1">
        <f t="array" ref="AH43">IF(Table2614256[[#This Row],[10]]="","",Table2614256[[#This Row],[Weight]:[Weight]]-(Table2614256[[#This Row],[Weight]:[Weight]]*((_xlfn.XMATCH(Table2614256[[#This Row],[10]],Table2614256[[#This Row],[1]:[11]],0))-1)/(COUNTA(Table2614256[[#This Row],[1]:[11]])-COUNTBLANK(Table2614256[[#This Row],[1]:[11]])-1)))</f>
        <v/>
      </c>
      <c r="AI43" s="30" t="str" cm="1">
        <f t="array" ref="AI43">IF(Table2614256[[#This Row],[11]]="","",Table2614256[[#This Row],[Weight]:[Weight]]-(Table2614256[[#This Row],[Weight]:[Weight]]*((_xlfn.XMATCH(Table2614256[[#This Row],[11]],Table2614256[[#This Row],[1]:[11]],0))-1)/(COUNTA(Table2614256[[#This Row],[1]:[11]])-COUNTBLANK(Table2614256[[#This Row],[1]:[11]])-1)))</f>
        <v/>
      </c>
    </row>
    <row r="44" spans="1:35" ht="120" x14ac:dyDescent="0.2">
      <c r="A44" s="20">
        <v>32</v>
      </c>
      <c r="B44" s="90" t="s">
        <v>375</v>
      </c>
      <c r="C44" s="119" t="s">
        <v>215</v>
      </c>
      <c r="D44" s="153"/>
      <c r="E44" s="153"/>
      <c r="F44" s="121" t="s">
        <v>60</v>
      </c>
      <c r="G44" s="148" cm="1">
        <f t="array" ref="G44">_xlfn.IFS(F44="","",F44="No interest",0,F44="Nice to have",1,F44="Useful",2,F44="Important",3,F44="Very important",4,F44="Critical",5,F44="Show stopper",6)</f>
        <v>6</v>
      </c>
      <c r="H44" s="149">
        <f t="shared" si="2"/>
        <v>7.4503311258278151E-4</v>
      </c>
      <c r="I44" s="150" t="s">
        <v>321</v>
      </c>
      <c r="J44" s="35" t="str" cm="1">
        <f t="array" ref="J44">_xlfn.TEXTJOIN(","&amp;CHAR(10),,TEXT(Table2614256[[#This Row],[12]:[22]],"0,00%"))</f>
        <v>0,00%,
0,00%,
0,00%,
0,00%,
0,00%</v>
      </c>
      <c r="K44" s="26"/>
      <c r="L44" s="27" t="e">
        <f>H44-(H44*((MATCH(Table2614256[[#This Row],[Evaluators Response (SELECT)]],Table2614256[[#This Row],[1]:[11]],0)-1)/(COUNTA(Table2614256[[#This Row],[1]:[11]])-COUNTBLANK(Table2614256[[#This Row],[1]:[11]])-1)))</f>
        <v>#N/A</v>
      </c>
      <c r="M44" s="28"/>
      <c r="N44" s="29" t="str" cm="1">
        <f t="array" ref="N44">IFERROR(INDEX(_xlfn.UNIQUE(TRIM(_xlfn.TEXTSPLIT(Table2614256[[#This Row],[Selection Options]:[Selection Options]],","))),,N$11),"")</f>
        <v>100%: Supported as delivered "out of the box"</v>
      </c>
      <c r="O44" s="29" t="str" cm="1">
        <f t="array" ref="O44">IFERROR(INDEX(_xlfn.UNIQUE(TRIM(_xlfn.TEXTSPLIT(Table2614256[[#This Row],[Selection Options]:[Selection Options]],","))),,O$11),"")</f>
        <v xml:space="preserve">
75%: Supported via modifications (config)</v>
      </c>
      <c r="P44" s="29" t="str" cm="1">
        <f t="array" ref="P44">IFERROR(INDEX(_xlfn.UNIQUE(TRIM(_xlfn.TEXTSPLIT(Table2614256[[#This Row],[Selection Options]:[Selection Options]],","))),,P$11),"")</f>
        <v xml:space="preserve">
50%: Supported via a third party solution</v>
      </c>
      <c r="Q44" s="29" t="str" cm="1">
        <f t="array" ref="Q44">IFERROR(INDEX(_xlfn.UNIQUE(TRIM(_xlfn.TEXTSPLIT(Table2614256[[#This Row],[Selection Options]:[Selection Options]],","))),,Q$11),"")</f>
        <v xml:space="preserve">
25%: Supported via customisation (source code changes)</v>
      </c>
      <c r="R44" s="29" t="str" cm="1">
        <f t="array" ref="R44">IFERROR(INDEX(_xlfn.UNIQUE(TRIM(_xlfn.TEXTSPLIT(Table2614256[[#This Row],[Selection Options]:[Selection Options]],","))),,R$11),"")</f>
        <v xml:space="preserve">
 0%: Not currently supported</v>
      </c>
      <c r="S44" s="29" t="str" cm="1">
        <f t="array" ref="S44">IFERROR(INDEX(_xlfn.UNIQUE(TRIM(_xlfn.TEXTSPLIT(Table2614256[[#This Row],[Selection Options]:[Selection Options]],","))),,S$11),"")</f>
        <v/>
      </c>
      <c r="T44" s="29" t="str" cm="1">
        <f t="array" ref="T44">IFERROR(INDEX(_xlfn.UNIQUE(TRIM(_xlfn.TEXTSPLIT(Table2614256[[#This Row],[Selection Options]:[Selection Options]],","))),,T$11),"")</f>
        <v/>
      </c>
      <c r="U44" s="29" t="str" cm="1">
        <f t="array" ref="U44">IFERROR(INDEX(_xlfn.UNIQUE(TRIM(_xlfn.TEXTSPLIT(Table2614256[[#This Row],[Selection Options]:[Selection Options]],","))),,U$11),"")</f>
        <v/>
      </c>
      <c r="V44" s="29" t="str" cm="1">
        <f t="array" ref="V44">IFERROR(INDEX(_xlfn.UNIQUE(TRIM(_xlfn.TEXTSPLIT(Table2614256[[#This Row],[Selection Options]:[Selection Options]],","))),,V$11),"")</f>
        <v/>
      </c>
      <c r="W44" s="29" t="str" cm="1">
        <f t="array" ref="W44">IFERROR(INDEX(_xlfn.UNIQUE(TRIM(_xlfn.TEXTSPLIT(Table2614256[[#This Row],[Selection Options]:[Selection Options]],","))),,W$11),"")</f>
        <v/>
      </c>
      <c r="X44" s="29" t="str" cm="1">
        <f t="array" ref="X44">IFERROR(INDEX(_xlfn.UNIQUE(TRIM(_xlfn.TEXTSPLIT(Table2614256[[#This Row],[Selection Options]:[Selection Options]],","))),,X$11),"")</f>
        <v/>
      </c>
      <c r="Y44" s="30" cm="1">
        <f t="array" ref="Y44">IF(Table2614256[[#This Row],[1]]="","",Table2614256[[#This Row],[Weight]:[Weight]]-(Table2614256[[#This Row],[Weight]:[Weight]]*((_xlfn.XMATCH(Table2614256[[#This Row],[1]],Table2614256[[#This Row],[1]:[11]],0))-1)/(COUNTA(Table2614256[[#This Row],[1]:[11]])-COUNTBLANK(Table2614256[[#This Row],[1]:[11]])-1)))</f>
        <v>7.4503311258278151E-4</v>
      </c>
      <c r="Z44" s="30" cm="1">
        <f t="array" ref="Z44">IF(Table2614256[[#This Row],[2]]="","",Table2614256[[#This Row],[Weight]:[Weight]]-(Table2614256[[#This Row],[Weight]:[Weight]]*((_xlfn.XMATCH(Table2614256[[#This Row],[2]],Table2614256[[#This Row],[1]:[11]],0))-1)/(COUNTA(Table2614256[[#This Row],[1]:[11]])-COUNTBLANK(Table2614256[[#This Row],[1]:[11]])-1)))</f>
        <v>5.5877483443708611E-4</v>
      </c>
      <c r="AA44" s="30" cm="1">
        <f t="array" ref="AA44">IF(Table2614256[[#This Row],[3]]="","",Table2614256[[#This Row],[Weight]:[Weight]]-(Table2614256[[#This Row],[Weight]:[Weight]]*((_xlfn.XMATCH(Table2614256[[#This Row],[3]],Table2614256[[#This Row],[1]:[11]],0))-1)/(COUNTA(Table2614256[[#This Row],[1]:[11]])-COUNTBLANK(Table2614256[[#This Row],[1]:[11]])-1)))</f>
        <v>3.7251655629139076E-4</v>
      </c>
      <c r="AB44" s="30" cm="1">
        <f t="array" ref="AB44">IF(Table2614256[[#This Row],[4]]="","",Table2614256[[#This Row],[Weight]:[Weight]]-(Table2614256[[#This Row],[Weight]:[Weight]]*((_xlfn.XMATCH(Table2614256[[#This Row],[4]],Table2614256[[#This Row],[1]:[11]],0))-1)/(COUNTA(Table2614256[[#This Row],[1]:[11]])-COUNTBLANK(Table2614256[[#This Row],[1]:[11]])-1)))</f>
        <v>1.862582781456954E-4</v>
      </c>
      <c r="AC44" s="30" cm="1">
        <f t="array" ref="AC44">IF(Table2614256[[#This Row],[5]]="","",Table2614256[[#This Row],[Weight]:[Weight]]-(Table2614256[[#This Row],[Weight]:[Weight]]*((_xlfn.XMATCH(Table2614256[[#This Row],[5]],Table2614256[[#This Row],[1]:[11]],0))-1)/(COUNTA(Table2614256[[#This Row],[1]:[11]])-COUNTBLANK(Table2614256[[#This Row],[1]:[11]])-1)))</f>
        <v>0</v>
      </c>
      <c r="AD44" s="30" t="str" cm="1">
        <f t="array" ref="AD44">IF(Table2614256[[#This Row],[6]]="","",Table2614256[[#This Row],[Weight]:[Weight]]-(Table2614256[[#This Row],[Weight]:[Weight]]*((_xlfn.XMATCH(Table2614256[[#This Row],[6]],Table2614256[[#This Row],[1]:[11]],0))-1)/(COUNTA(Table2614256[[#This Row],[1]:[11]])-COUNTBLANK(Table2614256[[#This Row],[1]:[11]])-1)))</f>
        <v/>
      </c>
      <c r="AE44" s="30" t="str" cm="1">
        <f t="array" ref="AE44">IF(Table2614256[[#This Row],[7]]="","",Table2614256[[#This Row],[Weight]:[Weight]]-(Table2614256[[#This Row],[Weight]:[Weight]]*((_xlfn.XMATCH(Table2614256[[#This Row],[7]],Table2614256[[#This Row],[1]:[11]],0))-1)/(COUNTA(Table2614256[[#This Row],[1]:[11]])-COUNTBLANK(Table2614256[[#This Row],[1]:[11]])-1)))</f>
        <v/>
      </c>
      <c r="AF44" s="30" t="str" cm="1">
        <f t="array" ref="AF44">IF(Table2614256[[#This Row],[8]]="","",Table2614256[[#This Row],[Weight]:[Weight]]-(Table2614256[[#This Row],[Weight]:[Weight]]*((_xlfn.XMATCH(Table2614256[[#This Row],[8]],Table2614256[[#This Row],[1]:[11]],0))-1)/(COUNTA(Table2614256[[#This Row],[1]:[11]])-COUNTBLANK(Table2614256[[#This Row],[1]:[11]])-1)))</f>
        <v/>
      </c>
      <c r="AG44" s="30" t="str" cm="1">
        <f t="array" ref="AG44">IF(Table2614256[[#This Row],[9]]="","",Table2614256[[#This Row],[Weight]:[Weight]]-(Table2614256[[#This Row],[Weight]:[Weight]]*((_xlfn.XMATCH(Table2614256[[#This Row],[9]],Table2614256[[#This Row],[1]:[11]],0))-1)/(COUNTA(Table2614256[[#This Row],[1]:[11]])-COUNTBLANK(Table2614256[[#This Row],[1]:[11]])-1)))</f>
        <v/>
      </c>
      <c r="AH44" s="30" t="str" cm="1">
        <f t="array" ref="AH44">IF(Table2614256[[#This Row],[10]]="","",Table2614256[[#This Row],[Weight]:[Weight]]-(Table2614256[[#This Row],[Weight]:[Weight]]*((_xlfn.XMATCH(Table2614256[[#This Row],[10]],Table2614256[[#This Row],[1]:[11]],0))-1)/(COUNTA(Table2614256[[#This Row],[1]:[11]])-COUNTBLANK(Table2614256[[#This Row],[1]:[11]])-1)))</f>
        <v/>
      </c>
      <c r="AI44" s="30" t="str" cm="1">
        <f t="array" ref="AI44">IF(Table2614256[[#This Row],[11]]="","",Table2614256[[#This Row],[Weight]:[Weight]]-(Table2614256[[#This Row],[Weight]:[Weight]]*((_xlfn.XMATCH(Table2614256[[#This Row],[11]],Table2614256[[#This Row],[1]:[11]],0))-1)/(COUNTA(Table2614256[[#This Row],[1]:[11]])-COUNTBLANK(Table2614256[[#This Row],[1]:[11]])-1)))</f>
        <v/>
      </c>
    </row>
    <row r="45" spans="1:35" ht="120" x14ac:dyDescent="0.2">
      <c r="A45" s="20">
        <v>33</v>
      </c>
      <c r="B45" s="90" t="s">
        <v>376</v>
      </c>
      <c r="C45" s="119" t="s">
        <v>215</v>
      </c>
      <c r="D45" s="153"/>
      <c r="E45" s="153"/>
      <c r="F45" s="121" t="s">
        <v>60</v>
      </c>
      <c r="G45" s="148" cm="1">
        <f t="array" ref="G45">_xlfn.IFS(F45="","",F45="No interest",0,F45="Nice to have",1,F45="Useful",2,F45="Important",3,F45="Very important",4,F45="Critical",5,F45="Show stopper",6)</f>
        <v>6</v>
      </c>
      <c r="H45" s="149">
        <f t="shared" si="2"/>
        <v>7.4503311258278151E-4</v>
      </c>
      <c r="I45" s="150" t="s">
        <v>321</v>
      </c>
      <c r="J45" s="35" t="str" cm="1">
        <f t="array" ref="J45">_xlfn.TEXTJOIN(","&amp;CHAR(10),,TEXT(Table2614256[[#This Row],[12]:[22]],"0,00%"))</f>
        <v>0,00%,
0,00%,
0,00%,
0,00%,
0,00%</v>
      </c>
      <c r="K45" s="26"/>
      <c r="L45" s="27" t="e">
        <f>H45-(H45*((MATCH(Table2614256[[#This Row],[Evaluators Response (SELECT)]],Table2614256[[#This Row],[1]:[11]],0)-1)/(COUNTA(Table2614256[[#This Row],[1]:[11]])-COUNTBLANK(Table2614256[[#This Row],[1]:[11]])-1)))</f>
        <v>#N/A</v>
      </c>
      <c r="M45" s="28"/>
      <c r="N45" s="29" t="str" cm="1">
        <f t="array" ref="N45">IFERROR(INDEX(_xlfn.UNIQUE(TRIM(_xlfn.TEXTSPLIT(Table2614256[[#This Row],[Selection Options]:[Selection Options]],","))),,N$11),"")</f>
        <v>100%: Supported as delivered "out of the box"</v>
      </c>
      <c r="O45" s="29" t="str" cm="1">
        <f t="array" ref="O45">IFERROR(INDEX(_xlfn.UNIQUE(TRIM(_xlfn.TEXTSPLIT(Table2614256[[#This Row],[Selection Options]:[Selection Options]],","))),,O$11),"")</f>
        <v xml:space="preserve">
75%: Supported via modifications (config)</v>
      </c>
      <c r="P45" s="29" t="str" cm="1">
        <f t="array" ref="P45">IFERROR(INDEX(_xlfn.UNIQUE(TRIM(_xlfn.TEXTSPLIT(Table2614256[[#This Row],[Selection Options]:[Selection Options]],","))),,P$11),"")</f>
        <v xml:space="preserve">
50%: Supported via a third party solution</v>
      </c>
      <c r="Q45" s="29" t="str" cm="1">
        <f t="array" ref="Q45">IFERROR(INDEX(_xlfn.UNIQUE(TRIM(_xlfn.TEXTSPLIT(Table2614256[[#This Row],[Selection Options]:[Selection Options]],","))),,Q$11),"")</f>
        <v xml:space="preserve">
25%: Supported via customisation (source code changes)</v>
      </c>
      <c r="R45" s="29" t="str" cm="1">
        <f t="array" ref="R45">IFERROR(INDEX(_xlfn.UNIQUE(TRIM(_xlfn.TEXTSPLIT(Table2614256[[#This Row],[Selection Options]:[Selection Options]],","))),,R$11),"")</f>
        <v xml:space="preserve">
 0%: Not currently supported</v>
      </c>
      <c r="S45" s="29" t="str" cm="1">
        <f t="array" ref="S45">IFERROR(INDEX(_xlfn.UNIQUE(TRIM(_xlfn.TEXTSPLIT(Table2614256[[#This Row],[Selection Options]:[Selection Options]],","))),,S$11),"")</f>
        <v/>
      </c>
      <c r="T45" s="29" t="str" cm="1">
        <f t="array" ref="T45">IFERROR(INDEX(_xlfn.UNIQUE(TRIM(_xlfn.TEXTSPLIT(Table2614256[[#This Row],[Selection Options]:[Selection Options]],","))),,T$11),"")</f>
        <v/>
      </c>
      <c r="U45" s="29" t="str" cm="1">
        <f t="array" ref="U45">IFERROR(INDEX(_xlfn.UNIQUE(TRIM(_xlfn.TEXTSPLIT(Table2614256[[#This Row],[Selection Options]:[Selection Options]],","))),,U$11),"")</f>
        <v/>
      </c>
      <c r="V45" s="29" t="str" cm="1">
        <f t="array" ref="V45">IFERROR(INDEX(_xlfn.UNIQUE(TRIM(_xlfn.TEXTSPLIT(Table2614256[[#This Row],[Selection Options]:[Selection Options]],","))),,V$11),"")</f>
        <v/>
      </c>
      <c r="W45" s="29" t="str" cm="1">
        <f t="array" ref="W45">IFERROR(INDEX(_xlfn.UNIQUE(TRIM(_xlfn.TEXTSPLIT(Table2614256[[#This Row],[Selection Options]:[Selection Options]],","))),,W$11),"")</f>
        <v/>
      </c>
      <c r="X45" s="29" t="str" cm="1">
        <f t="array" ref="X45">IFERROR(INDEX(_xlfn.UNIQUE(TRIM(_xlfn.TEXTSPLIT(Table2614256[[#This Row],[Selection Options]:[Selection Options]],","))),,X$11),"")</f>
        <v/>
      </c>
      <c r="Y45" s="30" cm="1">
        <f t="array" ref="Y45">IF(Table2614256[[#This Row],[1]]="","",Table2614256[[#This Row],[Weight]:[Weight]]-(Table2614256[[#This Row],[Weight]:[Weight]]*((_xlfn.XMATCH(Table2614256[[#This Row],[1]],Table2614256[[#This Row],[1]:[11]],0))-1)/(COUNTA(Table2614256[[#This Row],[1]:[11]])-COUNTBLANK(Table2614256[[#This Row],[1]:[11]])-1)))</f>
        <v>7.4503311258278151E-4</v>
      </c>
      <c r="Z45" s="30" cm="1">
        <f t="array" ref="Z45">IF(Table2614256[[#This Row],[2]]="","",Table2614256[[#This Row],[Weight]:[Weight]]-(Table2614256[[#This Row],[Weight]:[Weight]]*((_xlfn.XMATCH(Table2614256[[#This Row],[2]],Table2614256[[#This Row],[1]:[11]],0))-1)/(COUNTA(Table2614256[[#This Row],[1]:[11]])-COUNTBLANK(Table2614256[[#This Row],[1]:[11]])-1)))</f>
        <v>5.5877483443708611E-4</v>
      </c>
      <c r="AA45" s="30" cm="1">
        <f t="array" ref="AA45">IF(Table2614256[[#This Row],[3]]="","",Table2614256[[#This Row],[Weight]:[Weight]]-(Table2614256[[#This Row],[Weight]:[Weight]]*((_xlfn.XMATCH(Table2614256[[#This Row],[3]],Table2614256[[#This Row],[1]:[11]],0))-1)/(COUNTA(Table2614256[[#This Row],[1]:[11]])-COUNTBLANK(Table2614256[[#This Row],[1]:[11]])-1)))</f>
        <v>3.7251655629139076E-4</v>
      </c>
      <c r="AB45" s="30" cm="1">
        <f t="array" ref="AB45">IF(Table2614256[[#This Row],[4]]="","",Table2614256[[#This Row],[Weight]:[Weight]]-(Table2614256[[#This Row],[Weight]:[Weight]]*((_xlfn.XMATCH(Table2614256[[#This Row],[4]],Table2614256[[#This Row],[1]:[11]],0))-1)/(COUNTA(Table2614256[[#This Row],[1]:[11]])-COUNTBLANK(Table2614256[[#This Row],[1]:[11]])-1)))</f>
        <v>1.862582781456954E-4</v>
      </c>
      <c r="AC45" s="30" cm="1">
        <f t="array" ref="AC45">IF(Table2614256[[#This Row],[5]]="","",Table2614256[[#This Row],[Weight]:[Weight]]-(Table2614256[[#This Row],[Weight]:[Weight]]*((_xlfn.XMATCH(Table2614256[[#This Row],[5]],Table2614256[[#This Row],[1]:[11]],0))-1)/(COUNTA(Table2614256[[#This Row],[1]:[11]])-COUNTBLANK(Table2614256[[#This Row],[1]:[11]])-1)))</f>
        <v>0</v>
      </c>
      <c r="AD45" s="30" t="str" cm="1">
        <f t="array" ref="AD45">IF(Table2614256[[#This Row],[6]]="","",Table2614256[[#This Row],[Weight]:[Weight]]-(Table2614256[[#This Row],[Weight]:[Weight]]*((_xlfn.XMATCH(Table2614256[[#This Row],[6]],Table2614256[[#This Row],[1]:[11]],0))-1)/(COUNTA(Table2614256[[#This Row],[1]:[11]])-COUNTBLANK(Table2614256[[#This Row],[1]:[11]])-1)))</f>
        <v/>
      </c>
      <c r="AE45" s="30" t="str" cm="1">
        <f t="array" ref="AE45">IF(Table2614256[[#This Row],[7]]="","",Table2614256[[#This Row],[Weight]:[Weight]]-(Table2614256[[#This Row],[Weight]:[Weight]]*((_xlfn.XMATCH(Table2614256[[#This Row],[7]],Table2614256[[#This Row],[1]:[11]],0))-1)/(COUNTA(Table2614256[[#This Row],[1]:[11]])-COUNTBLANK(Table2614256[[#This Row],[1]:[11]])-1)))</f>
        <v/>
      </c>
      <c r="AF45" s="30" t="str" cm="1">
        <f t="array" ref="AF45">IF(Table2614256[[#This Row],[8]]="","",Table2614256[[#This Row],[Weight]:[Weight]]-(Table2614256[[#This Row],[Weight]:[Weight]]*((_xlfn.XMATCH(Table2614256[[#This Row],[8]],Table2614256[[#This Row],[1]:[11]],0))-1)/(COUNTA(Table2614256[[#This Row],[1]:[11]])-COUNTBLANK(Table2614256[[#This Row],[1]:[11]])-1)))</f>
        <v/>
      </c>
      <c r="AG45" s="30" t="str" cm="1">
        <f t="array" ref="AG45">IF(Table2614256[[#This Row],[9]]="","",Table2614256[[#This Row],[Weight]:[Weight]]-(Table2614256[[#This Row],[Weight]:[Weight]]*((_xlfn.XMATCH(Table2614256[[#This Row],[9]],Table2614256[[#This Row],[1]:[11]],0))-1)/(COUNTA(Table2614256[[#This Row],[1]:[11]])-COUNTBLANK(Table2614256[[#This Row],[1]:[11]])-1)))</f>
        <v/>
      </c>
      <c r="AH45" s="30" t="str" cm="1">
        <f t="array" ref="AH45">IF(Table2614256[[#This Row],[10]]="","",Table2614256[[#This Row],[Weight]:[Weight]]-(Table2614256[[#This Row],[Weight]:[Weight]]*((_xlfn.XMATCH(Table2614256[[#This Row],[10]],Table2614256[[#This Row],[1]:[11]],0))-1)/(COUNTA(Table2614256[[#This Row],[1]:[11]])-COUNTBLANK(Table2614256[[#This Row],[1]:[11]])-1)))</f>
        <v/>
      </c>
      <c r="AI45" s="30" t="str" cm="1">
        <f t="array" ref="AI45">IF(Table2614256[[#This Row],[11]]="","",Table2614256[[#This Row],[Weight]:[Weight]]-(Table2614256[[#This Row],[Weight]:[Weight]]*((_xlfn.XMATCH(Table2614256[[#This Row],[11]],Table2614256[[#This Row],[1]:[11]],0))-1)/(COUNTA(Table2614256[[#This Row],[1]:[11]])-COUNTBLANK(Table2614256[[#This Row],[1]:[11]])-1)))</f>
        <v/>
      </c>
    </row>
    <row r="46" spans="1:35" ht="120" x14ac:dyDescent="0.2">
      <c r="A46" s="20">
        <v>34</v>
      </c>
      <c r="B46" s="90" t="s">
        <v>377</v>
      </c>
      <c r="C46" s="119" t="s">
        <v>215</v>
      </c>
      <c r="D46" s="153"/>
      <c r="E46" s="153"/>
      <c r="F46" s="121" t="s">
        <v>60</v>
      </c>
      <c r="G46" s="148" cm="1">
        <f t="array" ref="G46">_xlfn.IFS(F46="","",F46="No interest",0,F46="Nice to have",1,F46="Useful",2,F46="Important",3,F46="Very important",4,F46="Critical",5,F46="Show stopper",6)</f>
        <v>6</v>
      </c>
      <c r="H46" s="149">
        <f t="shared" si="2"/>
        <v>7.4503311258278151E-4</v>
      </c>
      <c r="I46" s="150" t="s">
        <v>321</v>
      </c>
      <c r="J46" s="35" t="str" cm="1">
        <f t="array" ref="J46">_xlfn.TEXTJOIN(","&amp;CHAR(10),,TEXT(Table2614256[[#This Row],[12]:[22]],"0,00%"))</f>
        <v>0,00%,
0,00%,
0,00%,
0,00%,
0,00%</v>
      </c>
      <c r="K46" s="26"/>
      <c r="L46" s="27" t="e">
        <f>H46-(H46*((MATCH(Table2614256[[#This Row],[Evaluators Response (SELECT)]],Table2614256[[#This Row],[1]:[11]],0)-1)/(COUNTA(Table2614256[[#This Row],[1]:[11]])-COUNTBLANK(Table2614256[[#This Row],[1]:[11]])-1)))</f>
        <v>#N/A</v>
      </c>
      <c r="M46" s="28"/>
      <c r="N46" s="29" t="str" cm="1">
        <f t="array" ref="N46">IFERROR(INDEX(_xlfn.UNIQUE(TRIM(_xlfn.TEXTSPLIT(Table2614256[[#This Row],[Selection Options]:[Selection Options]],","))),,N$11),"")</f>
        <v>100%: Supported as delivered "out of the box"</v>
      </c>
      <c r="O46" s="29" t="str" cm="1">
        <f t="array" ref="O46">IFERROR(INDEX(_xlfn.UNIQUE(TRIM(_xlfn.TEXTSPLIT(Table2614256[[#This Row],[Selection Options]:[Selection Options]],","))),,O$11),"")</f>
        <v xml:space="preserve">
75%: Supported via modifications (config)</v>
      </c>
      <c r="P46" s="29" t="str" cm="1">
        <f t="array" ref="P46">IFERROR(INDEX(_xlfn.UNIQUE(TRIM(_xlfn.TEXTSPLIT(Table2614256[[#This Row],[Selection Options]:[Selection Options]],","))),,P$11),"")</f>
        <v xml:space="preserve">
50%: Supported via a third party solution</v>
      </c>
      <c r="Q46" s="29" t="str" cm="1">
        <f t="array" ref="Q46">IFERROR(INDEX(_xlfn.UNIQUE(TRIM(_xlfn.TEXTSPLIT(Table2614256[[#This Row],[Selection Options]:[Selection Options]],","))),,Q$11),"")</f>
        <v xml:space="preserve">
25%: Supported via customisation (source code changes)</v>
      </c>
      <c r="R46" s="29" t="str" cm="1">
        <f t="array" ref="R46">IFERROR(INDEX(_xlfn.UNIQUE(TRIM(_xlfn.TEXTSPLIT(Table2614256[[#This Row],[Selection Options]:[Selection Options]],","))),,R$11),"")</f>
        <v xml:space="preserve">
 0%: Not currently supported</v>
      </c>
      <c r="S46" s="29" t="str" cm="1">
        <f t="array" ref="S46">IFERROR(INDEX(_xlfn.UNIQUE(TRIM(_xlfn.TEXTSPLIT(Table2614256[[#This Row],[Selection Options]:[Selection Options]],","))),,S$11),"")</f>
        <v/>
      </c>
      <c r="T46" s="29" t="str" cm="1">
        <f t="array" ref="T46">IFERROR(INDEX(_xlfn.UNIQUE(TRIM(_xlfn.TEXTSPLIT(Table2614256[[#This Row],[Selection Options]:[Selection Options]],","))),,T$11),"")</f>
        <v/>
      </c>
      <c r="U46" s="29" t="str" cm="1">
        <f t="array" ref="U46">IFERROR(INDEX(_xlfn.UNIQUE(TRIM(_xlfn.TEXTSPLIT(Table2614256[[#This Row],[Selection Options]:[Selection Options]],","))),,U$11),"")</f>
        <v/>
      </c>
      <c r="V46" s="29" t="str" cm="1">
        <f t="array" ref="V46">IFERROR(INDEX(_xlfn.UNIQUE(TRIM(_xlfn.TEXTSPLIT(Table2614256[[#This Row],[Selection Options]:[Selection Options]],","))),,V$11),"")</f>
        <v/>
      </c>
      <c r="W46" s="29" t="str" cm="1">
        <f t="array" ref="W46">IFERROR(INDEX(_xlfn.UNIQUE(TRIM(_xlfn.TEXTSPLIT(Table2614256[[#This Row],[Selection Options]:[Selection Options]],","))),,W$11),"")</f>
        <v/>
      </c>
      <c r="X46" s="29" t="str" cm="1">
        <f t="array" ref="X46">IFERROR(INDEX(_xlfn.UNIQUE(TRIM(_xlfn.TEXTSPLIT(Table2614256[[#This Row],[Selection Options]:[Selection Options]],","))),,X$11),"")</f>
        <v/>
      </c>
      <c r="Y46" s="30" cm="1">
        <f t="array" ref="Y46">IF(Table2614256[[#This Row],[1]]="","",Table2614256[[#This Row],[Weight]:[Weight]]-(Table2614256[[#This Row],[Weight]:[Weight]]*((_xlfn.XMATCH(Table2614256[[#This Row],[1]],Table2614256[[#This Row],[1]:[11]],0))-1)/(COUNTA(Table2614256[[#This Row],[1]:[11]])-COUNTBLANK(Table2614256[[#This Row],[1]:[11]])-1)))</f>
        <v>7.4503311258278151E-4</v>
      </c>
      <c r="Z46" s="30" cm="1">
        <f t="array" ref="Z46">IF(Table2614256[[#This Row],[2]]="","",Table2614256[[#This Row],[Weight]:[Weight]]-(Table2614256[[#This Row],[Weight]:[Weight]]*((_xlfn.XMATCH(Table2614256[[#This Row],[2]],Table2614256[[#This Row],[1]:[11]],0))-1)/(COUNTA(Table2614256[[#This Row],[1]:[11]])-COUNTBLANK(Table2614256[[#This Row],[1]:[11]])-1)))</f>
        <v>5.5877483443708611E-4</v>
      </c>
      <c r="AA46" s="30" cm="1">
        <f t="array" ref="AA46">IF(Table2614256[[#This Row],[3]]="","",Table2614256[[#This Row],[Weight]:[Weight]]-(Table2614256[[#This Row],[Weight]:[Weight]]*((_xlfn.XMATCH(Table2614256[[#This Row],[3]],Table2614256[[#This Row],[1]:[11]],0))-1)/(COUNTA(Table2614256[[#This Row],[1]:[11]])-COUNTBLANK(Table2614256[[#This Row],[1]:[11]])-1)))</f>
        <v>3.7251655629139076E-4</v>
      </c>
      <c r="AB46" s="30" cm="1">
        <f t="array" ref="AB46">IF(Table2614256[[#This Row],[4]]="","",Table2614256[[#This Row],[Weight]:[Weight]]-(Table2614256[[#This Row],[Weight]:[Weight]]*((_xlfn.XMATCH(Table2614256[[#This Row],[4]],Table2614256[[#This Row],[1]:[11]],0))-1)/(COUNTA(Table2614256[[#This Row],[1]:[11]])-COUNTBLANK(Table2614256[[#This Row],[1]:[11]])-1)))</f>
        <v>1.862582781456954E-4</v>
      </c>
      <c r="AC46" s="30" cm="1">
        <f t="array" ref="AC46">IF(Table2614256[[#This Row],[5]]="","",Table2614256[[#This Row],[Weight]:[Weight]]-(Table2614256[[#This Row],[Weight]:[Weight]]*((_xlfn.XMATCH(Table2614256[[#This Row],[5]],Table2614256[[#This Row],[1]:[11]],0))-1)/(COUNTA(Table2614256[[#This Row],[1]:[11]])-COUNTBLANK(Table2614256[[#This Row],[1]:[11]])-1)))</f>
        <v>0</v>
      </c>
      <c r="AD46" s="30" t="str" cm="1">
        <f t="array" ref="AD46">IF(Table2614256[[#This Row],[6]]="","",Table2614256[[#This Row],[Weight]:[Weight]]-(Table2614256[[#This Row],[Weight]:[Weight]]*((_xlfn.XMATCH(Table2614256[[#This Row],[6]],Table2614256[[#This Row],[1]:[11]],0))-1)/(COUNTA(Table2614256[[#This Row],[1]:[11]])-COUNTBLANK(Table2614256[[#This Row],[1]:[11]])-1)))</f>
        <v/>
      </c>
      <c r="AE46" s="30" t="str" cm="1">
        <f t="array" ref="AE46">IF(Table2614256[[#This Row],[7]]="","",Table2614256[[#This Row],[Weight]:[Weight]]-(Table2614256[[#This Row],[Weight]:[Weight]]*((_xlfn.XMATCH(Table2614256[[#This Row],[7]],Table2614256[[#This Row],[1]:[11]],0))-1)/(COUNTA(Table2614256[[#This Row],[1]:[11]])-COUNTBLANK(Table2614256[[#This Row],[1]:[11]])-1)))</f>
        <v/>
      </c>
      <c r="AF46" s="30" t="str" cm="1">
        <f t="array" ref="AF46">IF(Table2614256[[#This Row],[8]]="","",Table2614256[[#This Row],[Weight]:[Weight]]-(Table2614256[[#This Row],[Weight]:[Weight]]*((_xlfn.XMATCH(Table2614256[[#This Row],[8]],Table2614256[[#This Row],[1]:[11]],0))-1)/(COUNTA(Table2614256[[#This Row],[1]:[11]])-COUNTBLANK(Table2614256[[#This Row],[1]:[11]])-1)))</f>
        <v/>
      </c>
      <c r="AG46" s="30" t="str" cm="1">
        <f t="array" ref="AG46">IF(Table2614256[[#This Row],[9]]="","",Table2614256[[#This Row],[Weight]:[Weight]]-(Table2614256[[#This Row],[Weight]:[Weight]]*((_xlfn.XMATCH(Table2614256[[#This Row],[9]],Table2614256[[#This Row],[1]:[11]],0))-1)/(COUNTA(Table2614256[[#This Row],[1]:[11]])-COUNTBLANK(Table2614256[[#This Row],[1]:[11]])-1)))</f>
        <v/>
      </c>
      <c r="AH46" s="30" t="str" cm="1">
        <f t="array" ref="AH46">IF(Table2614256[[#This Row],[10]]="","",Table2614256[[#This Row],[Weight]:[Weight]]-(Table2614256[[#This Row],[Weight]:[Weight]]*((_xlfn.XMATCH(Table2614256[[#This Row],[10]],Table2614256[[#This Row],[1]:[11]],0))-1)/(COUNTA(Table2614256[[#This Row],[1]:[11]])-COUNTBLANK(Table2614256[[#This Row],[1]:[11]])-1)))</f>
        <v/>
      </c>
      <c r="AI46" s="30" t="str" cm="1">
        <f t="array" ref="AI46">IF(Table2614256[[#This Row],[11]]="","",Table2614256[[#This Row],[Weight]:[Weight]]-(Table2614256[[#This Row],[Weight]:[Weight]]*((_xlfn.XMATCH(Table2614256[[#This Row],[11]],Table2614256[[#This Row],[1]:[11]],0))-1)/(COUNTA(Table2614256[[#This Row],[1]:[11]])-COUNTBLANK(Table2614256[[#This Row],[1]:[11]])-1)))</f>
        <v/>
      </c>
    </row>
    <row r="47" spans="1:35" ht="120" x14ac:dyDescent="0.2">
      <c r="A47" s="20">
        <v>35</v>
      </c>
      <c r="B47" s="90" t="s">
        <v>378</v>
      </c>
      <c r="C47" s="119" t="s">
        <v>215</v>
      </c>
      <c r="D47" s="153"/>
      <c r="E47" s="153"/>
      <c r="F47" s="121" t="s">
        <v>60</v>
      </c>
      <c r="G47" s="148" cm="1">
        <f t="array" ref="G47">_xlfn.IFS(F47="","",F47="No interest",0,F47="Nice to have",1,F47="Useful",2,F47="Important",3,F47="Very important",4,F47="Critical",5,F47="Show stopper",6)</f>
        <v>6</v>
      </c>
      <c r="H47" s="149">
        <f t="shared" si="2"/>
        <v>7.4503311258278151E-4</v>
      </c>
      <c r="I47" s="150" t="s">
        <v>321</v>
      </c>
      <c r="J47" s="35" t="str" cm="1">
        <f t="array" ref="J47">_xlfn.TEXTJOIN(","&amp;CHAR(10),,TEXT(Table2614256[[#This Row],[12]:[22]],"0,00%"))</f>
        <v>0,00%,
0,00%,
0,00%,
0,00%,
0,00%</v>
      </c>
      <c r="K47" s="26"/>
      <c r="L47" s="27" t="e">
        <f>H47-(H47*((MATCH(Table2614256[[#This Row],[Evaluators Response (SELECT)]],Table2614256[[#This Row],[1]:[11]],0)-1)/(COUNTA(Table2614256[[#This Row],[1]:[11]])-COUNTBLANK(Table2614256[[#This Row],[1]:[11]])-1)))</f>
        <v>#N/A</v>
      </c>
      <c r="M47" s="28"/>
      <c r="N47" s="29" t="str" cm="1">
        <f t="array" ref="N47">IFERROR(INDEX(_xlfn.UNIQUE(TRIM(_xlfn.TEXTSPLIT(Table2614256[[#This Row],[Selection Options]:[Selection Options]],","))),,N$11),"")</f>
        <v>100%: Supported as delivered "out of the box"</v>
      </c>
      <c r="O47" s="29" t="str" cm="1">
        <f t="array" ref="O47">IFERROR(INDEX(_xlfn.UNIQUE(TRIM(_xlfn.TEXTSPLIT(Table2614256[[#This Row],[Selection Options]:[Selection Options]],","))),,O$11),"")</f>
        <v xml:space="preserve">
75%: Supported via modifications (config)</v>
      </c>
      <c r="P47" s="29" t="str" cm="1">
        <f t="array" ref="P47">IFERROR(INDEX(_xlfn.UNIQUE(TRIM(_xlfn.TEXTSPLIT(Table2614256[[#This Row],[Selection Options]:[Selection Options]],","))),,P$11),"")</f>
        <v xml:space="preserve">
50%: Supported via a third party solution</v>
      </c>
      <c r="Q47" s="29" t="str" cm="1">
        <f t="array" ref="Q47">IFERROR(INDEX(_xlfn.UNIQUE(TRIM(_xlfn.TEXTSPLIT(Table2614256[[#This Row],[Selection Options]:[Selection Options]],","))),,Q$11),"")</f>
        <v xml:space="preserve">
25%: Supported via customisation (source code changes)</v>
      </c>
      <c r="R47" s="29" t="str" cm="1">
        <f t="array" ref="R47">IFERROR(INDEX(_xlfn.UNIQUE(TRIM(_xlfn.TEXTSPLIT(Table2614256[[#This Row],[Selection Options]:[Selection Options]],","))),,R$11),"")</f>
        <v xml:space="preserve">
 0%: Not currently supported</v>
      </c>
      <c r="S47" s="29" t="str" cm="1">
        <f t="array" ref="S47">IFERROR(INDEX(_xlfn.UNIQUE(TRIM(_xlfn.TEXTSPLIT(Table2614256[[#This Row],[Selection Options]:[Selection Options]],","))),,S$11),"")</f>
        <v/>
      </c>
      <c r="T47" s="29" t="str" cm="1">
        <f t="array" ref="T47">IFERROR(INDEX(_xlfn.UNIQUE(TRIM(_xlfn.TEXTSPLIT(Table2614256[[#This Row],[Selection Options]:[Selection Options]],","))),,T$11),"")</f>
        <v/>
      </c>
      <c r="U47" s="29" t="str" cm="1">
        <f t="array" ref="U47">IFERROR(INDEX(_xlfn.UNIQUE(TRIM(_xlfn.TEXTSPLIT(Table2614256[[#This Row],[Selection Options]:[Selection Options]],","))),,U$11),"")</f>
        <v/>
      </c>
      <c r="V47" s="29" t="str" cm="1">
        <f t="array" ref="V47">IFERROR(INDEX(_xlfn.UNIQUE(TRIM(_xlfn.TEXTSPLIT(Table2614256[[#This Row],[Selection Options]:[Selection Options]],","))),,V$11),"")</f>
        <v/>
      </c>
      <c r="W47" s="29" t="str" cm="1">
        <f t="array" ref="W47">IFERROR(INDEX(_xlfn.UNIQUE(TRIM(_xlfn.TEXTSPLIT(Table2614256[[#This Row],[Selection Options]:[Selection Options]],","))),,W$11),"")</f>
        <v/>
      </c>
      <c r="X47" s="29" t="str" cm="1">
        <f t="array" ref="X47">IFERROR(INDEX(_xlfn.UNIQUE(TRIM(_xlfn.TEXTSPLIT(Table2614256[[#This Row],[Selection Options]:[Selection Options]],","))),,X$11),"")</f>
        <v/>
      </c>
      <c r="Y47" s="30" cm="1">
        <f t="array" ref="Y47">IF(Table2614256[[#This Row],[1]]="","",Table2614256[[#This Row],[Weight]:[Weight]]-(Table2614256[[#This Row],[Weight]:[Weight]]*((_xlfn.XMATCH(Table2614256[[#This Row],[1]],Table2614256[[#This Row],[1]:[11]],0))-1)/(COUNTA(Table2614256[[#This Row],[1]:[11]])-COUNTBLANK(Table2614256[[#This Row],[1]:[11]])-1)))</f>
        <v>7.4503311258278151E-4</v>
      </c>
      <c r="Z47" s="30" cm="1">
        <f t="array" ref="Z47">IF(Table2614256[[#This Row],[2]]="","",Table2614256[[#This Row],[Weight]:[Weight]]-(Table2614256[[#This Row],[Weight]:[Weight]]*((_xlfn.XMATCH(Table2614256[[#This Row],[2]],Table2614256[[#This Row],[1]:[11]],0))-1)/(COUNTA(Table2614256[[#This Row],[1]:[11]])-COUNTBLANK(Table2614256[[#This Row],[1]:[11]])-1)))</f>
        <v>5.5877483443708611E-4</v>
      </c>
      <c r="AA47" s="30" cm="1">
        <f t="array" ref="AA47">IF(Table2614256[[#This Row],[3]]="","",Table2614256[[#This Row],[Weight]:[Weight]]-(Table2614256[[#This Row],[Weight]:[Weight]]*((_xlfn.XMATCH(Table2614256[[#This Row],[3]],Table2614256[[#This Row],[1]:[11]],0))-1)/(COUNTA(Table2614256[[#This Row],[1]:[11]])-COUNTBLANK(Table2614256[[#This Row],[1]:[11]])-1)))</f>
        <v>3.7251655629139076E-4</v>
      </c>
      <c r="AB47" s="30" cm="1">
        <f t="array" ref="AB47">IF(Table2614256[[#This Row],[4]]="","",Table2614256[[#This Row],[Weight]:[Weight]]-(Table2614256[[#This Row],[Weight]:[Weight]]*((_xlfn.XMATCH(Table2614256[[#This Row],[4]],Table2614256[[#This Row],[1]:[11]],0))-1)/(COUNTA(Table2614256[[#This Row],[1]:[11]])-COUNTBLANK(Table2614256[[#This Row],[1]:[11]])-1)))</f>
        <v>1.862582781456954E-4</v>
      </c>
      <c r="AC47" s="30" cm="1">
        <f t="array" ref="AC47">IF(Table2614256[[#This Row],[5]]="","",Table2614256[[#This Row],[Weight]:[Weight]]-(Table2614256[[#This Row],[Weight]:[Weight]]*((_xlfn.XMATCH(Table2614256[[#This Row],[5]],Table2614256[[#This Row],[1]:[11]],0))-1)/(COUNTA(Table2614256[[#This Row],[1]:[11]])-COUNTBLANK(Table2614256[[#This Row],[1]:[11]])-1)))</f>
        <v>0</v>
      </c>
      <c r="AD47" s="30" t="str" cm="1">
        <f t="array" ref="AD47">IF(Table2614256[[#This Row],[6]]="","",Table2614256[[#This Row],[Weight]:[Weight]]-(Table2614256[[#This Row],[Weight]:[Weight]]*((_xlfn.XMATCH(Table2614256[[#This Row],[6]],Table2614256[[#This Row],[1]:[11]],0))-1)/(COUNTA(Table2614256[[#This Row],[1]:[11]])-COUNTBLANK(Table2614256[[#This Row],[1]:[11]])-1)))</f>
        <v/>
      </c>
      <c r="AE47" s="30" t="str" cm="1">
        <f t="array" ref="AE47">IF(Table2614256[[#This Row],[7]]="","",Table2614256[[#This Row],[Weight]:[Weight]]-(Table2614256[[#This Row],[Weight]:[Weight]]*((_xlfn.XMATCH(Table2614256[[#This Row],[7]],Table2614256[[#This Row],[1]:[11]],0))-1)/(COUNTA(Table2614256[[#This Row],[1]:[11]])-COUNTBLANK(Table2614256[[#This Row],[1]:[11]])-1)))</f>
        <v/>
      </c>
      <c r="AF47" s="30" t="str" cm="1">
        <f t="array" ref="AF47">IF(Table2614256[[#This Row],[8]]="","",Table2614256[[#This Row],[Weight]:[Weight]]-(Table2614256[[#This Row],[Weight]:[Weight]]*((_xlfn.XMATCH(Table2614256[[#This Row],[8]],Table2614256[[#This Row],[1]:[11]],0))-1)/(COUNTA(Table2614256[[#This Row],[1]:[11]])-COUNTBLANK(Table2614256[[#This Row],[1]:[11]])-1)))</f>
        <v/>
      </c>
      <c r="AG47" s="30" t="str" cm="1">
        <f t="array" ref="AG47">IF(Table2614256[[#This Row],[9]]="","",Table2614256[[#This Row],[Weight]:[Weight]]-(Table2614256[[#This Row],[Weight]:[Weight]]*((_xlfn.XMATCH(Table2614256[[#This Row],[9]],Table2614256[[#This Row],[1]:[11]],0))-1)/(COUNTA(Table2614256[[#This Row],[1]:[11]])-COUNTBLANK(Table2614256[[#This Row],[1]:[11]])-1)))</f>
        <v/>
      </c>
      <c r="AH47" s="30" t="str" cm="1">
        <f t="array" ref="AH47">IF(Table2614256[[#This Row],[10]]="","",Table2614256[[#This Row],[Weight]:[Weight]]-(Table2614256[[#This Row],[Weight]:[Weight]]*((_xlfn.XMATCH(Table2614256[[#This Row],[10]],Table2614256[[#This Row],[1]:[11]],0))-1)/(COUNTA(Table2614256[[#This Row],[1]:[11]])-COUNTBLANK(Table2614256[[#This Row],[1]:[11]])-1)))</f>
        <v/>
      </c>
      <c r="AI47" s="30" t="str" cm="1">
        <f t="array" ref="AI47">IF(Table2614256[[#This Row],[11]]="","",Table2614256[[#This Row],[Weight]:[Weight]]-(Table2614256[[#This Row],[Weight]:[Weight]]*((_xlfn.XMATCH(Table2614256[[#This Row],[11]],Table2614256[[#This Row],[1]:[11]],0))-1)/(COUNTA(Table2614256[[#This Row],[1]:[11]])-COUNTBLANK(Table2614256[[#This Row],[1]:[11]])-1)))</f>
        <v/>
      </c>
    </row>
    <row r="48" spans="1:35" ht="120" x14ac:dyDescent="0.2">
      <c r="A48" s="20">
        <v>36</v>
      </c>
      <c r="B48" s="90" t="s">
        <v>379</v>
      </c>
      <c r="C48" s="119" t="s">
        <v>215</v>
      </c>
      <c r="D48" s="153"/>
      <c r="E48" s="153"/>
      <c r="F48" s="121" t="s">
        <v>60</v>
      </c>
      <c r="G48" s="148" cm="1">
        <f t="array" ref="G48">_xlfn.IFS(F48="","",F48="No interest",0,F48="Nice to have",1,F48="Useful",2,F48="Important",3,F48="Very important",4,F48="Critical",5,F48="Show stopper",6)</f>
        <v>6</v>
      </c>
      <c r="H48" s="149">
        <f t="shared" si="2"/>
        <v>7.4503311258278151E-4</v>
      </c>
      <c r="I48" s="150" t="s">
        <v>321</v>
      </c>
      <c r="J48" s="35" t="str" cm="1">
        <f t="array" ref="J48">_xlfn.TEXTJOIN(","&amp;CHAR(10),,TEXT(Table2614256[[#This Row],[12]:[22]],"0,00%"))</f>
        <v>0,00%,
0,00%,
0,00%,
0,00%,
0,00%</v>
      </c>
      <c r="K48" s="26"/>
      <c r="L48" s="27" t="e">
        <f>H48-(H48*((MATCH(Table2614256[[#This Row],[Evaluators Response (SELECT)]],Table2614256[[#This Row],[1]:[11]],0)-1)/(COUNTA(Table2614256[[#This Row],[1]:[11]])-COUNTBLANK(Table2614256[[#This Row],[1]:[11]])-1)))</f>
        <v>#N/A</v>
      </c>
      <c r="M48" s="28"/>
      <c r="N48" s="29" t="str" cm="1">
        <f t="array" ref="N48">IFERROR(INDEX(_xlfn.UNIQUE(TRIM(_xlfn.TEXTSPLIT(Table2614256[[#This Row],[Selection Options]:[Selection Options]],","))),,N$11),"")</f>
        <v>100%: Supported as delivered "out of the box"</v>
      </c>
      <c r="O48" s="29" t="str" cm="1">
        <f t="array" ref="O48">IFERROR(INDEX(_xlfn.UNIQUE(TRIM(_xlfn.TEXTSPLIT(Table2614256[[#This Row],[Selection Options]:[Selection Options]],","))),,O$11),"")</f>
        <v xml:space="preserve">
75%: Supported via modifications (config)</v>
      </c>
      <c r="P48" s="29" t="str" cm="1">
        <f t="array" ref="P48">IFERROR(INDEX(_xlfn.UNIQUE(TRIM(_xlfn.TEXTSPLIT(Table2614256[[#This Row],[Selection Options]:[Selection Options]],","))),,P$11),"")</f>
        <v xml:space="preserve">
50%: Supported via a third party solution</v>
      </c>
      <c r="Q48" s="29" t="str" cm="1">
        <f t="array" ref="Q48">IFERROR(INDEX(_xlfn.UNIQUE(TRIM(_xlfn.TEXTSPLIT(Table2614256[[#This Row],[Selection Options]:[Selection Options]],","))),,Q$11),"")</f>
        <v xml:space="preserve">
25%: Supported via customisation (source code changes)</v>
      </c>
      <c r="R48" s="29" t="str" cm="1">
        <f t="array" ref="R48">IFERROR(INDEX(_xlfn.UNIQUE(TRIM(_xlfn.TEXTSPLIT(Table2614256[[#This Row],[Selection Options]:[Selection Options]],","))),,R$11),"")</f>
        <v xml:space="preserve">
 0%: Not currently supported</v>
      </c>
      <c r="S48" s="29" t="str" cm="1">
        <f t="array" ref="S48">IFERROR(INDEX(_xlfn.UNIQUE(TRIM(_xlfn.TEXTSPLIT(Table2614256[[#This Row],[Selection Options]:[Selection Options]],","))),,S$11),"")</f>
        <v/>
      </c>
      <c r="T48" s="29" t="str" cm="1">
        <f t="array" ref="T48">IFERROR(INDEX(_xlfn.UNIQUE(TRIM(_xlfn.TEXTSPLIT(Table2614256[[#This Row],[Selection Options]:[Selection Options]],","))),,T$11),"")</f>
        <v/>
      </c>
      <c r="U48" s="29" t="str" cm="1">
        <f t="array" ref="U48">IFERROR(INDEX(_xlfn.UNIQUE(TRIM(_xlfn.TEXTSPLIT(Table2614256[[#This Row],[Selection Options]:[Selection Options]],","))),,U$11),"")</f>
        <v/>
      </c>
      <c r="V48" s="29" t="str" cm="1">
        <f t="array" ref="V48">IFERROR(INDEX(_xlfn.UNIQUE(TRIM(_xlfn.TEXTSPLIT(Table2614256[[#This Row],[Selection Options]:[Selection Options]],","))),,V$11),"")</f>
        <v/>
      </c>
      <c r="W48" s="29" t="str" cm="1">
        <f t="array" ref="W48">IFERROR(INDEX(_xlfn.UNIQUE(TRIM(_xlfn.TEXTSPLIT(Table2614256[[#This Row],[Selection Options]:[Selection Options]],","))),,W$11),"")</f>
        <v/>
      </c>
      <c r="X48" s="29" t="str" cm="1">
        <f t="array" ref="X48">IFERROR(INDEX(_xlfn.UNIQUE(TRIM(_xlfn.TEXTSPLIT(Table2614256[[#This Row],[Selection Options]:[Selection Options]],","))),,X$11),"")</f>
        <v/>
      </c>
      <c r="Y48" s="30" cm="1">
        <f t="array" ref="Y48">IF(Table2614256[[#This Row],[1]]="","",Table2614256[[#This Row],[Weight]:[Weight]]-(Table2614256[[#This Row],[Weight]:[Weight]]*((_xlfn.XMATCH(Table2614256[[#This Row],[1]],Table2614256[[#This Row],[1]:[11]],0))-1)/(COUNTA(Table2614256[[#This Row],[1]:[11]])-COUNTBLANK(Table2614256[[#This Row],[1]:[11]])-1)))</f>
        <v>7.4503311258278151E-4</v>
      </c>
      <c r="Z48" s="30" cm="1">
        <f t="array" ref="Z48">IF(Table2614256[[#This Row],[2]]="","",Table2614256[[#This Row],[Weight]:[Weight]]-(Table2614256[[#This Row],[Weight]:[Weight]]*((_xlfn.XMATCH(Table2614256[[#This Row],[2]],Table2614256[[#This Row],[1]:[11]],0))-1)/(COUNTA(Table2614256[[#This Row],[1]:[11]])-COUNTBLANK(Table2614256[[#This Row],[1]:[11]])-1)))</f>
        <v>5.5877483443708611E-4</v>
      </c>
      <c r="AA48" s="30" cm="1">
        <f t="array" ref="AA48">IF(Table2614256[[#This Row],[3]]="","",Table2614256[[#This Row],[Weight]:[Weight]]-(Table2614256[[#This Row],[Weight]:[Weight]]*((_xlfn.XMATCH(Table2614256[[#This Row],[3]],Table2614256[[#This Row],[1]:[11]],0))-1)/(COUNTA(Table2614256[[#This Row],[1]:[11]])-COUNTBLANK(Table2614256[[#This Row],[1]:[11]])-1)))</f>
        <v>3.7251655629139076E-4</v>
      </c>
      <c r="AB48" s="30" cm="1">
        <f t="array" ref="AB48">IF(Table2614256[[#This Row],[4]]="","",Table2614256[[#This Row],[Weight]:[Weight]]-(Table2614256[[#This Row],[Weight]:[Weight]]*((_xlfn.XMATCH(Table2614256[[#This Row],[4]],Table2614256[[#This Row],[1]:[11]],0))-1)/(COUNTA(Table2614256[[#This Row],[1]:[11]])-COUNTBLANK(Table2614256[[#This Row],[1]:[11]])-1)))</f>
        <v>1.862582781456954E-4</v>
      </c>
      <c r="AC48" s="30" cm="1">
        <f t="array" ref="AC48">IF(Table2614256[[#This Row],[5]]="","",Table2614256[[#This Row],[Weight]:[Weight]]-(Table2614256[[#This Row],[Weight]:[Weight]]*((_xlfn.XMATCH(Table2614256[[#This Row],[5]],Table2614256[[#This Row],[1]:[11]],0))-1)/(COUNTA(Table2614256[[#This Row],[1]:[11]])-COUNTBLANK(Table2614256[[#This Row],[1]:[11]])-1)))</f>
        <v>0</v>
      </c>
      <c r="AD48" s="30" t="str" cm="1">
        <f t="array" ref="AD48">IF(Table2614256[[#This Row],[6]]="","",Table2614256[[#This Row],[Weight]:[Weight]]-(Table2614256[[#This Row],[Weight]:[Weight]]*((_xlfn.XMATCH(Table2614256[[#This Row],[6]],Table2614256[[#This Row],[1]:[11]],0))-1)/(COUNTA(Table2614256[[#This Row],[1]:[11]])-COUNTBLANK(Table2614256[[#This Row],[1]:[11]])-1)))</f>
        <v/>
      </c>
      <c r="AE48" s="30" t="str" cm="1">
        <f t="array" ref="AE48">IF(Table2614256[[#This Row],[7]]="","",Table2614256[[#This Row],[Weight]:[Weight]]-(Table2614256[[#This Row],[Weight]:[Weight]]*((_xlfn.XMATCH(Table2614256[[#This Row],[7]],Table2614256[[#This Row],[1]:[11]],0))-1)/(COUNTA(Table2614256[[#This Row],[1]:[11]])-COUNTBLANK(Table2614256[[#This Row],[1]:[11]])-1)))</f>
        <v/>
      </c>
      <c r="AF48" s="30" t="str" cm="1">
        <f t="array" ref="AF48">IF(Table2614256[[#This Row],[8]]="","",Table2614256[[#This Row],[Weight]:[Weight]]-(Table2614256[[#This Row],[Weight]:[Weight]]*((_xlfn.XMATCH(Table2614256[[#This Row],[8]],Table2614256[[#This Row],[1]:[11]],0))-1)/(COUNTA(Table2614256[[#This Row],[1]:[11]])-COUNTBLANK(Table2614256[[#This Row],[1]:[11]])-1)))</f>
        <v/>
      </c>
      <c r="AG48" s="30" t="str" cm="1">
        <f t="array" ref="AG48">IF(Table2614256[[#This Row],[9]]="","",Table2614256[[#This Row],[Weight]:[Weight]]-(Table2614256[[#This Row],[Weight]:[Weight]]*((_xlfn.XMATCH(Table2614256[[#This Row],[9]],Table2614256[[#This Row],[1]:[11]],0))-1)/(COUNTA(Table2614256[[#This Row],[1]:[11]])-COUNTBLANK(Table2614256[[#This Row],[1]:[11]])-1)))</f>
        <v/>
      </c>
      <c r="AH48" s="30" t="str" cm="1">
        <f t="array" ref="AH48">IF(Table2614256[[#This Row],[10]]="","",Table2614256[[#This Row],[Weight]:[Weight]]-(Table2614256[[#This Row],[Weight]:[Weight]]*((_xlfn.XMATCH(Table2614256[[#This Row],[10]],Table2614256[[#This Row],[1]:[11]],0))-1)/(COUNTA(Table2614256[[#This Row],[1]:[11]])-COUNTBLANK(Table2614256[[#This Row],[1]:[11]])-1)))</f>
        <v/>
      </c>
      <c r="AI48" s="30" t="str" cm="1">
        <f t="array" ref="AI48">IF(Table2614256[[#This Row],[11]]="","",Table2614256[[#This Row],[Weight]:[Weight]]-(Table2614256[[#This Row],[Weight]:[Weight]]*((_xlfn.XMATCH(Table2614256[[#This Row],[11]],Table2614256[[#This Row],[1]:[11]],0))-1)/(COUNTA(Table2614256[[#This Row],[1]:[11]])-COUNTBLANK(Table2614256[[#This Row],[1]:[11]])-1)))</f>
        <v/>
      </c>
    </row>
    <row r="49" spans="1:35" ht="120" x14ac:dyDescent="0.2">
      <c r="A49" s="20">
        <v>37</v>
      </c>
      <c r="B49" s="90" t="s">
        <v>380</v>
      </c>
      <c r="C49" s="119" t="s">
        <v>215</v>
      </c>
      <c r="D49" s="153"/>
      <c r="E49" s="153"/>
      <c r="F49" s="121" t="s">
        <v>60</v>
      </c>
      <c r="G49" s="148" cm="1">
        <f t="array" ref="G49">_xlfn.IFS(F49="","",F49="No interest",0,F49="Nice to have",1,F49="Useful",2,F49="Important",3,F49="Very important",4,F49="Critical",5,F49="Show stopper",6)</f>
        <v>6</v>
      </c>
      <c r="H49" s="149">
        <f t="shared" si="2"/>
        <v>7.4503311258278151E-4</v>
      </c>
      <c r="I49" s="150" t="s">
        <v>321</v>
      </c>
      <c r="J49" s="35" t="str" cm="1">
        <f t="array" ref="J49">_xlfn.TEXTJOIN(","&amp;CHAR(10),,TEXT(Table2614256[[#This Row],[12]:[22]],"0,00%"))</f>
        <v>0,00%,
0,00%,
0,00%,
0,00%,
0,00%</v>
      </c>
      <c r="K49" s="26"/>
      <c r="L49" s="27" t="e">
        <f>H49-(H49*((MATCH(Table2614256[[#This Row],[Evaluators Response (SELECT)]],Table2614256[[#This Row],[1]:[11]],0)-1)/(COUNTA(Table2614256[[#This Row],[1]:[11]])-COUNTBLANK(Table2614256[[#This Row],[1]:[11]])-1)))</f>
        <v>#N/A</v>
      </c>
      <c r="M49" s="28"/>
      <c r="N49" s="29" t="str" cm="1">
        <f t="array" ref="N49">IFERROR(INDEX(_xlfn.UNIQUE(TRIM(_xlfn.TEXTSPLIT(Table2614256[[#This Row],[Selection Options]:[Selection Options]],","))),,N$11),"")</f>
        <v>100%: Supported as delivered "out of the box"</v>
      </c>
      <c r="O49" s="29" t="str" cm="1">
        <f t="array" ref="O49">IFERROR(INDEX(_xlfn.UNIQUE(TRIM(_xlfn.TEXTSPLIT(Table2614256[[#This Row],[Selection Options]:[Selection Options]],","))),,O$11),"")</f>
        <v xml:space="preserve">
75%: Supported via modifications (config)</v>
      </c>
      <c r="P49" s="29" t="str" cm="1">
        <f t="array" ref="P49">IFERROR(INDEX(_xlfn.UNIQUE(TRIM(_xlfn.TEXTSPLIT(Table2614256[[#This Row],[Selection Options]:[Selection Options]],","))),,P$11),"")</f>
        <v xml:space="preserve">
50%: Supported via a third party solution</v>
      </c>
      <c r="Q49" s="29" t="str" cm="1">
        <f t="array" ref="Q49">IFERROR(INDEX(_xlfn.UNIQUE(TRIM(_xlfn.TEXTSPLIT(Table2614256[[#This Row],[Selection Options]:[Selection Options]],","))),,Q$11),"")</f>
        <v xml:space="preserve">
25%: Supported via customisation (source code changes)</v>
      </c>
      <c r="R49" s="29" t="str" cm="1">
        <f t="array" ref="R49">IFERROR(INDEX(_xlfn.UNIQUE(TRIM(_xlfn.TEXTSPLIT(Table2614256[[#This Row],[Selection Options]:[Selection Options]],","))),,R$11),"")</f>
        <v xml:space="preserve">
 0%: Not currently supported</v>
      </c>
      <c r="S49" s="29" t="str" cm="1">
        <f t="array" ref="S49">IFERROR(INDEX(_xlfn.UNIQUE(TRIM(_xlfn.TEXTSPLIT(Table2614256[[#This Row],[Selection Options]:[Selection Options]],","))),,S$11),"")</f>
        <v/>
      </c>
      <c r="T49" s="29" t="str" cm="1">
        <f t="array" ref="T49">IFERROR(INDEX(_xlfn.UNIQUE(TRIM(_xlfn.TEXTSPLIT(Table2614256[[#This Row],[Selection Options]:[Selection Options]],","))),,T$11),"")</f>
        <v/>
      </c>
      <c r="U49" s="29" t="str" cm="1">
        <f t="array" ref="U49">IFERROR(INDEX(_xlfn.UNIQUE(TRIM(_xlfn.TEXTSPLIT(Table2614256[[#This Row],[Selection Options]:[Selection Options]],","))),,U$11),"")</f>
        <v/>
      </c>
      <c r="V49" s="29" t="str" cm="1">
        <f t="array" ref="V49">IFERROR(INDEX(_xlfn.UNIQUE(TRIM(_xlfn.TEXTSPLIT(Table2614256[[#This Row],[Selection Options]:[Selection Options]],","))),,V$11),"")</f>
        <v/>
      </c>
      <c r="W49" s="29" t="str" cm="1">
        <f t="array" ref="W49">IFERROR(INDEX(_xlfn.UNIQUE(TRIM(_xlfn.TEXTSPLIT(Table2614256[[#This Row],[Selection Options]:[Selection Options]],","))),,W$11),"")</f>
        <v/>
      </c>
      <c r="X49" s="29" t="str" cm="1">
        <f t="array" ref="X49">IFERROR(INDEX(_xlfn.UNIQUE(TRIM(_xlfn.TEXTSPLIT(Table2614256[[#This Row],[Selection Options]:[Selection Options]],","))),,X$11),"")</f>
        <v/>
      </c>
      <c r="Y49" s="30" cm="1">
        <f t="array" ref="Y49">IF(Table2614256[[#This Row],[1]]="","",Table2614256[[#This Row],[Weight]:[Weight]]-(Table2614256[[#This Row],[Weight]:[Weight]]*((_xlfn.XMATCH(Table2614256[[#This Row],[1]],Table2614256[[#This Row],[1]:[11]],0))-1)/(COUNTA(Table2614256[[#This Row],[1]:[11]])-COUNTBLANK(Table2614256[[#This Row],[1]:[11]])-1)))</f>
        <v>7.4503311258278151E-4</v>
      </c>
      <c r="Z49" s="30" cm="1">
        <f t="array" ref="Z49">IF(Table2614256[[#This Row],[2]]="","",Table2614256[[#This Row],[Weight]:[Weight]]-(Table2614256[[#This Row],[Weight]:[Weight]]*((_xlfn.XMATCH(Table2614256[[#This Row],[2]],Table2614256[[#This Row],[1]:[11]],0))-1)/(COUNTA(Table2614256[[#This Row],[1]:[11]])-COUNTBLANK(Table2614256[[#This Row],[1]:[11]])-1)))</f>
        <v>5.5877483443708611E-4</v>
      </c>
      <c r="AA49" s="30" cm="1">
        <f t="array" ref="AA49">IF(Table2614256[[#This Row],[3]]="","",Table2614256[[#This Row],[Weight]:[Weight]]-(Table2614256[[#This Row],[Weight]:[Weight]]*((_xlfn.XMATCH(Table2614256[[#This Row],[3]],Table2614256[[#This Row],[1]:[11]],0))-1)/(COUNTA(Table2614256[[#This Row],[1]:[11]])-COUNTBLANK(Table2614256[[#This Row],[1]:[11]])-1)))</f>
        <v>3.7251655629139076E-4</v>
      </c>
      <c r="AB49" s="30" cm="1">
        <f t="array" ref="AB49">IF(Table2614256[[#This Row],[4]]="","",Table2614256[[#This Row],[Weight]:[Weight]]-(Table2614256[[#This Row],[Weight]:[Weight]]*((_xlfn.XMATCH(Table2614256[[#This Row],[4]],Table2614256[[#This Row],[1]:[11]],0))-1)/(COUNTA(Table2614256[[#This Row],[1]:[11]])-COUNTBLANK(Table2614256[[#This Row],[1]:[11]])-1)))</f>
        <v>1.862582781456954E-4</v>
      </c>
      <c r="AC49" s="30" cm="1">
        <f t="array" ref="AC49">IF(Table2614256[[#This Row],[5]]="","",Table2614256[[#This Row],[Weight]:[Weight]]-(Table2614256[[#This Row],[Weight]:[Weight]]*((_xlfn.XMATCH(Table2614256[[#This Row],[5]],Table2614256[[#This Row],[1]:[11]],0))-1)/(COUNTA(Table2614256[[#This Row],[1]:[11]])-COUNTBLANK(Table2614256[[#This Row],[1]:[11]])-1)))</f>
        <v>0</v>
      </c>
      <c r="AD49" s="30" t="str" cm="1">
        <f t="array" ref="AD49">IF(Table2614256[[#This Row],[6]]="","",Table2614256[[#This Row],[Weight]:[Weight]]-(Table2614256[[#This Row],[Weight]:[Weight]]*((_xlfn.XMATCH(Table2614256[[#This Row],[6]],Table2614256[[#This Row],[1]:[11]],0))-1)/(COUNTA(Table2614256[[#This Row],[1]:[11]])-COUNTBLANK(Table2614256[[#This Row],[1]:[11]])-1)))</f>
        <v/>
      </c>
      <c r="AE49" s="30" t="str" cm="1">
        <f t="array" ref="AE49">IF(Table2614256[[#This Row],[7]]="","",Table2614256[[#This Row],[Weight]:[Weight]]-(Table2614256[[#This Row],[Weight]:[Weight]]*((_xlfn.XMATCH(Table2614256[[#This Row],[7]],Table2614256[[#This Row],[1]:[11]],0))-1)/(COUNTA(Table2614256[[#This Row],[1]:[11]])-COUNTBLANK(Table2614256[[#This Row],[1]:[11]])-1)))</f>
        <v/>
      </c>
      <c r="AF49" s="30" t="str" cm="1">
        <f t="array" ref="AF49">IF(Table2614256[[#This Row],[8]]="","",Table2614256[[#This Row],[Weight]:[Weight]]-(Table2614256[[#This Row],[Weight]:[Weight]]*((_xlfn.XMATCH(Table2614256[[#This Row],[8]],Table2614256[[#This Row],[1]:[11]],0))-1)/(COUNTA(Table2614256[[#This Row],[1]:[11]])-COUNTBLANK(Table2614256[[#This Row],[1]:[11]])-1)))</f>
        <v/>
      </c>
      <c r="AG49" s="30" t="str" cm="1">
        <f t="array" ref="AG49">IF(Table2614256[[#This Row],[9]]="","",Table2614256[[#This Row],[Weight]:[Weight]]-(Table2614256[[#This Row],[Weight]:[Weight]]*((_xlfn.XMATCH(Table2614256[[#This Row],[9]],Table2614256[[#This Row],[1]:[11]],0))-1)/(COUNTA(Table2614256[[#This Row],[1]:[11]])-COUNTBLANK(Table2614256[[#This Row],[1]:[11]])-1)))</f>
        <v/>
      </c>
      <c r="AH49" s="30" t="str" cm="1">
        <f t="array" ref="AH49">IF(Table2614256[[#This Row],[10]]="","",Table2614256[[#This Row],[Weight]:[Weight]]-(Table2614256[[#This Row],[Weight]:[Weight]]*((_xlfn.XMATCH(Table2614256[[#This Row],[10]],Table2614256[[#This Row],[1]:[11]],0))-1)/(COUNTA(Table2614256[[#This Row],[1]:[11]])-COUNTBLANK(Table2614256[[#This Row],[1]:[11]])-1)))</f>
        <v/>
      </c>
      <c r="AI49" s="30" t="str" cm="1">
        <f t="array" ref="AI49">IF(Table2614256[[#This Row],[11]]="","",Table2614256[[#This Row],[Weight]:[Weight]]-(Table2614256[[#This Row],[Weight]:[Weight]]*((_xlfn.XMATCH(Table2614256[[#This Row],[11]],Table2614256[[#This Row],[1]:[11]],0))-1)/(COUNTA(Table2614256[[#This Row],[1]:[11]])-COUNTBLANK(Table2614256[[#This Row],[1]:[11]])-1)))</f>
        <v/>
      </c>
    </row>
    <row r="50" spans="1:35" ht="120" x14ac:dyDescent="0.2">
      <c r="A50" s="20">
        <v>38</v>
      </c>
      <c r="B50" s="90" t="s">
        <v>381</v>
      </c>
      <c r="C50" s="119" t="s">
        <v>215</v>
      </c>
      <c r="D50" s="153"/>
      <c r="E50" s="153"/>
      <c r="F50" s="121" t="s">
        <v>60</v>
      </c>
      <c r="G50" s="148" cm="1">
        <f t="array" ref="G50">_xlfn.IFS(F50="","",F50="No interest",0,F50="Nice to have",1,F50="Useful",2,F50="Important",3,F50="Very important",4,F50="Critical",5,F50="Show stopper",6)</f>
        <v>6</v>
      </c>
      <c r="H50" s="149">
        <f t="shared" si="2"/>
        <v>7.4503311258278151E-4</v>
      </c>
      <c r="I50" s="150" t="s">
        <v>321</v>
      </c>
      <c r="J50" s="35" t="str" cm="1">
        <f t="array" ref="J50">_xlfn.TEXTJOIN(","&amp;CHAR(10),,TEXT(Table2614256[[#This Row],[12]:[22]],"0,00%"))</f>
        <v>0,00%,
0,00%,
0,00%,
0,00%,
0,00%</v>
      </c>
      <c r="K50" s="26"/>
      <c r="L50" s="27" t="e">
        <f>H50-(H50*((MATCH(Table2614256[[#This Row],[Evaluators Response (SELECT)]],Table2614256[[#This Row],[1]:[11]],0)-1)/(COUNTA(Table2614256[[#This Row],[1]:[11]])-COUNTBLANK(Table2614256[[#This Row],[1]:[11]])-1)))</f>
        <v>#N/A</v>
      </c>
      <c r="M50" s="28"/>
      <c r="N50" s="29" t="str" cm="1">
        <f t="array" ref="N50">IFERROR(INDEX(_xlfn.UNIQUE(TRIM(_xlfn.TEXTSPLIT(Table2614256[[#This Row],[Selection Options]:[Selection Options]],","))),,N$11),"")</f>
        <v>100%: Supported as delivered "out of the box"</v>
      </c>
      <c r="O50" s="29" t="str" cm="1">
        <f t="array" ref="O50">IFERROR(INDEX(_xlfn.UNIQUE(TRIM(_xlfn.TEXTSPLIT(Table2614256[[#This Row],[Selection Options]:[Selection Options]],","))),,O$11),"")</f>
        <v xml:space="preserve">
75%: Supported via modifications (config)</v>
      </c>
      <c r="P50" s="29" t="str" cm="1">
        <f t="array" ref="P50">IFERROR(INDEX(_xlfn.UNIQUE(TRIM(_xlfn.TEXTSPLIT(Table2614256[[#This Row],[Selection Options]:[Selection Options]],","))),,P$11),"")</f>
        <v xml:space="preserve">
50%: Supported via a third party solution</v>
      </c>
      <c r="Q50" s="29" t="str" cm="1">
        <f t="array" ref="Q50">IFERROR(INDEX(_xlfn.UNIQUE(TRIM(_xlfn.TEXTSPLIT(Table2614256[[#This Row],[Selection Options]:[Selection Options]],","))),,Q$11),"")</f>
        <v xml:space="preserve">
25%: Supported via customisation (source code changes)</v>
      </c>
      <c r="R50" s="29" t="str" cm="1">
        <f t="array" ref="R50">IFERROR(INDEX(_xlfn.UNIQUE(TRIM(_xlfn.TEXTSPLIT(Table2614256[[#This Row],[Selection Options]:[Selection Options]],","))),,R$11),"")</f>
        <v xml:space="preserve">
 0%: Not currently supported</v>
      </c>
      <c r="S50" s="29" t="str" cm="1">
        <f t="array" ref="S50">IFERROR(INDEX(_xlfn.UNIQUE(TRIM(_xlfn.TEXTSPLIT(Table2614256[[#This Row],[Selection Options]:[Selection Options]],","))),,S$11),"")</f>
        <v/>
      </c>
      <c r="T50" s="29" t="str" cm="1">
        <f t="array" ref="T50">IFERROR(INDEX(_xlfn.UNIQUE(TRIM(_xlfn.TEXTSPLIT(Table2614256[[#This Row],[Selection Options]:[Selection Options]],","))),,T$11),"")</f>
        <v/>
      </c>
      <c r="U50" s="29" t="str" cm="1">
        <f t="array" ref="U50">IFERROR(INDEX(_xlfn.UNIQUE(TRIM(_xlfn.TEXTSPLIT(Table2614256[[#This Row],[Selection Options]:[Selection Options]],","))),,U$11),"")</f>
        <v/>
      </c>
      <c r="V50" s="29" t="str" cm="1">
        <f t="array" ref="V50">IFERROR(INDEX(_xlfn.UNIQUE(TRIM(_xlfn.TEXTSPLIT(Table2614256[[#This Row],[Selection Options]:[Selection Options]],","))),,V$11),"")</f>
        <v/>
      </c>
      <c r="W50" s="29" t="str" cm="1">
        <f t="array" ref="W50">IFERROR(INDEX(_xlfn.UNIQUE(TRIM(_xlfn.TEXTSPLIT(Table2614256[[#This Row],[Selection Options]:[Selection Options]],","))),,W$11),"")</f>
        <v/>
      </c>
      <c r="X50" s="29" t="str" cm="1">
        <f t="array" ref="X50">IFERROR(INDEX(_xlfn.UNIQUE(TRIM(_xlfn.TEXTSPLIT(Table2614256[[#This Row],[Selection Options]:[Selection Options]],","))),,X$11),"")</f>
        <v/>
      </c>
      <c r="Y50" s="30" cm="1">
        <f t="array" ref="Y50">IF(Table2614256[[#This Row],[1]]="","",Table2614256[[#This Row],[Weight]:[Weight]]-(Table2614256[[#This Row],[Weight]:[Weight]]*((_xlfn.XMATCH(Table2614256[[#This Row],[1]],Table2614256[[#This Row],[1]:[11]],0))-1)/(COUNTA(Table2614256[[#This Row],[1]:[11]])-COUNTBLANK(Table2614256[[#This Row],[1]:[11]])-1)))</f>
        <v>7.4503311258278151E-4</v>
      </c>
      <c r="Z50" s="30" cm="1">
        <f t="array" ref="Z50">IF(Table2614256[[#This Row],[2]]="","",Table2614256[[#This Row],[Weight]:[Weight]]-(Table2614256[[#This Row],[Weight]:[Weight]]*((_xlfn.XMATCH(Table2614256[[#This Row],[2]],Table2614256[[#This Row],[1]:[11]],0))-1)/(COUNTA(Table2614256[[#This Row],[1]:[11]])-COUNTBLANK(Table2614256[[#This Row],[1]:[11]])-1)))</f>
        <v>5.5877483443708611E-4</v>
      </c>
      <c r="AA50" s="30" cm="1">
        <f t="array" ref="AA50">IF(Table2614256[[#This Row],[3]]="","",Table2614256[[#This Row],[Weight]:[Weight]]-(Table2614256[[#This Row],[Weight]:[Weight]]*((_xlfn.XMATCH(Table2614256[[#This Row],[3]],Table2614256[[#This Row],[1]:[11]],0))-1)/(COUNTA(Table2614256[[#This Row],[1]:[11]])-COUNTBLANK(Table2614256[[#This Row],[1]:[11]])-1)))</f>
        <v>3.7251655629139076E-4</v>
      </c>
      <c r="AB50" s="30" cm="1">
        <f t="array" ref="AB50">IF(Table2614256[[#This Row],[4]]="","",Table2614256[[#This Row],[Weight]:[Weight]]-(Table2614256[[#This Row],[Weight]:[Weight]]*((_xlfn.XMATCH(Table2614256[[#This Row],[4]],Table2614256[[#This Row],[1]:[11]],0))-1)/(COUNTA(Table2614256[[#This Row],[1]:[11]])-COUNTBLANK(Table2614256[[#This Row],[1]:[11]])-1)))</f>
        <v>1.862582781456954E-4</v>
      </c>
      <c r="AC50" s="30" cm="1">
        <f t="array" ref="AC50">IF(Table2614256[[#This Row],[5]]="","",Table2614256[[#This Row],[Weight]:[Weight]]-(Table2614256[[#This Row],[Weight]:[Weight]]*((_xlfn.XMATCH(Table2614256[[#This Row],[5]],Table2614256[[#This Row],[1]:[11]],0))-1)/(COUNTA(Table2614256[[#This Row],[1]:[11]])-COUNTBLANK(Table2614256[[#This Row],[1]:[11]])-1)))</f>
        <v>0</v>
      </c>
      <c r="AD50" s="30" t="str" cm="1">
        <f t="array" ref="AD50">IF(Table2614256[[#This Row],[6]]="","",Table2614256[[#This Row],[Weight]:[Weight]]-(Table2614256[[#This Row],[Weight]:[Weight]]*((_xlfn.XMATCH(Table2614256[[#This Row],[6]],Table2614256[[#This Row],[1]:[11]],0))-1)/(COUNTA(Table2614256[[#This Row],[1]:[11]])-COUNTBLANK(Table2614256[[#This Row],[1]:[11]])-1)))</f>
        <v/>
      </c>
      <c r="AE50" s="30" t="str" cm="1">
        <f t="array" ref="AE50">IF(Table2614256[[#This Row],[7]]="","",Table2614256[[#This Row],[Weight]:[Weight]]-(Table2614256[[#This Row],[Weight]:[Weight]]*((_xlfn.XMATCH(Table2614256[[#This Row],[7]],Table2614256[[#This Row],[1]:[11]],0))-1)/(COUNTA(Table2614256[[#This Row],[1]:[11]])-COUNTBLANK(Table2614256[[#This Row],[1]:[11]])-1)))</f>
        <v/>
      </c>
      <c r="AF50" s="30" t="str" cm="1">
        <f t="array" ref="AF50">IF(Table2614256[[#This Row],[8]]="","",Table2614256[[#This Row],[Weight]:[Weight]]-(Table2614256[[#This Row],[Weight]:[Weight]]*((_xlfn.XMATCH(Table2614256[[#This Row],[8]],Table2614256[[#This Row],[1]:[11]],0))-1)/(COUNTA(Table2614256[[#This Row],[1]:[11]])-COUNTBLANK(Table2614256[[#This Row],[1]:[11]])-1)))</f>
        <v/>
      </c>
      <c r="AG50" s="30" t="str" cm="1">
        <f t="array" ref="AG50">IF(Table2614256[[#This Row],[9]]="","",Table2614256[[#This Row],[Weight]:[Weight]]-(Table2614256[[#This Row],[Weight]:[Weight]]*((_xlfn.XMATCH(Table2614256[[#This Row],[9]],Table2614256[[#This Row],[1]:[11]],0))-1)/(COUNTA(Table2614256[[#This Row],[1]:[11]])-COUNTBLANK(Table2614256[[#This Row],[1]:[11]])-1)))</f>
        <v/>
      </c>
      <c r="AH50" s="30" t="str" cm="1">
        <f t="array" ref="AH50">IF(Table2614256[[#This Row],[10]]="","",Table2614256[[#This Row],[Weight]:[Weight]]-(Table2614256[[#This Row],[Weight]:[Weight]]*((_xlfn.XMATCH(Table2614256[[#This Row],[10]],Table2614256[[#This Row],[1]:[11]],0))-1)/(COUNTA(Table2614256[[#This Row],[1]:[11]])-COUNTBLANK(Table2614256[[#This Row],[1]:[11]])-1)))</f>
        <v/>
      </c>
      <c r="AI50" s="30" t="str" cm="1">
        <f t="array" ref="AI50">IF(Table2614256[[#This Row],[11]]="","",Table2614256[[#This Row],[Weight]:[Weight]]-(Table2614256[[#This Row],[Weight]:[Weight]]*((_xlfn.XMATCH(Table2614256[[#This Row],[11]],Table2614256[[#This Row],[1]:[11]],0))-1)/(COUNTA(Table2614256[[#This Row],[1]:[11]])-COUNTBLANK(Table2614256[[#This Row],[1]:[11]])-1)))</f>
        <v/>
      </c>
    </row>
    <row r="51" spans="1:35" ht="120" x14ac:dyDescent="0.2">
      <c r="A51" s="20">
        <v>39</v>
      </c>
      <c r="B51" s="90" t="s">
        <v>382</v>
      </c>
      <c r="C51" s="119" t="s">
        <v>215</v>
      </c>
      <c r="D51" s="153"/>
      <c r="E51" s="153"/>
      <c r="F51" s="121" t="s">
        <v>60</v>
      </c>
      <c r="G51" s="148" cm="1">
        <f t="array" ref="G51">_xlfn.IFS(F51="","",F51="No interest",0,F51="Nice to have",1,F51="Useful",2,F51="Important",3,F51="Very important",4,F51="Critical",5,F51="Show stopper",6)</f>
        <v>6</v>
      </c>
      <c r="H51" s="149">
        <f t="shared" si="2"/>
        <v>7.4503311258278151E-4</v>
      </c>
      <c r="I51" s="150" t="s">
        <v>321</v>
      </c>
      <c r="J51" s="35" t="str" cm="1">
        <f t="array" ref="J51">_xlfn.TEXTJOIN(","&amp;CHAR(10),,TEXT(Table2614256[[#This Row],[12]:[22]],"0,00%"))</f>
        <v>0,00%,
0,00%,
0,00%,
0,00%,
0,00%</v>
      </c>
      <c r="K51" s="26"/>
      <c r="L51" s="27" t="e">
        <f>H51-(H51*((MATCH(Table2614256[[#This Row],[Evaluators Response (SELECT)]],Table2614256[[#This Row],[1]:[11]],0)-1)/(COUNTA(Table2614256[[#This Row],[1]:[11]])-COUNTBLANK(Table2614256[[#This Row],[1]:[11]])-1)))</f>
        <v>#N/A</v>
      </c>
      <c r="M51" s="28"/>
      <c r="N51" s="29" t="str" cm="1">
        <f t="array" ref="N51">IFERROR(INDEX(_xlfn.UNIQUE(TRIM(_xlfn.TEXTSPLIT(Table2614256[[#This Row],[Selection Options]:[Selection Options]],","))),,N$11),"")</f>
        <v>100%: Supported as delivered "out of the box"</v>
      </c>
      <c r="O51" s="29" t="str" cm="1">
        <f t="array" ref="O51">IFERROR(INDEX(_xlfn.UNIQUE(TRIM(_xlfn.TEXTSPLIT(Table2614256[[#This Row],[Selection Options]:[Selection Options]],","))),,O$11),"")</f>
        <v xml:space="preserve">
75%: Supported via modifications (config)</v>
      </c>
      <c r="P51" s="29" t="str" cm="1">
        <f t="array" ref="P51">IFERROR(INDEX(_xlfn.UNIQUE(TRIM(_xlfn.TEXTSPLIT(Table2614256[[#This Row],[Selection Options]:[Selection Options]],","))),,P$11),"")</f>
        <v xml:space="preserve">
50%: Supported via a third party solution</v>
      </c>
      <c r="Q51" s="29" t="str" cm="1">
        <f t="array" ref="Q51">IFERROR(INDEX(_xlfn.UNIQUE(TRIM(_xlfn.TEXTSPLIT(Table2614256[[#This Row],[Selection Options]:[Selection Options]],","))),,Q$11),"")</f>
        <v xml:space="preserve">
25%: Supported via customisation (source code changes)</v>
      </c>
      <c r="R51" s="29" t="str" cm="1">
        <f t="array" ref="R51">IFERROR(INDEX(_xlfn.UNIQUE(TRIM(_xlfn.TEXTSPLIT(Table2614256[[#This Row],[Selection Options]:[Selection Options]],","))),,R$11),"")</f>
        <v xml:space="preserve">
 0%: Not currently supported</v>
      </c>
      <c r="S51" s="29" t="str" cm="1">
        <f t="array" ref="S51">IFERROR(INDEX(_xlfn.UNIQUE(TRIM(_xlfn.TEXTSPLIT(Table2614256[[#This Row],[Selection Options]:[Selection Options]],","))),,S$11),"")</f>
        <v/>
      </c>
      <c r="T51" s="29" t="str" cm="1">
        <f t="array" ref="T51">IFERROR(INDEX(_xlfn.UNIQUE(TRIM(_xlfn.TEXTSPLIT(Table2614256[[#This Row],[Selection Options]:[Selection Options]],","))),,T$11),"")</f>
        <v/>
      </c>
      <c r="U51" s="29" t="str" cm="1">
        <f t="array" ref="U51">IFERROR(INDEX(_xlfn.UNIQUE(TRIM(_xlfn.TEXTSPLIT(Table2614256[[#This Row],[Selection Options]:[Selection Options]],","))),,U$11),"")</f>
        <v/>
      </c>
      <c r="V51" s="29" t="str" cm="1">
        <f t="array" ref="V51">IFERROR(INDEX(_xlfn.UNIQUE(TRIM(_xlfn.TEXTSPLIT(Table2614256[[#This Row],[Selection Options]:[Selection Options]],","))),,V$11),"")</f>
        <v/>
      </c>
      <c r="W51" s="29" t="str" cm="1">
        <f t="array" ref="W51">IFERROR(INDEX(_xlfn.UNIQUE(TRIM(_xlfn.TEXTSPLIT(Table2614256[[#This Row],[Selection Options]:[Selection Options]],","))),,W$11),"")</f>
        <v/>
      </c>
      <c r="X51" s="29" t="str" cm="1">
        <f t="array" ref="X51">IFERROR(INDEX(_xlfn.UNIQUE(TRIM(_xlfn.TEXTSPLIT(Table2614256[[#This Row],[Selection Options]:[Selection Options]],","))),,X$11),"")</f>
        <v/>
      </c>
      <c r="Y51" s="30" cm="1">
        <f t="array" ref="Y51">IF(Table2614256[[#This Row],[1]]="","",Table2614256[[#This Row],[Weight]:[Weight]]-(Table2614256[[#This Row],[Weight]:[Weight]]*((_xlfn.XMATCH(Table2614256[[#This Row],[1]],Table2614256[[#This Row],[1]:[11]],0))-1)/(COUNTA(Table2614256[[#This Row],[1]:[11]])-COUNTBLANK(Table2614256[[#This Row],[1]:[11]])-1)))</f>
        <v>7.4503311258278151E-4</v>
      </c>
      <c r="Z51" s="30" cm="1">
        <f t="array" ref="Z51">IF(Table2614256[[#This Row],[2]]="","",Table2614256[[#This Row],[Weight]:[Weight]]-(Table2614256[[#This Row],[Weight]:[Weight]]*((_xlfn.XMATCH(Table2614256[[#This Row],[2]],Table2614256[[#This Row],[1]:[11]],0))-1)/(COUNTA(Table2614256[[#This Row],[1]:[11]])-COUNTBLANK(Table2614256[[#This Row],[1]:[11]])-1)))</f>
        <v>5.5877483443708611E-4</v>
      </c>
      <c r="AA51" s="30" cm="1">
        <f t="array" ref="AA51">IF(Table2614256[[#This Row],[3]]="","",Table2614256[[#This Row],[Weight]:[Weight]]-(Table2614256[[#This Row],[Weight]:[Weight]]*((_xlfn.XMATCH(Table2614256[[#This Row],[3]],Table2614256[[#This Row],[1]:[11]],0))-1)/(COUNTA(Table2614256[[#This Row],[1]:[11]])-COUNTBLANK(Table2614256[[#This Row],[1]:[11]])-1)))</f>
        <v>3.7251655629139076E-4</v>
      </c>
      <c r="AB51" s="30" cm="1">
        <f t="array" ref="AB51">IF(Table2614256[[#This Row],[4]]="","",Table2614256[[#This Row],[Weight]:[Weight]]-(Table2614256[[#This Row],[Weight]:[Weight]]*((_xlfn.XMATCH(Table2614256[[#This Row],[4]],Table2614256[[#This Row],[1]:[11]],0))-1)/(COUNTA(Table2614256[[#This Row],[1]:[11]])-COUNTBLANK(Table2614256[[#This Row],[1]:[11]])-1)))</f>
        <v>1.862582781456954E-4</v>
      </c>
      <c r="AC51" s="30" cm="1">
        <f t="array" ref="AC51">IF(Table2614256[[#This Row],[5]]="","",Table2614256[[#This Row],[Weight]:[Weight]]-(Table2614256[[#This Row],[Weight]:[Weight]]*((_xlfn.XMATCH(Table2614256[[#This Row],[5]],Table2614256[[#This Row],[1]:[11]],0))-1)/(COUNTA(Table2614256[[#This Row],[1]:[11]])-COUNTBLANK(Table2614256[[#This Row],[1]:[11]])-1)))</f>
        <v>0</v>
      </c>
      <c r="AD51" s="30" t="str" cm="1">
        <f t="array" ref="AD51">IF(Table2614256[[#This Row],[6]]="","",Table2614256[[#This Row],[Weight]:[Weight]]-(Table2614256[[#This Row],[Weight]:[Weight]]*((_xlfn.XMATCH(Table2614256[[#This Row],[6]],Table2614256[[#This Row],[1]:[11]],0))-1)/(COUNTA(Table2614256[[#This Row],[1]:[11]])-COUNTBLANK(Table2614256[[#This Row],[1]:[11]])-1)))</f>
        <v/>
      </c>
      <c r="AE51" s="30" t="str" cm="1">
        <f t="array" ref="AE51">IF(Table2614256[[#This Row],[7]]="","",Table2614256[[#This Row],[Weight]:[Weight]]-(Table2614256[[#This Row],[Weight]:[Weight]]*((_xlfn.XMATCH(Table2614256[[#This Row],[7]],Table2614256[[#This Row],[1]:[11]],0))-1)/(COUNTA(Table2614256[[#This Row],[1]:[11]])-COUNTBLANK(Table2614256[[#This Row],[1]:[11]])-1)))</f>
        <v/>
      </c>
      <c r="AF51" s="30" t="str" cm="1">
        <f t="array" ref="AF51">IF(Table2614256[[#This Row],[8]]="","",Table2614256[[#This Row],[Weight]:[Weight]]-(Table2614256[[#This Row],[Weight]:[Weight]]*((_xlfn.XMATCH(Table2614256[[#This Row],[8]],Table2614256[[#This Row],[1]:[11]],0))-1)/(COUNTA(Table2614256[[#This Row],[1]:[11]])-COUNTBLANK(Table2614256[[#This Row],[1]:[11]])-1)))</f>
        <v/>
      </c>
      <c r="AG51" s="30" t="str" cm="1">
        <f t="array" ref="AG51">IF(Table2614256[[#This Row],[9]]="","",Table2614256[[#This Row],[Weight]:[Weight]]-(Table2614256[[#This Row],[Weight]:[Weight]]*((_xlfn.XMATCH(Table2614256[[#This Row],[9]],Table2614256[[#This Row],[1]:[11]],0))-1)/(COUNTA(Table2614256[[#This Row],[1]:[11]])-COUNTBLANK(Table2614256[[#This Row],[1]:[11]])-1)))</f>
        <v/>
      </c>
      <c r="AH51" s="30" t="str" cm="1">
        <f t="array" ref="AH51">IF(Table2614256[[#This Row],[10]]="","",Table2614256[[#This Row],[Weight]:[Weight]]-(Table2614256[[#This Row],[Weight]:[Weight]]*((_xlfn.XMATCH(Table2614256[[#This Row],[10]],Table2614256[[#This Row],[1]:[11]],0))-1)/(COUNTA(Table2614256[[#This Row],[1]:[11]])-COUNTBLANK(Table2614256[[#This Row],[1]:[11]])-1)))</f>
        <v/>
      </c>
      <c r="AI51" s="30" t="str" cm="1">
        <f t="array" ref="AI51">IF(Table2614256[[#This Row],[11]]="","",Table2614256[[#This Row],[Weight]:[Weight]]-(Table2614256[[#This Row],[Weight]:[Weight]]*((_xlfn.XMATCH(Table2614256[[#This Row],[11]],Table2614256[[#This Row],[1]:[11]],0))-1)/(COUNTA(Table2614256[[#This Row],[1]:[11]])-COUNTBLANK(Table2614256[[#This Row],[1]:[11]])-1)))</f>
        <v/>
      </c>
    </row>
    <row r="52" spans="1:35" ht="120" x14ac:dyDescent="0.2">
      <c r="A52" s="20">
        <v>40</v>
      </c>
      <c r="B52" s="90" t="s">
        <v>383</v>
      </c>
      <c r="C52" s="119" t="s">
        <v>215</v>
      </c>
      <c r="D52" s="153"/>
      <c r="E52" s="153"/>
      <c r="F52" s="121" t="s">
        <v>60</v>
      </c>
      <c r="G52" s="148" cm="1">
        <f t="array" ref="G52">_xlfn.IFS(F52="","",F52="No interest",0,F52="Nice to have",1,F52="Useful",2,F52="Important",3,F52="Very important",4,F52="Critical",5,F52="Show stopper",6)</f>
        <v>6</v>
      </c>
      <c r="H52" s="149">
        <f t="shared" si="2"/>
        <v>7.4503311258278151E-4</v>
      </c>
      <c r="I52" s="150" t="s">
        <v>321</v>
      </c>
      <c r="J52" s="35" t="str" cm="1">
        <f t="array" ref="J52">_xlfn.TEXTJOIN(","&amp;CHAR(10),,TEXT(Table2614256[[#This Row],[12]:[22]],"0,00%"))</f>
        <v>0,00%,
0,00%,
0,00%,
0,00%,
0,00%</v>
      </c>
      <c r="K52" s="26"/>
      <c r="L52" s="27" t="e">
        <f>H52-(H52*((MATCH(Table2614256[[#This Row],[Evaluators Response (SELECT)]],Table2614256[[#This Row],[1]:[11]],0)-1)/(COUNTA(Table2614256[[#This Row],[1]:[11]])-COUNTBLANK(Table2614256[[#This Row],[1]:[11]])-1)))</f>
        <v>#N/A</v>
      </c>
      <c r="M52" s="28"/>
      <c r="N52" s="29" t="str" cm="1">
        <f t="array" ref="N52">IFERROR(INDEX(_xlfn.UNIQUE(TRIM(_xlfn.TEXTSPLIT(Table2614256[[#This Row],[Selection Options]:[Selection Options]],","))),,N$11),"")</f>
        <v>100%: Supported as delivered "out of the box"</v>
      </c>
      <c r="O52" s="29" t="str" cm="1">
        <f t="array" ref="O52">IFERROR(INDEX(_xlfn.UNIQUE(TRIM(_xlfn.TEXTSPLIT(Table2614256[[#This Row],[Selection Options]:[Selection Options]],","))),,O$11),"")</f>
        <v xml:space="preserve">
75%: Supported via modifications (config)</v>
      </c>
      <c r="P52" s="29" t="str" cm="1">
        <f t="array" ref="P52">IFERROR(INDEX(_xlfn.UNIQUE(TRIM(_xlfn.TEXTSPLIT(Table2614256[[#This Row],[Selection Options]:[Selection Options]],","))),,P$11),"")</f>
        <v xml:space="preserve">
50%: Supported via a third party solution</v>
      </c>
      <c r="Q52" s="29" t="str" cm="1">
        <f t="array" ref="Q52">IFERROR(INDEX(_xlfn.UNIQUE(TRIM(_xlfn.TEXTSPLIT(Table2614256[[#This Row],[Selection Options]:[Selection Options]],","))),,Q$11),"")</f>
        <v xml:space="preserve">
25%: Supported via customisation (source code changes)</v>
      </c>
      <c r="R52" s="29" t="str" cm="1">
        <f t="array" ref="R52">IFERROR(INDEX(_xlfn.UNIQUE(TRIM(_xlfn.TEXTSPLIT(Table2614256[[#This Row],[Selection Options]:[Selection Options]],","))),,R$11),"")</f>
        <v xml:space="preserve">
 0%: Not currently supported</v>
      </c>
      <c r="S52" s="29" t="str" cm="1">
        <f t="array" ref="S52">IFERROR(INDEX(_xlfn.UNIQUE(TRIM(_xlfn.TEXTSPLIT(Table2614256[[#This Row],[Selection Options]:[Selection Options]],","))),,S$11),"")</f>
        <v/>
      </c>
      <c r="T52" s="29" t="str" cm="1">
        <f t="array" ref="T52">IFERROR(INDEX(_xlfn.UNIQUE(TRIM(_xlfn.TEXTSPLIT(Table2614256[[#This Row],[Selection Options]:[Selection Options]],","))),,T$11),"")</f>
        <v/>
      </c>
      <c r="U52" s="29" t="str" cm="1">
        <f t="array" ref="U52">IFERROR(INDEX(_xlfn.UNIQUE(TRIM(_xlfn.TEXTSPLIT(Table2614256[[#This Row],[Selection Options]:[Selection Options]],","))),,U$11),"")</f>
        <v/>
      </c>
      <c r="V52" s="29" t="str" cm="1">
        <f t="array" ref="V52">IFERROR(INDEX(_xlfn.UNIQUE(TRIM(_xlfn.TEXTSPLIT(Table2614256[[#This Row],[Selection Options]:[Selection Options]],","))),,V$11),"")</f>
        <v/>
      </c>
      <c r="W52" s="29" t="str" cm="1">
        <f t="array" ref="W52">IFERROR(INDEX(_xlfn.UNIQUE(TRIM(_xlfn.TEXTSPLIT(Table2614256[[#This Row],[Selection Options]:[Selection Options]],","))),,W$11),"")</f>
        <v/>
      </c>
      <c r="X52" s="29" t="str" cm="1">
        <f t="array" ref="X52">IFERROR(INDEX(_xlfn.UNIQUE(TRIM(_xlfn.TEXTSPLIT(Table2614256[[#This Row],[Selection Options]:[Selection Options]],","))),,X$11),"")</f>
        <v/>
      </c>
      <c r="Y52" s="30" cm="1">
        <f t="array" ref="Y52">IF(Table2614256[[#This Row],[1]]="","",Table2614256[[#This Row],[Weight]:[Weight]]-(Table2614256[[#This Row],[Weight]:[Weight]]*((_xlfn.XMATCH(Table2614256[[#This Row],[1]],Table2614256[[#This Row],[1]:[11]],0))-1)/(COUNTA(Table2614256[[#This Row],[1]:[11]])-COUNTBLANK(Table2614256[[#This Row],[1]:[11]])-1)))</f>
        <v>7.4503311258278151E-4</v>
      </c>
      <c r="Z52" s="30" cm="1">
        <f t="array" ref="Z52">IF(Table2614256[[#This Row],[2]]="","",Table2614256[[#This Row],[Weight]:[Weight]]-(Table2614256[[#This Row],[Weight]:[Weight]]*((_xlfn.XMATCH(Table2614256[[#This Row],[2]],Table2614256[[#This Row],[1]:[11]],0))-1)/(COUNTA(Table2614256[[#This Row],[1]:[11]])-COUNTBLANK(Table2614256[[#This Row],[1]:[11]])-1)))</f>
        <v>5.5877483443708611E-4</v>
      </c>
      <c r="AA52" s="30" cm="1">
        <f t="array" ref="AA52">IF(Table2614256[[#This Row],[3]]="","",Table2614256[[#This Row],[Weight]:[Weight]]-(Table2614256[[#This Row],[Weight]:[Weight]]*((_xlfn.XMATCH(Table2614256[[#This Row],[3]],Table2614256[[#This Row],[1]:[11]],0))-1)/(COUNTA(Table2614256[[#This Row],[1]:[11]])-COUNTBLANK(Table2614256[[#This Row],[1]:[11]])-1)))</f>
        <v>3.7251655629139076E-4</v>
      </c>
      <c r="AB52" s="30" cm="1">
        <f t="array" ref="AB52">IF(Table2614256[[#This Row],[4]]="","",Table2614256[[#This Row],[Weight]:[Weight]]-(Table2614256[[#This Row],[Weight]:[Weight]]*((_xlfn.XMATCH(Table2614256[[#This Row],[4]],Table2614256[[#This Row],[1]:[11]],0))-1)/(COUNTA(Table2614256[[#This Row],[1]:[11]])-COUNTBLANK(Table2614256[[#This Row],[1]:[11]])-1)))</f>
        <v>1.862582781456954E-4</v>
      </c>
      <c r="AC52" s="30" cm="1">
        <f t="array" ref="AC52">IF(Table2614256[[#This Row],[5]]="","",Table2614256[[#This Row],[Weight]:[Weight]]-(Table2614256[[#This Row],[Weight]:[Weight]]*((_xlfn.XMATCH(Table2614256[[#This Row],[5]],Table2614256[[#This Row],[1]:[11]],0))-1)/(COUNTA(Table2614256[[#This Row],[1]:[11]])-COUNTBLANK(Table2614256[[#This Row],[1]:[11]])-1)))</f>
        <v>0</v>
      </c>
      <c r="AD52" s="30" t="str" cm="1">
        <f t="array" ref="AD52">IF(Table2614256[[#This Row],[6]]="","",Table2614256[[#This Row],[Weight]:[Weight]]-(Table2614256[[#This Row],[Weight]:[Weight]]*((_xlfn.XMATCH(Table2614256[[#This Row],[6]],Table2614256[[#This Row],[1]:[11]],0))-1)/(COUNTA(Table2614256[[#This Row],[1]:[11]])-COUNTBLANK(Table2614256[[#This Row],[1]:[11]])-1)))</f>
        <v/>
      </c>
      <c r="AE52" s="30" t="str" cm="1">
        <f t="array" ref="AE52">IF(Table2614256[[#This Row],[7]]="","",Table2614256[[#This Row],[Weight]:[Weight]]-(Table2614256[[#This Row],[Weight]:[Weight]]*((_xlfn.XMATCH(Table2614256[[#This Row],[7]],Table2614256[[#This Row],[1]:[11]],0))-1)/(COUNTA(Table2614256[[#This Row],[1]:[11]])-COUNTBLANK(Table2614256[[#This Row],[1]:[11]])-1)))</f>
        <v/>
      </c>
      <c r="AF52" s="30" t="str" cm="1">
        <f t="array" ref="AF52">IF(Table2614256[[#This Row],[8]]="","",Table2614256[[#This Row],[Weight]:[Weight]]-(Table2614256[[#This Row],[Weight]:[Weight]]*((_xlfn.XMATCH(Table2614256[[#This Row],[8]],Table2614256[[#This Row],[1]:[11]],0))-1)/(COUNTA(Table2614256[[#This Row],[1]:[11]])-COUNTBLANK(Table2614256[[#This Row],[1]:[11]])-1)))</f>
        <v/>
      </c>
      <c r="AG52" s="30" t="str" cm="1">
        <f t="array" ref="AG52">IF(Table2614256[[#This Row],[9]]="","",Table2614256[[#This Row],[Weight]:[Weight]]-(Table2614256[[#This Row],[Weight]:[Weight]]*((_xlfn.XMATCH(Table2614256[[#This Row],[9]],Table2614256[[#This Row],[1]:[11]],0))-1)/(COUNTA(Table2614256[[#This Row],[1]:[11]])-COUNTBLANK(Table2614256[[#This Row],[1]:[11]])-1)))</f>
        <v/>
      </c>
      <c r="AH52" s="30" t="str" cm="1">
        <f t="array" ref="AH52">IF(Table2614256[[#This Row],[10]]="","",Table2614256[[#This Row],[Weight]:[Weight]]-(Table2614256[[#This Row],[Weight]:[Weight]]*((_xlfn.XMATCH(Table2614256[[#This Row],[10]],Table2614256[[#This Row],[1]:[11]],0))-1)/(COUNTA(Table2614256[[#This Row],[1]:[11]])-COUNTBLANK(Table2614256[[#This Row],[1]:[11]])-1)))</f>
        <v/>
      </c>
      <c r="AI52" s="30" t="str" cm="1">
        <f t="array" ref="AI52">IF(Table2614256[[#This Row],[11]]="","",Table2614256[[#This Row],[Weight]:[Weight]]-(Table2614256[[#This Row],[Weight]:[Weight]]*((_xlfn.XMATCH(Table2614256[[#This Row],[11]],Table2614256[[#This Row],[1]:[11]],0))-1)/(COUNTA(Table2614256[[#This Row],[1]:[11]])-COUNTBLANK(Table2614256[[#This Row],[1]:[11]])-1)))</f>
        <v/>
      </c>
    </row>
    <row r="53" spans="1:35" ht="120" x14ac:dyDescent="0.2">
      <c r="A53" s="20">
        <v>41</v>
      </c>
      <c r="B53" s="90" t="s">
        <v>384</v>
      </c>
      <c r="C53" s="119" t="s">
        <v>215</v>
      </c>
      <c r="D53" s="153"/>
      <c r="E53" s="153"/>
      <c r="F53" s="121" t="s">
        <v>60</v>
      </c>
      <c r="G53" s="148" cm="1">
        <f t="array" ref="G53">_xlfn.IFS(F53="","",F53="No interest",0,F53="Nice to have",1,F53="Useful",2,F53="Important",3,F53="Very important",4,F53="Critical",5,F53="Show stopper",6)</f>
        <v>6</v>
      </c>
      <c r="H53" s="149">
        <f t="shared" si="2"/>
        <v>7.4503311258278151E-4</v>
      </c>
      <c r="I53" s="150" t="s">
        <v>321</v>
      </c>
      <c r="J53" s="35" t="str" cm="1">
        <f t="array" ref="J53">_xlfn.TEXTJOIN(","&amp;CHAR(10),,TEXT(Table2614256[[#This Row],[12]:[22]],"0,00%"))</f>
        <v>0,00%,
0,00%,
0,00%,
0,00%,
0,00%</v>
      </c>
      <c r="K53" s="26"/>
      <c r="L53" s="27" t="e">
        <f>H53-(H53*((MATCH(Table2614256[[#This Row],[Evaluators Response (SELECT)]],Table2614256[[#This Row],[1]:[11]],0)-1)/(COUNTA(Table2614256[[#This Row],[1]:[11]])-COUNTBLANK(Table2614256[[#This Row],[1]:[11]])-1)))</f>
        <v>#N/A</v>
      </c>
      <c r="M53" s="28"/>
      <c r="N53" s="29" t="str" cm="1">
        <f t="array" ref="N53">IFERROR(INDEX(_xlfn.UNIQUE(TRIM(_xlfn.TEXTSPLIT(Table2614256[[#This Row],[Selection Options]:[Selection Options]],","))),,N$11),"")</f>
        <v>100%: Supported as delivered "out of the box"</v>
      </c>
      <c r="O53" s="29" t="str" cm="1">
        <f t="array" ref="O53">IFERROR(INDEX(_xlfn.UNIQUE(TRIM(_xlfn.TEXTSPLIT(Table2614256[[#This Row],[Selection Options]:[Selection Options]],","))),,O$11),"")</f>
        <v xml:space="preserve">
75%: Supported via modifications (config)</v>
      </c>
      <c r="P53" s="29" t="str" cm="1">
        <f t="array" ref="P53">IFERROR(INDEX(_xlfn.UNIQUE(TRIM(_xlfn.TEXTSPLIT(Table2614256[[#This Row],[Selection Options]:[Selection Options]],","))),,P$11),"")</f>
        <v xml:space="preserve">
50%: Supported via a third party solution</v>
      </c>
      <c r="Q53" s="29" t="str" cm="1">
        <f t="array" ref="Q53">IFERROR(INDEX(_xlfn.UNIQUE(TRIM(_xlfn.TEXTSPLIT(Table2614256[[#This Row],[Selection Options]:[Selection Options]],","))),,Q$11),"")</f>
        <v xml:space="preserve">
25%: Supported via customisation (source code changes)</v>
      </c>
      <c r="R53" s="29" t="str" cm="1">
        <f t="array" ref="R53">IFERROR(INDEX(_xlfn.UNIQUE(TRIM(_xlfn.TEXTSPLIT(Table2614256[[#This Row],[Selection Options]:[Selection Options]],","))),,R$11),"")</f>
        <v xml:space="preserve">
 0%: Not currently supported</v>
      </c>
      <c r="S53" s="29" t="str" cm="1">
        <f t="array" ref="S53">IFERROR(INDEX(_xlfn.UNIQUE(TRIM(_xlfn.TEXTSPLIT(Table2614256[[#This Row],[Selection Options]:[Selection Options]],","))),,S$11),"")</f>
        <v/>
      </c>
      <c r="T53" s="29" t="str" cm="1">
        <f t="array" ref="T53">IFERROR(INDEX(_xlfn.UNIQUE(TRIM(_xlfn.TEXTSPLIT(Table2614256[[#This Row],[Selection Options]:[Selection Options]],","))),,T$11),"")</f>
        <v/>
      </c>
      <c r="U53" s="29" t="str" cm="1">
        <f t="array" ref="U53">IFERROR(INDEX(_xlfn.UNIQUE(TRIM(_xlfn.TEXTSPLIT(Table2614256[[#This Row],[Selection Options]:[Selection Options]],","))),,U$11),"")</f>
        <v/>
      </c>
      <c r="V53" s="29" t="str" cm="1">
        <f t="array" ref="V53">IFERROR(INDEX(_xlfn.UNIQUE(TRIM(_xlfn.TEXTSPLIT(Table2614256[[#This Row],[Selection Options]:[Selection Options]],","))),,V$11),"")</f>
        <v/>
      </c>
      <c r="W53" s="29" t="str" cm="1">
        <f t="array" ref="W53">IFERROR(INDEX(_xlfn.UNIQUE(TRIM(_xlfn.TEXTSPLIT(Table2614256[[#This Row],[Selection Options]:[Selection Options]],","))),,W$11),"")</f>
        <v/>
      </c>
      <c r="X53" s="29" t="str" cm="1">
        <f t="array" ref="X53">IFERROR(INDEX(_xlfn.UNIQUE(TRIM(_xlfn.TEXTSPLIT(Table2614256[[#This Row],[Selection Options]:[Selection Options]],","))),,X$11),"")</f>
        <v/>
      </c>
      <c r="Y53" s="30" cm="1">
        <f t="array" ref="Y53">IF(Table2614256[[#This Row],[1]]="","",Table2614256[[#This Row],[Weight]:[Weight]]-(Table2614256[[#This Row],[Weight]:[Weight]]*((_xlfn.XMATCH(Table2614256[[#This Row],[1]],Table2614256[[#This Row],[1]:[11]],0))-1)/(COUNTA(Table2614256[[#This Row],[1]:[11]])-COUNTBLANK(Table2614256[[#This Row],[1]:[11]])-1)))</f>
        <v>7.4503311258278151E-4</v>
      </c>
      <c r="Z53" s="30" cm="1">
        <f t="array" ref="Z53">IF(Table2614256[[#This Row],[2]]="","",Table2614256[[#This Row],[Weight]:[Weight]]-(Table2614256[[#This Row],[Weight]:[Weight]]*((_xlfn.XMATCH(Table2614256[[#This Row],[2]],Table2614256[[#This Row],[1]:[11]],0))-1)/(COUNTA(Table2614256[[#This Row],[1]:[11]])-COUNTBLANK(Table2614256[[#This Row],[1]:[11]])-1)))</f>
        <v>5.5877483443708611E-4</v>
      </c>
      <c r="AA53" s="30" cm="1">
        <f t="array" ref="AA53">IF(Table2614256[[#This Row],[3]]="","",Table2614256[[#This Row],[Weight]:[Weight]]-(Table2614256[[#This Row],[Weight]:[Weight]]*((_xlfn.XMATCH(Table2614256[[#This Row],[3]],Table2614256[[#This Row],[1]:[11]],0))-1)/(COUNTA(Table2614256[[#This Row],[1]:[11]])-COUNTBLANK(Table2614256[[#This Row],[1]:[11]])-1)))</f>
        <v>3.7251655629139076E-4</v>
      </c>
      <c r="AB53" s="30" cm="1">
        <f t="array" ref="AB53">IF(Table2614256[[#This Row],[4]]="","",Table2614256[[#This Row],[Weight]:[Weight]]-(Table2614256[[#This Row],[Weight]:[Weight]]*((_xlfn.XMATCH(Table2614256[[#This Row],[4]],Table2614256[[#This Row],[1]:[11]],0))-1)/(COUNTA(Table2614256[[#This Row],[1]:[11]])-COUNTBLANK(Table2614256[[#This Row],[1]:[11]])-1)))</f>
        <v>1.862582781456954E-4</v>
      </c>
      <c r="AC53" s="30" cm="1">
        <f t="array" ref="AC53">IF(Table2614256[[#This Row],[5]]="","",Table2614256[[#This Row],[Weight]:[Weight]]-(Table2614256[[#This Row],[Weight]:[Weight]]*((_xlfn.XMATCH(Table2614256[[#This Row],[5]],Table2614256[[#This Row],[1]:[11]],0))-1)/(COUNTA(Table2614256[[#This Row],[1]:[11]])-COUNTBLANK(Table2614256[[#This Row],[1]:[11]])-1)))</f>
        <v>0</v>
      </c>
      <c r="AD53" s="30" t="str" cm="1">
        <f t="array" ref="AD53">IF(Table2614256[[#This Row],[6]]="","",Table2614256[[#This Row],[Weight]:[Weight]]-(Table2614256[[#This Row],[Weight]:[Weight]]*((_xlfn.XMATCH(Table2614256[[#This Row],[6]],Table2614256[[#This Row],[1]:[11]],0))-1)/(COUNTA(Table2614256[[#This Row],[1]:[11]])-COUNTBLANK(Table2614256[[#This Row],[1]:[11]])-1)))</f>
        <v/>
      </c>
      <c r="AE53" s="30" t="str" cm="1">
        <f t="array" ref="AE53">IF(Table2614256[[#This Row],[7]]="","",Table2614256[[#This Row],[Weight]:[Weight]]-(Table2614256[[#This Row],[Weight]:[Weight]]*((_xlfn.XMATCH(Table2614256[[#This Row],[7]],Table2614256[[#This Row],[1]:[11]],0))-1)/(COUNTA(Table2614256[[#This Row],[1]:[11]])-COUNTBLANK(Table2614256[[#This Row],[1]:[11]])-1)))</f>
        <v/>
      </c>
      <c r="AF53" s="30" t="str" cm="1">
        <f t="array" ref="AF53">IF(Table2614256[[#This Row],[8]]="","",Table2614256[[#This Row],[Weight]:[Weight]]-(Table2614256[[#This Row],[Weight]:[Weight]]*((_xlfn.XMATCH(Table2614256[[#This Row],[8]],Table2614256[[#This Row],[1]:[11]],0))-1)/(COUNTA(Table2614256[[#This Row],[1]:[11]])-COUNTBLANK(Table2614256[[#This Row],[1]:[11]])-1)))</f>
        <v/>
      </c>
      <c r="AG53" s="30" t="str" cm="1">
        <f t="array" ref="AG53">IF(Table2614256[[#This Row],[9]]="","",Table2614256[[#This Row],[Weight]:[Weight]]-(Table2614256[[#This Row],[Weight]:[Weight]]*((_xlfn.XMATCH(Table2614256[[#This Row],[9]],Table2614256[[#This Row],[1]:[11]],0))-1)/(COUNTA(Table2614256[[#This Row],[1]:[11]])-COUNTBLANK(Table2614256[[#This Row],[1]:[11]])-1)))</f>
        <v/>
      </c>
      <c r="AH53" s="30" t="str" cm="1">
        <f t="array" ref="AH53">IF(Table2614256[[#This Row],[10]]="","",Table2614256[[#This Row],[Weight]:[Weight]]-(Table2614256[[#This Row],[Weight]:[Weight]]*((_xlfn.XMATCH(Table2614256[[#This Row],[10]],Table2614256[[#This Row],[1]:[11]],0))-1)/(COUNTA(Table2614256[[#This Row],[1]:[11]])-COUNTBLANK(Table2614256[[#This Row],[1]:[11]])-1)))</f>
        <v/>
      </c>
      <c r="AI53" s="30" t="str" cm="1">
        <f t="array" ref="AI53">IF(Table2614256[[#This Row],[11]]="","",Table2614256[[#This Row],[Weight]:[Weight]]-(Table2614256[[#This Row],[Weight]:[Weight]]*((_xlfn.XMATCH(Table2614256[[#This Row],[11]],Table2614256[[#This Row],[1]:[11]],0))-1)/(COUNTA(Table2614256[[#This Row],[1]:[11]])-COUNTBLANK(Table2614256[[#This Row],[1]:[11]])-1)))</f>
        <v/>
      </c>
    </row>
    <row r="54" spans="1:35" ht="120" x14ac:dyDescent="0.2">
      <c r="A54" s="20">
        <v>42</v>
      </c>
      <c r="B54" s="90" t="s">
        <v>385</v>
      </c>
      <c r="C54" s="119" t="s">
        <v>215</v>
      </c>
      <c r="D54" s="153"/>
      <c r="E54" s="153"/>
      <c r="F54" s="121" t="s">
        <v>60</v>
      </c>
      <c r="G54" s="148" cm="1">
        <f t="array" ref="G54">_xlfn.IFS(F54="","",F54="No interest",0,F54="Nice to have",1,F54="Useful",2,F54="Important",3,F54="Very important",4,F54="Critical",5,F54="Show stopper",6)</f>
        <v>6</v>
      </c>
      <c r="H54" s="149">
        <f t="shared" si="2"/>
        <v>7.4503311258278151E-4</v>
      </c>
      <c r="I54" s="150" t="s">
        <v>321</v>
      </c>
      <c r="J54" s="35" t="str" cm="1">
        <f t="array" ref="J54">_xlfn.TEXTJOIN(","&amp;CHAR(10),,TEXT(Table2614256[[#This Row],[12]:[22]],"0,00%"))</f>
        <v>0,00%,
0,00%,
0,00%,
0,00%,
0,00%</v>
      </c>
      <c r="K54" s="26"/>
      <c r="L54" s="27" t="e">
        <f>H54-(H54*((MATCH(Table2614256[[#This Row],[Evaluators Response (SELECT)]],Table2614256[[#This Row],[1]:[11]],0)-1)/(COUNTA(Table2614256[[#This Row],[1]:[11]])-COUNTBLANK(Table2614256[[#This Row],[1]:[11]])-1)))</f>
        <v>#N/A</v>
      </c>
      <c r="M54" s="28"/>
      <c r="N54" s="29" t="str" cm="1">
        <f t="array" ref="N54">IFERROR(INDEX(_xlfn.UNIQUE(TRIM(_xlfn.TEXTSPLIT(Table2614256[[#This Row],[Selection Options]:[Selection Options]],","))),,N$11),"")</f>
        <v>100%: Supported as delivered "out of the box"</v>
      </c>
      <c r="O54" s="29" t="str" cm="1">
        <f t="array" ref="O54">IFERROR(INDEX(_xlfn.UNIQUE(TRIM(_xlfn.TEXTSPLIT(Table2614256[[#This Row],[Selection Options]:[Selection Options]],","))),,O$11),"")</f>
        <v xml:space="preserve">
75%: Supported via modifications (config)</v>
      </c>
      <c r="P54" s="29" t="str" cm="1">
        <f t="array" ref="P54">IFERROR(INDEX(_xlfn.UNIQUE(TRIM(_xlfn.TEXTSPLIT(Table2614256[[#This Row],[Selection Options]:[Selection Options]],","))),,P$11),"")</f>
        <v xml:space="preserve">
50%: Supported via a third party solution</v>
      </c>
      <c r="Q54" s="29" t="str" cm="1">
        <f t="array" ref="Q54">IFERROR(INDEX(_xlfn.UNIQUE(TRIM(_xlfn.TEXTSPLIT(Table2614256[[#This Row],[Selection Options]:[Selection Options]],","))),,Q$11),"")</f>
        <v xml:space="preserve">
25%: Supported via customisation (source code changes)</v>
      </c>
      <c r="R54" s="29" t="str" cm="1">
        <f t="array" ref="R54">IFERROR(INDEX(_xlfn.UNIQUE(TRIM(_xlfn.TEXTSPLIT(Table2614256[[#This Row],[Selection Options]:[Selection Options]],","))),,R$11),"")</f>
        <v xml:space="preserve">
 0%: Not currently supported</v>
      </c>
      <c r="S54" s="29" t="str" cm="1">
        <f t="array" ref="S54">IFERROR(INDEX(_xlfn.UNIQUE(TRIM(_xlfn.TEXTSPLIT(Table2614256[[#This Row],[Selection Options]:[Selection Options]],","))),,S$11),"")</f>
        <v/>
      </c>
      <c r="T54" s="29" t="str" cm="1">
        <f t="array" ref="T54">IFERROR(INDEX(_xlfn.UNIQUE(TRIM(_xlfn.TEXTSPLIT(Table2614256[[#This Row],[Selection Options]:[Selection Options]],","))),,T$11),"")</f>
        <v/>
      </c>
      <c r="U54" s="29" t="str" cm="1">
        <f t="array" ref="U54">IFERROR(INDEX(_xlfn.UNIQUE(TRIM(_xlfn.TEXTSPLIT(Table2614256[[#This Row],[Selection Options]:[Selection Options]],","))),,U$11),"")</f>
        <v/>
      </c>
      <c r="V54" s="29" t="str" cm="1">
        <f t="array" ref="V54">IFERROR(INDEX(_xlfn.UNIQUE(TRIM(_xlfn.TEXTSPLIT(Table2614256[[#This Row],[Selection Options]:[Selection Options]],","))),,V$11),"")</f>
        <v/>
      </c>
      <c r="W54" s="29" t="str" cm="1">
        <f t="array" ref="W54">IFERROR(INDEX(_xlfn.UNIQUE(TRIM(_xlfn.TEXTSPLIT(Table2614256[[#This Row],[Selection Options]:[Selection Options]],","))),,W$11),"")</f>
        <v/>
      </c>
      <c r="X54" s="29" t="str" cm="1">
        <f t="array" ref="X54">IFERROR(INDEX(_xlfn.UNIQUE(TRIM(_xlfn.TEXTSPLIT(Table2614256[[#This Row],[Selection Options]:[Selection Options]],","))),,X$11),"")</f>
        <v/>
      </c>
      <c r="Y54" s="30" cm="1">
        <f t="array" ref="Y54">IF(Table2614256[[#This Row],[1]]="","",Table2614256[[#This Row],[Weight]:[Weight]]-(Table2614256[[#This Row],[Weight]:[Weight]]*((_xlfn.XMATCH(Table2614256[[#This Row],[1]],Table2614256[[#This Row],[1]:[11]],0))-1)/(COUNTA(Table2614256[[#This Row],[1]:[11]])-COUNTBLANK(Table2614256[[#This Row],[1]:[11]])-1)))</f>
        <v>7.4503311258278151E-4</v>
      </c>
      <c r="Z54" s="30" cm="1">
        <f t="array" ref="Z54">IF(Table2614256[[#This Row],[2]]="","",Table2614256[[#This Row],[Weight]:[Weight]]-(Table2614256[[#This Row],[Weight]:[Weight]]*((_xlfn.XMATCH(Table2614256[[#This Row],[2]],Table2614256[[#This Row],[1]:[11]],0))-1)/(COUNTA(Table2614256[[#This Row],[1]:[11]])-COUNTBLANK(Table2614256[[#This Row],[1]:[11]])-1)))</f>
        <v>5.5877483443708611E-4</v>
      </c>
      <c r="AA54" s="30" cm="1">
        <f t="array" ref="AA54">IF(Table2614256[[#This Row],[3]]="","",Table2614256[[#This Row],[Weight]:[Weight]]-(Table2614256[[#This Row],[Weight]:[Weight]]*((_xlfn.XMATCH(Table2614256[[#This Row],[3]],Table2614256[[#This Row],[1]:[11]],0))-1)/(COUNTA(Table2614256[[#This Row],[1]:[11]])-COUNTBLANK(Table2614256[[#This Row],[1]:[11]])-1)))</f>
        <v>3.7251655629139076E-4</v>
      </c>
      <c r="AB54" s="30" cm="1">
        <f t="array" ref="AB54">IF(Table2614256[[#This Row],[4]]="","",Table2614256[[#This Row],[Weight]:[Weight]]-(Table2614256[[#This Row],[Weight]:[Weight]]*((_xlfn.XMATCH(Table2614256[[#This Row],[4]],Table2614256[[#This Row],[1]:[11]],0))-1)/(COUNTA(Table2614256[[#This Row],[1]:[11]])-COUNTBLANK(Table2614256[[#This Row],[1]:[11]])-1)))</f>
        <v>1.862582781456954E-4</v>
      </c>
      <c r="AC54" s="30" cm="1">
        <f t="array" ref="AC54">IF(Table2614256[[#This Row],[5]]="","",Table2614256[[#This Row],[Weight]:[Weight]]-(Table2614256[[#This Row],[Weight]:[Weight]]*((_xlfn.XMATCH(Table2614256[[#This Row],[5]],Table2614256[[#This Row],[1]:[11]],0))-1)/(COUNTA(Table2614256[[#This Row],[1]:[11]])-COUNTBLANK(Table2614256[[#This Row],[1]:[11]])-1)))</f>
        <v>0</v>
      </c>
      <c r="AD54" s="30" t="str" cm="1">
        <f t="array" ref="AD54">IF(Table2614256[[#This Row],[6]]="","",Table2614256[[#This Row],[Weight]:[Weight]]-(Table2614256[[#This Row],[Weight]:[Weight]]*((_xlfn.XMATCH(Table2614256[[#This Row],[6]],Table2614256[[#This Row],[1]:[11]],0))-1)/(COUNTA(Table2614256[[#This Row],[1]:[11]])-COUNTBLANK(Table2614256[[#This Row],[1]:[11]])-1)))</f>
        <v/>
      </c>
      <c r="AE54" s="30" t="str" cm="1">
        <f t="array" ref="AE54">IF(Table2614256[[#This Row],[7]]="","",Table2614256[[#This Row],[Weight]:[Weight]]-(Table2614256[[#This Row],[Weight]:[Weight]]*((_xlfn.XMATCH(Table2614256[[#This Row],[7]],Table2614256[[#This Row],[1]:[11]],0))-1)/(COUNTA(Table2614256[[#This Row],[1]:[11]])-COUNTBLANK(Table2614256[[#This Row],[1]:[11]])-1)))</f>
        <v/>
      </c>
      <c r="AF54" s="30" t="str" cm="1">
        <f t="array" ref="AF54">IF(Table2614256[[#This Row],[8]]="","",Table2614256[[#This Row],[Weight]:[Weight]]-(Table2614256[[#This Row],[Weight]:[Weight]]*((_xlfn.XMATCH(Table2614256[[#This Row],[8]],Table2614256[[#This Row],[1]:[11]],0))-1)/(COUNTA(Table2614256[[#This Row],[1]:[11]])-COUNTBLANK(Table2614256[[#This Row],[1]:[11]])-1)))</f>
        <v/>
      </c>
      <c r="AG54" s="30" t="str" cm="1">
        <f t="array" ref="AG54">IF(Table2614256[[#This Row],[9]]="","",Table2614256[[#This Row],[Weight]:[Weight]]-(Table2614256[[#This Row],[Weight]:[Weight]]*((_xlfn.XMATCH(Table2614256[[#This Row],[9]],Table2614256[[#This Row],[1]:[11]],0))-1)/(COUNTA(Table2614256[[#This Row],[1]:[11]])-COUNTBLANK(Table2614256[[#This Row],[1]:[11]])-1)))</f>
        <v/>
      </c>
      <c r="AH54" s="30" t="str" cm="1">
        <f t="array" ref="AH54">IF(Table2614256[[#This Row],[10]]="","",Table2614256[[#This Row],[Weight]:[Weight]]-(Table2614256[[#This Row],[Weight]:[Weight]]*((_xlfn.XMATCH(Table2614256[[#This Row],[10]],Table2614256[[#This Row],[1]:[11]],0))-1)/(COUNTA(Table2614256[[#This Row],[1]:[11]])-COUNTBLANK(Table2614256[[#This Row],[1]:[11]])-1)))</f>
        <v/>
      </c>
      <c r="AI54" s="30" t="str" cm="1">
        <f t="array" ref="AI54">IF(Table2614256[[#This Row],[11]]="","",Table2614256[[#This Row],[Weight]:[Weight]]-(Table2614256[[#This Row],[Weight]:[Weight]]*((_xlfn.XMATCH(Table2614256[[#This Row],[11]],Table2614256[[#This Row],[1]:[11]],0))-1)/(COUNTA(Table2614256[[#This Row],[1]:[11]])-COUNTBLANK(Table2614256[[#This Row],[1]:[11]])-1)))</f>
        <v/>
      </c>
    </row>
    <row r="55" spans="1:35" ht="120" x14ac:dyDescent="0.2">
      <c r="A55" s="20">
        <v>43</v>
      </c>
      <c r="B55" s="90" t="s">
        <v>386</v>
      </c>
      <c r="C55" s="119" t="s">
        <v>215</v>
      </c>
      <c r="D55" s="153"/>
      <c r="E55" s="153"/>
      <c r="F55" s="121" t="s">
        <v>60</v>
      </c>
      <c r="G55" s="148" cm="1">
        <f t="array" ref="G55">_xlfn.IFS(F55="","",F55="No interest",0,F55="Nice to have",1,F55="Useful",2,F55="Important",3,F55="Very important",4,F55="Critical",5,F55="Show stopper",6)</f>
        <v>6</v>
      </c>
      <c r="H55" s="149">
        <f t="shared" si="2"/>
        <v>7.4503311258278151E-4</v>
      </c>
      <c r="I55" s="150" t="s">
        <v>321</v>
      </c>
      <c r="J55" s="35" t="str" cm="1">
        <f t="array" ref="J55">_xlfn.TEXTJOIN(","&amp;CHAR(10),,TEXT(Table2614256[[#This Row],[12]:[22]],"0,00%"))</f>
        <v>0,00%,
0,00%,
0,00%,
0,00%,
0,00%</v>
      </c>
      <c r="K55" s="26"/>
      <c r="L55" s="27" t="e">
        <f>H55-(H55*((MATCH(Table2614256[[#This Row],[Evaluators Response (SELECT)]],Table2614256[[#This Row],[1]:[11]],0)-1)/(COUNTA(Table2614256[[#This Row],[1]:[11]])-COUNTBLANK(Table2614256[[#This Row],[1]:[11]])-1)))</f>
        <v>#N/A</v>
      </c>
      <c r="M55" s="28"/>
      <c r="N55" s="29" t="str" cm="1">
        <f t="array" ref="N55">IFERROR(INDEX(_xlfn.UNIQUE(TRIM(_xlfn.TEXTSPLIT(Table2614256[[#This Row],[Selection Options]:[Selection Options]],","))),,N$11),"")</f>
        <v>100%: Supported as delivered "out of the box"</v>
      </c>
      <c r="O55" s="29" t="str" cm="1">
        <f t="array" ref="O55">IFERROR(INDEX(_xlfn.UNIQUE(TRIM(_xlfn.TEXTSPLIT(Table2614256[[#This Row],[Selection Options]:[Selection Options]],","))),,O$11),"")</f>
        <v xml:space="preserve">
75%: Supported via modifications (config)</v>
      </c>
      <c r="P55" s="29" t="str" cm="1">
        <f t="array" ref="P55">IFERROR(INDEX(_xlfn.UNIQUE(TRIM(_xlfn.TEXTSPLIT(Table2614256[[#This Row],[Selection Options]:[Selection Options]],","))),,P$11),"")</f>
        <v xml:space="preserve">
50%: Supported via a third party solution</v>
      </c>
      <c r="Q55" s="29" t="str" cm="1">
        <f t="array" ref="Q55">IFERROR(INDEX(_xlfn.UNIQUE(TRIM(_xlfn.TEXTSPLIT(Table2614256[[#This Row],[Selection Options]:[Selection Options]],","))),,Q$11),"")</f>
        <v xml:space="preserve">
25%: Supported via customisation (source code changes)</v>
      </c>
      <c r="R55" s="29" t="str" cm="1">
        <f t="array" ref="R55">IFERROR(INDEX(_xlfn.UNIQUE(TRIM(_xlfn.TEXTSPLIT(Table2614256[[#This Row],[Selection Options]:[Selection Options]],","))),,R$11),"")</f>
        <v xml:space="preserve">
 0%: Not currently supported</v>
      </c>
      <c r="S55" s="29" t="str" cm="1">
        <f t="array" ref="S55">IFERROR(INDEX(_xlfn.UNIQUE(TRIM(_xlfn.TEXTSPLIT(Table2614256[[#This Row],[Selection Options]:[Selection Options]],","))),,S$11),"")</f>
        <v/>
      </c>
      <c r="T55" s="29" t="str" cm="1">
        <f t="array" ref="T55">IFERROR(INDEX(_xlfn.UNIQUE(TRIM(_xlfn.TEXTSPLIT(Table2614256[[#This Row],[Selection Options]:[Selection Options]],","))),,T$11),"")</f>
        <v/>
      </c>
      <c r="U55" s="29" t="str" cm="1">
        <f t="array" ref="U55">IFERROR(INDEX(_xlfn.UNIQUE(TRIM(_xlfn.TEXTSPLIT(Table2614256[[#This Row],[Selection Options]:[Selection Options]],","))),,U$11),"")</f>
        <v/>
      </c>
      <c r="V55" s="29" t="str" cm="1">
        <f t="array" ref="V55">IFERROR(INDEX(_xlfn.UNIQUE(TRIM(_xlfn.TEXTSPLIT(Table2614256[[#This Row],[Selection Options]:[Selection Options]],","))),,V$11),"")</f>
        <v/>
      </c>
      <c r="W55" s="29" t="str" cm="1">
        <f t="array" ref="W55">IFERROR(INDEX(_xlfn.UNIQUE(TRIM(_xlfn.TEXTSPLIT(Table2614256[[#This Row],[Selection Options]:[Selection Options]],","))),,W$11),"")</f>
        <v/>
      </c>
      <c r="X55" s="29" t="str" cm="1">
        <f t="array" ref="X55">IFERROR(INDEX(_xlfn.UNIQUE(TRIM(_xlfn.TEXTSPLIT(Table2614256[[#This Row],[Selection Options]:[Selection Options]],","))),,X$11),"")</f>
        <v/>
      </c>
      <c r="Y55" s="30" cm="1">
        <f t="array" ref="Y55">IF(Table2614256[[#This Row],[1]]="","",Table2614256[[#This Row],[Weight]:[Weight]]-(Table2614256[[#This Row],[Weight]:[Weight]]*((_xlfn.XMATCH(Table2614256[[#This Row],[1]],Table2614256[[#This Row],[1]:[11]],0))-1)/(COUNTA(Table2614256[[#This Row],[1]:[11]])-COUNTBLANK(Table2614256[[#This Row],[1]:[11]])-1)))</f>
        <v>7.4503311258278151E-4</v>
      </c>
      <c r="Z55" s="30" cm="1">
        <f t="array" ref="Z55">IF(Table2614256[[#This Row],[2]]="","",Table2614256[[#This Row],[Weight]:[Weight]]-(Table2614256[[#This Row],[Weight]:[Weight]]*((_xlfn.XMATCH(Table2614256[[#This Row],[2]],Table2614256[[#This Row],[1]:[11]],0))-1)/(COUNTA(Table2614256[[#This Row],[1]:[11]])-COUNTBLANK(Table2614256[[#This Row],[1]:[11]])-1)))</f>
        <v>5.5877483443708611E-4</v>
      </c>
      <c r="AA55" s="30" cm="1">
        <f t="array" ref="AA55">IF(Table2614256[[#This Row],[3]]="","",Table2614256[[#This Row],[Weight]:[Weight]]-(Table2614256[[#This Row],[Weight]:[Weight]]*((_xlfn.XMATCH(Table2614256[[#This Row],[3]],Table2614256[[#This Row],[1]:[11]],0))-1)/(COUNTA(Table2614256[[#This Row],[1]:[11]])-COUNTBLANK(Table2614256[[#This Row],[1]:[11]])-1)))</f>
        <v>3.7251655629139076E-4</v>
      </c>
      <c r="AB55" s="30" cm="1">
        <f t="array" ref="AB55">IF(Table2614256[[#This Row],[4]]="","",Table2614256[[#This Row],[Weight]:[Weight]]-(Table2614256[[#This Row],[Weight]:[Weight]]*((_xlfn.XMATCH(Table2614256[[#This Row],[4]],Table2614256[[#This Row],[1]:[11]],0))-1)/(COUNTA(Table2614256[[#This Row],[1]:[11]])-COUNTBLANK(Table2614256[[#This Row],[1]:[11]])-1)))</f>
        <v>1.862582781456954E-4</v>
      </c>
      <c r="AC55" s="30" cm="1">
        <f t="array" ref="AC55">IF(Table2614256[[#This Row],[5]]="","",Table2614256[[#This Row],[Weight]:[Weight]]-(Table2614256[[#This Row],[Weight]:[Weight]]*((_xlfn.XMATCH(Table2614256[[#This Row],[5]],Table2614256[[#This Row],[1]:[11]],0))-1)/(COUNTA(Table2614256[[#This Row],[1]:[11]])-COUNTBLANK(Table2614256[[#This Row],[1]:[11]])-1)))</f>
        <v>0</v>
      </c>
      <c r="AD55" s="30" t="str" cm="1">
        <f t="array" ref="AD55">IF(Table2614256[[#This Row],[6]]="","",Table2614256[[#This Row],[Weight]:[Weight]]-(Table2614256[[#This Row],[Weight]:[Weight]]*((_xlfn.XMATCH(Table2614256[[#This Row],[6]],Table2614256[[#This Row],[1]:[11]],0))-1)/(COUNTA(Table2614256[[#This Row],[1]:[11]])-COUNTBLANK(Table2614256[[#This Row],[1]:[11]])-1)))</f>
        <v/>
      </c>
      <c r="AE55" s="30" t="str" cm="1">
        <f t="array" ref="AE55">IF(Table2614256[[#This Row],[7]]="","",Table2614256[[#This Row],[Weight]:[Weight]]-(Table2614256[[#This Row],[Weight]:[Weight]]*((_xlfn.XMATCH(Table2614256[[#This Row],[7]],Table2614256[[#This Row],[1]:[11]],0))-1)/(COUNTA(Table2614256[[#This Row],[1]:[11]])-COUNTBLANK(Table2614256[[#This Row],[1]:[11]])-1)))</f>
        <v/>
      </c>
      <c r="AF55" s="30" t="str" cm="1">
        <f t="array" ref="AF55">IF(Table2614256[[#This Row],[8]]="","",Table2614256[[#This Row],[Weight]:[Weight]]-(Table2614256[[#This Row],[Weight]:[Weight]]*((_xlfn.XMATCH(Table2614256[[#This Row],[8]],Table2614256[[#This Row],[1]:[11]],0))-1)/(COUNTA(Table2614256[[#This Row],[1]:[11]])-COUNTBLANK(Table2614256[[#This Row],[1]:[11]])-1)))</f>
        <v/>
      </c>
      <c r="AG55" s="30" t="str" cm="1">
        <f t="array" ref="AG55">IF(Table2614256[[#This Row],[9]]="","",Table2614256[[#This Row],[Weight]:[Weight]]-(Table2614256[[#This Row],[Weight]:[Weight]]*((_xlfn.XMATCH(Table2614256[[#This Row],[9]],Table2614256[[#This Row],[1]:[11]],0))-1)/(COUNTA(Table2614256[[#This Row],[1]:[11]])-COUNTBLANK(Table2614256[[#This Row],[1]:[11]])-1)))</f>
        <v/>
      </c>
      <c r="AH55" s="30" t="str" cm="1">
        <f t="array" ref="AH55">IF(Table2614256[[#This Row],[10]]="","",Table2614256[[#This Row],[Weight]:[Weight]]-(Table2614256[[#This Row],[Weight]:[Weight]]*((_xlfn.XMATCH(Table2614256[[#This Row],[10]],Table2614256[[#This Row],[1]:[11]],0))-1)/(COUNTA(Table2614256[[#This Row],[1]:[11]])-COUNTBLANK(Table2614256[[#This Row],[1]:[11]])-1)))</f>
        <v/>
      </c>
      <c r="AI55" s="30" t="str" cm="1">
        <f t="array" ref="AI55">IF(Table2614256[[#This Row],[11]]="","",Table2614256[[#This Row],[Weight]:[Weight]]-(Table2614256[[#This Row],[Weight]:[Weight]]*((_xlfn.XMATCH(Table2614256[[#This Row],[11]],Table2614256[[#This Row],[1]:[11]],0))-1)/(COUNTA(Table2614256[[#This Row],[1]:[11]])-COUNTBLANK(Table2614256[[#This Row],[1]:[11]])-1)))</f>
        <v/>
      </c>
    </row>
    <row r="56" spans="1:35" ht="120" x14ac:dyDescent="0.2">
      <c r="A56" s="20">
        <v>44</v>
      </c>
      <c r="B56" s="90" t="s">
        <v>387</v>
      </c>
      <c r="C56" s="119" t="s">
        <v>215</v>
      </c>
      <c r="D56" s="153"/>
      <c r="E56" s="153"/>
      <c r="F56" s="121" t="s">
        <v>60</v>
      </c>
      <c r="G56" s="148" cm="1">
        <f t="array" ref="G56">_xlfn.IFS(F56="","",F56="No interest",0,F56="Nice to have",1,F56="Useful",2,F56="Important",3,F56="Very important",4,F56="Critical",5,F56="Show stopper",6)</f>
        <v>6</v>
      </c>
      <c r="H56" s="149">
        <f t="shared" si="2"/>
        <v>7.4503311258278151E-4</v>
      </c>
      <c r="I56" s="150" t="s">
        <v>321</v>
      </c>
      <c r="J56" s="35" t="str" cm="1">
        <f t="array" ref="J56">_xlfn.TEXTJOIN(","&amp;CHAR(10),,TEXT(Table2614256[[#This Row],[12]:[22]],"0,00%"))</f>
        <v>0,00%,
0,00%,
0,00%,
0,00%,
0,00%</v>
      </c>
      <c r="K56" s="26"/>
      <c r="L56" s="27" t="e">
        <f>H56-(H56*((MATCH(Table2614256[[#This Row],[Evaluators Response (SELECT)]],Table2614256[[#This Row],[1]:[11]],0)-1)/(COUNTA(Table2614256[[#This Row],[1]:[11]])-COUNTBLANK(Table2614256[[#This Row],[1]:[11]])-1)))</f>
        <v>#N/A</v>
      </c>
      <c r="M56" s="28"/>
      <c r="N56" s="29" t="str" cm="1">
        <f t="array" ref="N56">IFERROR(INDEX(_xlfn.UNIQUE(TRIM(_xlfn.TEXTSPLIT(Table2614256[[#This Row],[Selection Options]:[Selection Options]],","))),,N$11),"")</f>
        <v>100%: Supported as delivered "out of the box"</v>
      </c>
      <c r="O56" s="29" t="str" cm="1">
        <f t="array" ref="O56">IFERROR(INDEX(_xlfn.UNIQUE(TRIM(_xlfn.TEXTSPLIT(Table2614256[[#This Row],[Selection Options]:[Selection Options]],","))),,O$11),"")</f>
        <v xml:space="preserve">
75%: Supported via modifications (config)</v>
      </c>
      <c r="P56" s="29" t="str" cm="1">
        <f t="array" ref="P56">IFERROR(INDEX(_xlfn.UNIQUE(TRIM(_xlfn.TEXTSPLIT(Table2614256[[#This Row],[Selection Options]:[Selection Options]],","))),,P$11),"")</f>
        <v xml:space="preserve">
50%: Supported via a third party solution</v>
      </c>
      <c r="Q56" s="29" t="str" cm="1">
        <f t="array" ref="Q56">IFERROR(INDEX(_xlfn.UNIQUE(TRIM(_xlfn.TEXTSPLIT(Table2614256[[#This Row],[Selection Options]:[Selection Options]],","))),,Q$11),"")</f>
        <v xml:space="preserve">
25%: Supported via customisation (source code changes)</v>
      </c>
      <c r="R56" s="29" t="str" cm="1">
        <f t="array" ref="R56">IFERROR(INDEX(_xlfn.UNIQUE(TRIM(_xlfn.TEXTSPLIT(Table2614256[[#This Row],[Selection Options]:[Selection Options]],","))),,R$11),"")</f>
        <v xml:space="preserve">
 0%: Not currently supported</v>
      </c>
      <c r="S56" s="29" t="str" cm="1">
        <f t="array" ref="S56">IFERROR(INDEX(_xlfn.UNIQUE(TRIM(_xlfn.TEXTSPLIT(Table2614256[[#This Row],[Selection Options]:[Selection Options]],","))),,S$11),"")</f>
        <v/>
      </c>
      <c r="T56" s="29" t="str" cm="1">
        <f t="array" ref="T56">IFERROR(INDEX(_xlfn.UNIQUE(TRIM(_xlfn.TEXTSPLIT(Table2614256[[#This Row],[Selection Options]:[Selection Options]],","))),,T$11),"")</f>
        <v/>
      </c>
      <c r="U56" s="29" t="str" cm="1">
        <f t="array" ref="U56">IFERROR(INDEX(_xlfn.UNIQUE(TRIM(_xlfn.TEXTSPLIT(Table2614256[[#This Row],[Selection Options]:[Selection Options]],","))),,U$11),"")</f>
        <v/>
      </c>
      <c r="V56" s="29" t="str" cm="1">
        <f t="array" ref="V56">IFERROR(INDEX(_xlfn.UNIQUE(TRIM(_xlfn.TEXTSPLIT(Table2614256[[#This Row],[Selection Options]:[Selection Options]],","))),,V$11),"")</f>
        <v/>
      </c>
      <c r="W56" s="29" t="str" cm="1">
        <f t="array" ref="W56">IFERROR(INDEX(_xlfn.UNIQUE(TRIM(_xlfn.TEXTSPLIT(Table2614256[[#This Row],[Selection Options]:[Selection Options]],","))),,W$11),"")</f>
        <v/>
      </c>
      <c r="X56" s="29" t="str" cm="1">
        <f t="array" ref="X56">IFERROR(INDEX(_xlfn.UNIQUE(TRIM(_xlfn.TEXTSPLIT(Table2614256[[#This Row],[Selection Options]:[Selection Options]],","))),,X$11),"")</f>
        <v/>
      </c>
      <c r="Y56" s="30" cm="1">
        <f t="array" ref="Y56">IF(Table2614256[[#This Row],[1]]="","",Table2614256[[#This Row],[Weight]:[Weight]]-(Table2614256[[#This Row],[Weight]:[Weight]]*((_xlfn.XMATCH(Table2614256[[#This Row],[1]],Table2614256[[#This Row],[1]:[11]],0))-1)/(COUNTA(Table2614256[[#This Row],[1]:[11]])-COUNTBLANK(Table2614256[[#This Row],[1]:[11]])-1)))</f>
        <v>7.4503311258278151E-4</v>
      </c>
      <c r="Z56" s="30" cm="1">
        <f t="array" ref="Z56">IF(Table2614256[[#This Row],[2]]="","",Table2614256[[#This Row],[Weight]:[Weight]]-(Table2614256[[#This Row],[Weight]:[Weight]]*((_xlfn.XMATCH(Table2614256[[#This Row],[2]],Table2614256[[#This Row],[1]:[11]],0))-1)/(COUNTA(Table2614256[[#This Row],[1]:[11]])-COUNTBLANK(Table2614256[[#This Row],[1]:[11]])-1)))</f>
        <v>5.5877483443708611E-4</v>
      </c>
      <c r="AA56" s="30" cm="1">
        <f t="array" ref="AA56">IF(Table2614256[[#This Row],[3]]="","",Table2614256[[#This Row],[Weight]:[Weight]]-(Table2614256[[#This Row],[Weight]:[Weight]]*((_xlfn.XMATCH(Table2614256[[#This Row],[3]],Table2614256[[#This Row],[1]:[11]],0))-1)/(COUNTA(Table2614256[[#This Row],[1]:[11]])-COUNTBLANK(Table2614256[[#This Row],[1]:[11]])-1)))</f>
        <v>3.7251655629139076E-4</v>
      </c>
      <c r="AB56" s="30" cm="1">
        <f t="array" ref="AB56">IF(Table2614256[[#This Row],[4]]="","",Table2614256[[#This Row],[Weight]:[Weight]]-(Table2614256[[#This Row],[Weight]:[Weight]]*((_xlfn.XMATCH(Table2614256[[#This Row],[4]],Table2614256[[#This Row],[1]:[11]],0))-1)/(COUNTA(Table2614256[[#This Row],[1]:[11]])-COUNTBLANK(Table2614256[[#This Row],[1]:[11]])-1)))</f>
        <v>1.862582781456954E-4</v>
      </c>
      <c r="AC56" s="30" cm="1">
        <f t="array" ref="AC56">IF(Table2614256[[#This Row],[5]]="","",Table2614256[[#This Row],[Weight]:[Weight]]-(Table2614256[[#This Row],[Weight]:[Weight]]*((_xlfn.XMATCH(Table2614256[[#This Row],[5]],Table2614256[[#This Row],[1]:[11]],0))-1)/(COUNTA(Table2614256[[#This Row],[1]:[11]])-COUNTBLANK(Table2614256[[#This Row],[1]:[11]])-1)))</f>
        <v>0</v>
      </c>
      <c r="AD56" s="30" t="str" cm="1">
        <f t="array" ref="AD56">IF(Table2614256[[#This Row],[6]]="","",Table2614256[[#This Row],[Weight]:[Weight]]-(Table2614256[[#This Row],[Weight]:[Weight]]*((_xlfn.XMATCH(Table2614256[[#This Row],[6]],Table2614256[[#This Row],[1]:[11]],0))-1)/(COUNTA(Table2614256[[#This Row],[1]:[11]])-COUNTBLANK(Table2614256[[#This Row],[1]:[11]])-1)))</f>
        <v/>
      </c>
      <c r="AE56" s="30" t="str" cm="1">
        <f t="array" ref="AE56">IF(Table2614256[[#This Row],[7]]="","",Table2614256[[#This Row],[Weight]:[Weight]]-(Table2614256[[#This Row],[Weight]:[Weight]]*((_xlfn.XMATCH(Table2614256[[#This Row],[7]],Table2614256[[#This Row],[1]:[11]],0))-1)/(COUNTA(Table2614256[[#This Row],[1]:[11]])-COUNTBLANK(Table2614256[[#This Row],[1]:[11]])-1)))</f>
        <v/>
      </c>
      <c r="AF56" s="30" t="str" cm="1">
        <f t="array" ref="AF56">IF(Table2614256[[#This Row],[8]]="","",Table2614256[[#This Row],[Weight]:[Weight]]-(Table2614256[[#This Row],[Weight]:[Weight]]*((_xlfn.XMATCH(Table2614256[[#This Row],[8]],Table2614256[[#This Row],[1]:[11]],0))-1)/(COUNTA(Table2614256[[#This Row],[1]:[11]])-COUNTBLANK(Table2614256[[#This Row],[1]:[11]])-1)))</f>
        <v/>
      </c>
      <c r="AG56" s="30" t="str" cm="1">
        <f t="array" ref="AG56">IF(Table2614256[[#This Row],[9]]="","",Table2614256[[#This Row],[Weight]:[Weight]]-(Table2614256[[#This Row],[Weight]:[Weight]]*((_xlfn.XMATCH(Table2614256[[#This Row],[9]],Table2614256[[#This Row],[1]:[11]],0))-1)/(COUNTA(Table2614256[[#This Row],[1]:[11]])-COUNTBLANK(Table2614256[[#This Row],[1]:[11]])-1)))</f>
        <v/>
      </c>
      <c r="AH56" s="30" t="str" cm="1">
        <f t="array" ref="AH56">IF(Table2614256[[#This Row],[10]]="","",Table2614256[[#This Row],[Weight]:[Weight]]-(Table2614256[[#This Row],[Weight]:[Weight]]*((_xlfn.XMATCH(Table2614256[[#This Row],[10]],Table2614256[[#This Row],[1]:[11]],0))-1)/(COUNTA(Table2614256[[#This Row],[1]:[11]])-COUNTBLANK(Table2614256[[#This Row],[1]:[11]])-1)))</f>
        <v/>
      </c>
      <c r="AI56" s="30" t="str" cm="1">
        <f t="array" ref="AI56">IF(Table2614256[[#This Row],[11]]="","",Table2614256[[#This Row],[Weight]:[Weight]]-(Table2614256[[#This Row],[Weight]:[Weight]]*((_xlfn.XMATCH(Table2614256[[#This Row],[11]],Table2614256[[#This Row],[1]:[11]],0))-1)/(COUNTA(Table2614256[[#This Row],[1]:[11]])-COUNTBLANK(Table2614256[[#This Row],[1]:[11]])-1)))</f>
        <v/>
      </c>
    </row>
    <row r="57" spans="1:35" ht="120" x14ac:dyDescent="0.2">
      <c r="A57" s="20">
        <v>45</v>
      </c>
      <c r="B57" s="90" t="s">
        <v>388</v>
      </c>
      <c r="C57" s="119" t="s">
        <v>215</v>
      </c>
      <c r="D57" s="153"/>
      <c r="E57" s="153"/>
      <c r="F57" s="121" t="s">
        <v>60</v>
      </c>
      <c r="G57" s="148" cm="1">
        <f t="array" ref="G57">_xlfn.IFS(F57="","",F57="No interest",0,F57="Nice to have",1,F57="Useful",2,F57="Important",3,F57="Very important",4,F57="Critical",5,F57="Show stopper",6)</f>
        <v>6</v>
      </c>
      <c r="H57" s="149">
        <f t="shared" si="2"/>
        <v>7.4503311258278151E-4</v>
      </c>
      <c r="I57" s="150" t="s">
        <v>321</v>
      </c>
      <c r="J57" s="35" t="str" cm="1">
        <f t="array" ref="J57">_xlfn.TEXTJOIN(","&amp;CHAR(10),,TEXT(Table2614256[[#This Row],[12]:[22]],"0,00%"))</f>
        <v>0,00%,
0,00%,
0,00%,
0,00%,
0,00%</v>
      </c>
      <c r="K57" s="26"/>
      <c r="L57" s="27" t="e">
        <f>H57-(H57*((MATCH(Table2614256[[#This Row],[Evaluators Response (SELECT)]],Table2614256[[#This Row],[1]:[11]],0)-1)/(COUNTA(Table2614256[[#This Row],[1]:[11]])-COUNTBLANK(Table2614256[[#This Row],[1]:[11]])-1)))</f>
        <v>#N/A</v>
      </c>
      <c r="M57" s="28"/>
      <c r="N57" s="29" t="str" cm="1">
        <f t="array" ref="N57">IFERROR(INDEX(_xlfn.UNIQUE(TRIM(_xlfn.TEXTSPLIT(Table2614256[[#This Row],[Selection Options]:[Selection Options]],","))),,N$11),"")</f>
        <v>100%: Supported as delivered "out of the box"</v>
      </c>
      <c r="O57" s="29" t="str" cm="1">
        <f t="array" ref="O57">IFERROR(INDEX(_xlfn.UNIQUE(TRIM(_xlfn.TEXTSPLIT(Table2614256[[#This Row],[Selection Options]:[Selection Options]],","))),,O$11),"")</f>
        <v xml:space="preserve">
75%: Supported via modifications (config)</v>
      </c>
      <c r="P57" s="29" t="str" cm="1">
        <f t="array" ref="P57">IFERROR(INDEX(_xlfn.UNIQUE(TRIM(_xlfn.TEXTSPLIT(Table2614256[[#This Row],[Selection Options]:[Selection Options]],","))),,P$11),"")</f>
        <v xml:space="preserve">
50%: Supported via a third party solution</v>
      </c>
      <c r="Q57" s="29" t="str" cm="1">
        <f t="array" ref="Q57">IFERROR(INDEX(_xlfn.UNIQUE(TRIM(_xlfn.TEXTSPLIT(Table2614256[[#This Row],[Selection Options]:[Selection Options]],","))),,Q$11),"")</f>
        <v xml:space="preserve">
25%: Supported via customisation (source code changes)</v>
      </c>
      <c r="R57" s="29" t="str" cm="1">
        <f t="array" ref="R57">IFERROR(INDEX(_xlfn.UNIQUE(TRIM(_xlfn.TEXTSPLIT(Table2614256[[#This Row],[Selection Options]:[Selection Options]],","))),,R$11),"")</f>
        <v xml:space="preserve">
 0%: Not currently supported</v>
      </c>
      <c r="S57" s="29" t="str" cm="1">
        <f t="array" ref="S57">IFERROR(INDEX(_xlfn.UNIQUE(TRIM(_xlfn.TEXTSPLIT(Table2614256[[#This Row],[Selection Options]:[Selection Options]],","))),,S$11),"")</f>
        <v/>
      </c>
      <c r="T57" s="29" t="str" cm="1">
        <f t="array" ref="T57">IFERROR(INDEX(_xlfn.UNIQUE(TRIM(_xlfn.TEXTSPLIT(Table2614256[[#This Row],[Selection Options]:[Selection Options]],","))),,T$11),"")</f>
        <v/>
      </c>
      <c r="U57" s="29" t="str" cm="1">
        <f t="array" ref="U57">IFERROR(INDEX(_xlfn.UNIQUE(TRIM(_xlfn.TEXTSPLIT(Table2614256[[#This Row],[Selection Options]:[Selection Options]],","))),,U$11),"")</f>
        <v/>
      </c>
      <c r="V57" s="29" t="str" cm="1">
        <f t="array" ref="V57">IFERROR(INDEX(_xlfn.UNIQUE(TRIM(_xlfn.TEXTSPLIT(Table2614256[[#This Row],[Selection Options]:[Selection Options]],","))),,V$11),"")</f>
        <v/>
      </c>
      <c r="W57" s="29" t="str" cm="1">
        <f t="array" ref="W57">IFERROR(INDEX(_xlfn.UNIQUE(TRIM(_xlfn.TEXTSPLIT(Table2614256[[#This Row],[Selection Options]:[Selection Options]],","))),,W$11),"")</f>
        <v/>
      </c>
      <c r="X57" s="29" t="str" cm="1">
        <f t="array" ref="X57">IFERROR(INDEX(_xlfn.UNIQUE(TRIM(_xlfn.TEXTSPLIT(Table2614256[[#This Row],[Selection Options]:[Selection Options]],","))),,X$11),"")</f>
        <v/>
      </c>
      <c r="Y57" s="30" cm="1">
        <f t="array" ref="Y57">IF(Table2614256[[#This Row],[1]]="","",Table2614256[[#This Row],[Weight]:[Weight]]-(Table2614256[[#This Row],[Weight]:[Weight]]*((_xlfn.XMATCH(Table2614256[[#This Row],[1]],Table2614256[[#This Row],[1]:[11]],0))-1)/(COUNTA(Table2614256[[#This Row],[1]:[11]])-COUNTBLANK(Table2614256[[#This Row],[1]:[11]])-1)))</f>
        <v>7.4503311258278151E-4</v>
      </c>
      <c r="Z57" s="30" cm="1">
        <f t="array" ref="Z57">IF(Table2614256[[#This Row],[2]]="","",Table2614256[[#This Row],[Weight]:[Weight]]-(Table2614256[[#This Row],[Weight]:[Weight]]*((_xlfn.XMATCH(Table2614256[[#This Row],[2]],Table2614256[[#This Row],[1]:[11]],0))-1)/(COUNTA(Table2614256[[#This Row],[1]:[11]])-COUNTBLANK(Table2614256[[#This Row],[1]:[11]])-1)))</f>
        <v>5.5877483443708611E-4</v>
      </c>
      <c r="AA57" s="30" cm="1">
        <f t="array" ref="AA57">IF(Table2614256[[#This Row],[3]]="","",Table2614256[[#This Row],[Weight]:[Weight]]-(Table2614256[[#This Row],[Weight]:[Weight]]*((_xlfn.XMATCH(Table2614256[[#This Row],[3]],Table2614256[[#This Row],[1]:[11]],0))-1)/(COUNTA(Table2614256[[#This Row],[1]:[11]])-COUNTBLANK(Table2614256[[#This Row],[1]:[11]])-1)))</f>
        <v>3.7251655629139076E-4</v>
      </c>
      <c r="AB57" s="30" cm="1">
        <f t="array" ref="AB57">IF(Table2614256[[#This Row],[4]]="","",Table2614256[[#This Row],[Weight]:[Weight]]-(Table2614256[[#This Row],[Weight]:[Weight]]*((_xlfn.XMATCH(Table2614256[[#This Row],[4]],Table2614256[[#This Row],[1]:[11]],0))-1)/(COUNTA(Table2614256[[#This Row],[1]:[11]])-COUNTBLANK(Table2614256[[#This Row],[1]:[11]])-1)))</f>
        <v>1.862582781456954E-4</v>
      </c>
      <c r="AC57" s="30" cm="1">
        <f t="array" ref="AC57">IF(Table2614256[[#This Row],[5]]="","",Table2614256[[#This Row],[Weight]:[Weight]]-(Table2614256[[#This Row],[Weight]:[Weight]]*((_xlfn.XMATCH(Table2614256[[#This Row],[5]],Table2614256[[#This Row],[1]:[11]],0))-1)/(COUNTA(Table2614256[[#This Row],[1]:[11]])-COUNTBLANK(Table2614256[[#This Row],[1]:[11]])-1)))</f>
        <v>0</v>
      </c>
      <c r="AD57" s="30" t="str" cm="1">
        <f t="array" ref="AD57">IF(Table2614256[[#This Row],[6]]="","",Table2614256[[#This Row],[Weight]:[Weight]]-(Table2614256[[#This Row],[Weight]:[Weight]]*((_xlfn.XMATCH(Table2614256[[#This Row],[6]],Table2614256[[#This Row],[1]:[11]],0))-1)/(COUNTA(Table2614256[[#This Row],[1]:[11]])-COUNTBLANK(Table2614256[[#This Row],[1]:[11]])-1)))</f>
        <v/>
      </c>
      <c r="AE57" s="30" t="str" cm="1">
        <f t="array" ref="AE57">IF(Table2614256[[#This Row],[7]]="","",Table2614256[[#This Row],[Weight]:[Weight]]-(Table2614256[[#This Row],[Weight]:[Weight]]*((_xlfn.XMATCH(Table2614256[[#This Row],[7]],Table2614256[[#This Row],[1]:[11]],0))-1)/(COUNTA(Table2614256[[#This Row],[1]:[11]])-COUNTBLANK(Table2614256[[#This Row],[1]:[11]])-1)))</f>
        <v/>
      </c>
      <c r="AF57" s="30" t="str" cm="1">
        <f t="array" ref="AF57">IF(Table2614256[[#This Row],[8]]="","",Table2614256[[#This Row],[Weight]:[Weight]]-(Table2614256[[#This Row],[Weight]:[Weight]]*((_xlfn.XMATCH(Table2614256[[#This Row],[8]],Table2614256[[#This Row],[1]:[11]],0))-1)/(COUNTA(Table2614256[[#This Row],[1]:[11]])-COUNTBLANK(Table2614256[[#This Row],[1]:[11]])-1)))</f>
        <v/>
      </c>
      <c r="AG57" s="30" t="str" cm="1">
        <f t="array" ref="AG57">IF(Table2614256[[#This Row],[9]]="","",Table2614256[[#This Row],[Weight]:[Weight]]-(Table2614256[[#This Row],[Weight]:[Weight]]*((_xlfn.XMATCH(Table2614256[[#This Row],[9]],Table2614256[[#This Row],[1]:[11]],0))-1)/(COUNTA(Table2614256[[#This Row],[1]:[11]])-COUNTBLANK(Table2614256[[#This Row],[1]:[11]])-1)))</f>
        <v/>
      </c>
      <c r="AH57" s="30" t="str" cm="1">
        <f t="array" ref="AH57">IF(Table2614256[[#This Row],[10]]="","",Table2614256[[#This Row],[Weight]:[Weight]]-(Table2614256[[#This Row],[Weight]:[Weight]]*((_xlfn.XMATCH(Table2614256[[#This Row],[10]],Table2614256[[#This Row],[1]:[11]],0))-1)/(COUNTA(Table2614256[[#This Row],[1]:[11]])-COUNTBLANK(Table2614256[[#This Row],[1]:[11]])-1)))</f>
        <v/>
      </c>
      <c r="AI57" s="30" t="str" cm="1">
        <f t="array" ref="AI57">IF(Table2614256[[#This Row],[11]]="","",Table2614256[[#This Row],[Weight]:[Weight]]-(Table2614256[[#This Row],[Weight]:[Weight]]*((_xlfn.XMATCH(Table2614256[[#This Row],[11]],Table2614256[[#This Row],[1]:[11]],0))-1)/(COUNTA(Table2614256[[#This Row],[1]:[11]])-COUNTBLANK(Table2614256[[#This Row],[1]:[11]])-1)))</f>
        <v/>
      </c>
    </row>
    <row r="58" spans="1:35" ht="120" x14ac:dyDescent="0.2">
      <c r="A58" s="20">
        <v>46</v>
      </c>
      <c r="B58" s="90" t="s">
        <v>389</v>
      </c>
      <c r="C58" s="119" t="s">
        <v>215</v>
      </c>
      <c r="D58" s="153"/>
      <c r="E58" s="153"/>
      <c r="F58" s="121" t="s">
        <v>60</v>
      </c>
      <c r="G58" s="148" cm="1">
        <f t="array" ref="G58">_xlfn.IFS(F58="","",F58="No interest",0,F58="Nice to have",1,F58="Useful",2,F58="Important",3,F58="Very important",4,F58="Critical",5,F58="Show stopper",6)</f>
        <v>6</v>
      </c>
      <c r="H58" s="149">
        <f t="shared" si="2"/>
        <v>7.4503311258278151E-4</v>
      </c>
      <c r="I58" s="150" t="s">
        <v>321</v>
      </c>
      <c r="J58" s="35" t="str" cm="1">
        <f t="array" ref="J58">_xlfn.TEXTJOIN(","&amp;CHAR(10),,TEXT(Table2614256[[#This Row],[12]:[22]],"0,00%"))</f>
        <v>0,00%,
0,00%,
0,00%,
0,00%,
0,00%</v>
      </c>
      <c r="K58" s="26"/>
      <c r="L58" s="27" t="e">
        <f>H58-(H58*((MATCH(Table2614256[[#This Row],[Evaluators Response (SELECT)]],Table2614256[[#This Row],[1]:[11]],0)-1)/(COUNTA(Table2614256[[#This Row],[1]:[11]])-COUNTBLANK(Table2614256[[#This Row],[1]:[11]])-1)))</f>
        <v>#N/A</v>
      </c>
      <c r="M58" s="28"/>
      <c r="N58" s="29" t="str" cm="1">
        <f t="array" ref="N58">IFERROR(INDEX(_xlfn.UNIQUE(TRIM(_xlfn.TEXTSPLIT(Table2614256[[#This Row],[Selection Options]:[Selection Options]],","))),,N$11),"")</f>
        <v>100%: Supported as delivered "out of the box"</v>
      </c>
      <c r="O58" s="29" t="str" cm="1">
        <f t="array" ref="O58">IFERROR(INDEX(_xlfn.UNIQUE(TRIM(_xlfn.TEXTSPLIT(Table2614256[[#This Row],[Selection Options]:[Selection Options]],","))),,O$11),"")</f>
        <v xml:space="preserve">
75%: Supported via modifications (config)</v>
      </c>
      <c r="P58" s="29" t="str" cm="1">
        <f t="array" ref="P58">IFERROR(INDEX(_xlfn.UNIQUE(TRIM(_xlfn.TEXTSPLIT(Table2614256[[#This Row],[Selection Options]:[Selection Options]],","))),,P$11),"")</f>
        <v xml:space="preserve">
50%: Supported via a third party solution</v>
      </c>
      <c r="Q58" s="29" t="str" cm="1">
        <f t="array" ref="Q58">IFERROR(INDEX(_xlfn.UNIQUE(TRIM(_xlfn.TEXTSPLIT(Table2614256[[#This Row],[Selection Options]:[Selection Options]],","))),,Q$11),"")</f>
        <v xml:space="preserve">
25%: Supported via customisation (source code changes)</v>
      </c>
      <c r="R58" s="29" t="str" cm="1">
        <f t="array" ref="R58">IFERROR(INDEX(_xlfn.UNIQUE(TRIM(_xlfn.TEXTSPLIT(Table2614256[[#This Row],[Selection Options]:[Selection Options]],","))),,R$11),"")</f>
        <v xml:space="preserve">
 0%: Not currently supported</v>
      </c>
      <c r="S58" s="29" t="str" cm="1">
        <f t="array" ref="S58">IFERROR(INDEX(_xlfn.UNIQUE(TRIM(_xlfn.TEXTSPLIT(Table2614256[[#This Row],[Selection Options]:[Selection Options]],","))),,S$11),"")</f>
        <v/>
      </c>
      <c r="T58" s="29" t="str" cm="1">
        <f t="array" ref="T58">IFERROR(INDEX(_xlfn.UNIQUE(TRIM(_xlfn.TEXTSPLIT(Table2614256[[#This Row],[Selection Options]:[Selection Options]],","))),,T$11),"")</f>
        <v/>
      </c>
      <c r="U58" s="29" t="str" cm="1">
        <f t="array" ref="U58">IFERROR(INDEX(_xlfn.UNIQUE(TRIM(_xlfn.TEXTSPLIT(Table2614256[[#This Row],[Selection Options]:[Selection Options]],","))),,U$11),"")</f>
        <v/>
      </c>
      <c r="V58" s="29" t="str" cm="1">
        <f t="array" ref="V58">IFERROR(INDEX(_xlfn.UNIQUE(TRIM(_xlfn.TEXTSPLIT(Table2614256[[#This Row],[Selection Options]:[Selection Options]],","))),,V$11),"")</f>
        <v/>
      </c>
      <c r="W58" s="29" t="str" cm="1">
        <f t="array" ref="W58">IFERROR(INDEX(_xlfn.UNIQUE(TRIM(_xlfn.TEXTSPLIT(Table2614256[[#This Row],[Selection Options]:[Selection Options]],","))),,W$11),"")</f>
        <v/>
      </c>
      <c r="X58" s="29" t="str" cm="1">
        <f t="array" ref="X58">IFERROR(INDEX(_xlfn.UNIQUE(TRIM(_xlfn.TEXTSPLIT(Table2614256[[#This Row],[Selection Options]:[Selection Options]],","))),,X$11),"")</f>
        <v/>
      </c>
      <c r="Y58" s="30" cm="1">
        <f t="array" ref="Y58">IF(Table2614256[[#This Row],[1]]="","",Table2614256[[#This Row],[Weight]:[Weight]]-(Table2614256[[#This Row],[Weight]:[Weight]]*((_xlfn.XMATCH(Table2614256[[#This Row],[1]],Table2614256[[#This Row],[1]:[11]],0))-1)/(COUNTA(Table2614256[[#This Row],[1]:[11]])-COUNTBLANK(Table2614256[[#This Row],[1]:[11]])-1)))</f>
        <v>7.4503311258278151E-4</v>
      </c>
      <c r="Z58" s="30" cm="1">
        <f t="array" ref="Z58">IF(Table2614256[[#This Row],[2]]="","",Table2614256[[#This Row],[Weight]:[Weight]]-(Table2614256[[#This Row],[Weight]:[Weight]]*((_xlfn.XMATCH(Table2614256[[#This Row],[2]],Table2614256[[#This Row],[1]:[11]],0))-1)/(COUNTA(Table2614256[[#This Row],[1]:[11]])-COUNTBLANK(Table2614256[[#This Row],[1]:[11]])-1)))</f>
        <v>5.5877483443708611E-4</v>
      </c>
      <c r="AA58" s="30" cm="1">
        <f t="array" ref="AA58">IF(Table2614256[[#This Row],[3]]="","",Table2614256[[#This Row],[Weight]:[Weight]]-(Table2614256[[#This Row],[Weight]:[Weight]]*((_xlfn.XMATCH(Table2614256[[#This Row],[3]],Table2614256[[#This Row],[1]:[11]],0))-1)/(COUNTA(Table2614256[[#This Row],[1]:[11]])-COUNTBLANK(Table2614256[[#This Row],[1]:[11]])-1)))</f>
        <v>3.7251655629139076E-4</v>
      </c>
      <c r="AB58" s="30" cm="1">
        <f t="array" ref="AB58">IF(Table2614256[[#This Row],[4]]="","",Table2614256[[#This Row],[Weight]:[Weight]]-(Table2614256[[#This Row],[Weight]:[Weight]]*((_xlfn.XMATCH(Table2614256[[#This Row],[4]],Table2614256[[#This Row],[1]:[11]],0))-1)/(COUNTA(Table2614256[[#This Row],[1]:[11]])-COUNTBLANK(Table2614256[[#This Row],[1]:[11]])-1)))</f>
        <v>1.862582781456954E-4</v>
      </c>
      <c r="AC58" s="30" cm="1">
        <f t="array" ref="AC58">IF(Table2614256[[#This Row],[5]]="","",Table2614256[[#This Row],[Weight]:[Weight]]-(Table2614256[[#This Row],[Weight]:[Weight]]*((_xlfn.XMATCH(Table2614256[[#This Row],[5]],Table2614256[[#This Row],[1]:[11]],0))-1)/(COUNTA(Table2614256[[#This Row],[1]:[11]])-COUNTBLANK(Table2614256[[#This Row],[1]:[11]])-1)))</f>
        <v>0</v>
      </c>
      <c r="AD58" s="30" t="str" cm="1">
        <f t="array" ref="AD58">IF(Table2614256[[#This Row],[6]]="","",Table2614256[[#This Row],[Weight]:[Weight]]-(Table2614256[[#This Row],[Weight]:[Weight]]*((_xlfn.XMATCH(Table2614256[[#This Row],[6]],Table2614256[[#This Row],[1]:[11]],0))-1)/(COUNTA(Table2614256[[#This Row],[1]:[11]])-COUNTBLANK(Table2614256[[#This Row],[1]:[11]])-1)))</f>
        <v/>
      </c>
      <c r="AE58" s="30" t="str" cm="1">
        <f t="array" ref="AE58">IF(Table2614256[[#This Row],[7]]="","",Table2614256[[#This Row],[Weight]:[Weight]]-(Table2614256[[#This Row],[Weight]:[Weight]]*((_xlfn.XMATCH(Table2614256[[#This Row],[7]],Table2614256[[#This Row],[1]:[11]],0))-1)/(COUNTA(Table2614256[[#This Row],[1]:[11]])-COUNTBLANK(Table2614256[[#This Row],[1]:[11]])-1)))</f>
        <v/>
      </c>
      <c r="AF58" s="30" t="str" cm="1">
        <f t="array" ref="AF58">IF(Table2614256[[#This Row],[8]]="","",Table2614256[[#This Row],[Weight]:[Weight]]-(Table2614256[[#This Row],[Weight]:[Weight]]*((_xlfn.XMATCH(Table2614256[[#This Row],[8]],Table2614256[[#This Row],[1]:[11]],0))-1)/(COUNTA(Table2614256[[#This Row],[1]:[11]])-COUNTBLANK(Table2614256[[#This Row],[1]:[11]])-1)))</f>
        <v/>
      </c>
      <c r="AG58" s="30" t="str" cm="1">
        <f t="array" ref="AG58">IF(Table2614256[[#This Row],[9]]="","",Table2614256[[#This Row],[Weight]:[Weight]]-(Table2614256[[#This Row],[Weight]:[Weight]]*((_xlfn.XMATCH(Table2614256[[#This Row],[9]],Table2614256[[#This Row],[1]:[11]],0))-1)/(COUNTA(Table2614256[[#This Row],[1]:[11]])-COUNTBLANK(Table2614256[[#This Row],[1]:[11]])-1)))</f>
        <v/>
      </c>
      <c r="AH58" s="30" t="str" cm="1">
        <f t="array" ref="AH58">IF(Table2614256[[#This Row],[10]]="","",Table2614256[[#This Row],[Weight]:[Weight]]-(Table2614256[[#This Row],[Weight]:[Weight]]*((_xlfn.XMATCH(Table2614256[[#This Row],[10]],Table2614256[[#This Row],[1]:[11]],0))-1)/(COUNTA(Table2614256[[#This Row],[1]:[11]])-COUNTBLANK(Table2614256[[#This Row],[1]:[11]])-1)))</f>
        <v/>
      </c>
      <c r="AI58" s="30" t="str" cm="1">
        <f t="array" ref="AI58">IF(Table2614256[[#This Row],[11]]="","",Table2614256[[#This Row],[Weight]:[Weight]]-(Table2614256[[#This Row],[Weight]:[Weight]]*((_xlfn.XMATCH(Table2614256[[#This Row],[11]],Table2614256[[#This Row],[1]:[11]],0))-1)/(COUNTA(Table2614256[[#This Row],[1]:[11]])-COUNTBLANK(Table2614256[[#This Row],[1]:[11]])-1)))</f>
        <v/>
      </c>
    </row>
    <row r="59" spans="1:35" ht="120" x14ac:dyDescent="0.2">
      <c r="A59" s="20">
        <v>47</v>
      </c>
      <c r="B59" s="90" t="s">
        <v>390</v>
      </c>
      <c r="C59" s="119" t="s">
        <v>215</v>
      </c>
      <c r="D59" s="153"/>
      <c r="E59" s="153"/>
      <c r="F59" s="121" t="s">
        <v>60</v>
      </c>
      <c r="G59" s="148" cm="1">
        <f t="array" ref="G59">_xlfn.IFS(F59="","",F59="No interest",0,F59="Nice to have",1,F59="Useful",2,F59="Important",3,F59="Very important",4,F59="Critical",5,F59="Show stopper",6)</f>
        <v>6</v>
      </c>
      <c r="H59" s="149">
        <f t="shared" si="2"/>
        <v>7.4503311258278151E-4</v>
      </c>
      <c r="I59" s="150" t="s">
        <v>321</v>
      </c>
      <c r="J59" s="35" t="str" cm="1">
        <f t="array" ref="J59">_xlfn.TEXTJOIN(","&amp;CHAR(10),,TEXT(Table2614256[[#This Row],[12]:[22]],"0,00%"))</f>
        <v>0,00%,
0,00%,
0,00%,
0,00%,
0,00%</v>
      </c>
      <c r="K59" s="26"/>
      <c r="L59" s="27" t="e">
        <f>H59-(H59*((MATCH(Table2614256[[#This Row],[Evaluators Response (SELECT)]],Table2614256[[#This Row],[1]:[11]],0)-1)/(COUNTA(Table2614256[[#This Row],[1]:[11]])-COUNTBLANK(Table2614256[[#This Row],[1]:[11]])-1)))</f>
        <v>#N/A</v>
      </c>
      <c r="M59" s="28"/>
      <c r="N59" s="29" t="str" cm="1">
        <f t="array" ref="N59">IFERROR(INDEX(_xlfn.UNIQUE(TRIM(_xlfn.TEXTSPLIT(Table2614256[[#This Row],[Selection Options]:[Selection Options]],","))),,N$11),"")</f>
        <v>100%: Supported as delivered "out of the box"</v>
      </c>
      <c r="O59" s="29" t="str" cm="1">
        <f t="array" ref="O59">IFERROR(INDEX(_xlfn.UNIQUE(TRIM(_xlfn.TEXTSPLIT(Table2614256[[#This Row],[Selection Options]:[Selection Options]],","))),,O$11),"")</f>
        <v xml:space="preserve">
75%: Supported via modifications (config)</v>
      </c>
      <c r="P59" s="29" t="str" cm="1">
        <f t="array" ref="P59">IFERROR(INDEX(_xlfn.UNIQUE(TRIM(_xlfn.TEXTSPLIT(Table2614256[[#This Row],[Selection Options]:[Selection Options]],","))),,P$11),"")</f>
        <v xml:space="preserve">
50%: Supported via a third party solution</v>
      </c>
      <c r="Q59" s="29" t="str" cm="1">
        <f t="array" ref="Q59">IFERROR(INDEX(_xlfn.UNIQUE(TRIM(_xlfn.TEXTSPLIT(Table2614256[[#This Row],[Selection Options]:[Selection Options]],","))),,Q$11),"")</f>
        <v xml:space="preserve">
25%: Supported via customisation (source code changes)</v>
      </c>
      <c r="R59" s="29" t="str" cm="1">
        <f t="array" ref="R59">IFERROR(INDEX(_xlfn.UNIQUE(TRIM(_xlfn.TEXTSPLIT(Table2614256[[#This Row],[Selection Options]:[Selection Options]],","))),,R$11),"")</f>
        <v xml:space="preserve">
 0%: Not currently supported</v>
      </c>
      <c r="S59" s="29" t="str" cm="1">
        <f t="array" ref="S59">IFERROR(INDEX(_xlfn.UNIQUE(TRIM(_xlfn.TEXTSPLIT(Table2614256[[#This Row],[Selection Options]:[Selection Options]],","))),,S$11),"")</f>
        <v/>
      </c>
      <c r="T59" s="29" t="str" cm="1">
        <f t="array" ref="T59">IFERROR(INDEX(_xlfn.UNIQUE(TRIM(_xlfn.TEXTSPLIT(Table2614256[[#This Row],[Selection Options]:[Selection Options]],","))),,T$11),"")</f>
        <v/>
      </c>
      <c r="U59" s="29" t="str" cm="1">
        <f t="array" ref="U59">IFERROR(INDEX(_xlfn.UNIQUE(TRIM(_xlfn.TEXTSPLIT(Table2614256[[#This Row],[Selection Options]:[Selection Options]],","))),,U$11),"")</f>
        <v/>
      </c>
      <c r="V59" s="29" t="str" cm="1">
        <f t="array" ref="V59">IFERROR(INDEX(_xlfn.UNIQUE(TRIM(_xlfn.TEXTSPLIT(Table2614256[[#This Row],[Selection Options]:[Selection Options]],","))),,V$11),"")</f>
        <v/>
      </c>
      <c r="W59" s="29" t="str" cm="1">
        <f t="array" ref="W59">IFERROR(INDEX(_xlfn.UNIQUE(TRIM(_xlfn.TEXTSPLIT(Table2614256[[#This Row],[Selection Options]:[Selection Options]],","))),,W$11),"")</f>
        <v/>
      </c>
      <c r="X59" s="29" t="str" cm="1">
        <f t="array" ref="X59">IFERROR(INDEX(_xlfn.UNIQUE(TRIM(_xlfn.TEXTSPLIT(Table2614256[[#This Row],[Selection Options]:[Selection Options]],","))),,X$11),"")</f>
        <v/>
      </c>
      <c r="Y59" s="30" cm="1">
        <f t="array" ref="Y59">IF(Table2614256[[#This Row],[1]]="","",Table2614256[[#This Row],[Weight]:[Weight]]-(Table2614256[[#This Row],[Weight]:[Weight]]*((_xlfn.XMATCH(Table2614256[[#This Row],[1]],Table2614256[[#This Row],[1]:[11]],0))-1)/(COUNTA(Table2614256[[#This Row],[1]:[11]])-COUNTBLANK(Table2614256[[#This Row],[1]:[11]])-1)))</f>
        <v>7.4503311258278151E-4</v>
      </c>
      <c r="Z59" s="30" cm="1">
        <f t="array" ref="Z59">IF(Table2614256[[#This Row],[2]]="","",Table2614256[[#This Row],[Weight]:[Weight]]-(Table2614256[[#This Row],[Weight]:[Weight]]*((_xlfn.XMATCH(Table2614256[[#This Row],[2]],Table2614256[[#This Row],[1]:[11]],0))-1)/(COUNTA(Table2614256[[#This Row],[1]:[11]])-COUNTBLANK(Table2614256[[#This Row],[1]:[11]])-1)))</f>
        <v>5.5877483443708611E-4</v>
      </c>
      <c r="AA59" s="30" cm="1">
        <f t="array" ref="AA59">IF(Table2614256[[#This Row],[3]]="","",Table2614256[[#This Row],[Weight]:[Weight]]-(Table2614256[[#This Row],[Weight]:[Weight]]*((_xlfn.XMATCH(Table2614256[[#This Row],[3]],Table2614256[[#This Row],[1]:[11]],0))-1)/(COUNTA(Table2614256[[#This Row],[1]:[11]])-COUNTBLANK(Table2614256[[#This Row],[1]:[11]])-1)))</f>
        <v>3.7251655629139076E-4</v>
      </c>
      <c r="AB59" s="30" cm="1">
        <f t="array" ref="AB59">IF(Table2614256[[#This Row],[4]]="","",Table2614256[[#This Row],[Weight]:[Weight]]-(Table2614256[[#This Row],[Weight]:[Weight]]*((_xlfn.XMATCH(Table2614256[[#This Row],[4]],Table2614256[[#This Row],[1]:[11]],0))-1)/(COUNTA(Table2614256[[#This Row],[1]:[11]])-COUNTBLANK(Table2614256[[#This Row],[1]:[11]])-1)))</f>
        <v>1.862582781456954E-4</v>
      </c>
      <c r="AC59" s="30" cm="1">
        <f t="array" ref="AC59">IF(Table2614256[[#This Row],[5]]="","",Table2614256[[#This Row],[Weight]:[Weight]]-(Table2614256[[#This Row],[Weight]:[Weight]]*((_xlfn.XMATCH(Table2614256[[#This Row],[5]],Table2614256[[#This Row],[1]:[11]],0))-1)/(COUNTA(Table2614256[[#This Row],[1]:[11]])-COUNTBLANK(Table2614256[[#This Row],[1]:[11]])-1)))</f>
        <v>0</v>
      </c>
      <c r="AD59" s="30" t="str" cm="1">
        <f t="array" ref="AD59">IF(Table2614256[[#This Row],[6]]="","",Table2614256[[#This Row],[Weight]:[Weight]]-(Table2614256[[#This Row],[Weight]:[Weight]]*((_xlfn.XMATCH(Table2614256[[#This Row],[6]],Table2614256[[#This Row],[1]:[11]],0))-1)/(COUNTA(Table2614256[[#This Row],[1]:[11]])-COUNTBLANK(Table2614256[[#This Row],[1]:[11]])-1)))</f>
        <v/>
      </c>
      <c r="AE59" s="30" t="str" cm="1">
        <f t="array" ref="AE59">IF(Table2614256[[#This Row],[7]]="","",Table2614256[[#This Row],[Weight]:[Weight]]-(Table2614256[[#This Row],[Weight]:[Weight]]*((_xlfn.XMATCH(Table2614256[[#This Row],[7]],Table2614256[[#This Row],[1]:[11]],0))-1)/(COUNTA(Table2614256[[#This Row],[1]:[11]])-COUNTBLANK(Table2614256[[#This Row],[1]:[11]])-1)))</f>
        <v/>
      </c>
      <c r="AF59" s="30" t="str" cm="1">
        <f t="array" ref="AF59">IF(Table2614256[[#This Row],[8]]="","",Table2614256[[#This Row],[Weight]:[Weight]]-(Table2614256[[#This Row],[Weight]:[Weight]]*((_xlfn.XMATCH(Table2614256[[#This Row],[8]],Table2614256[[#This Row],[1]:[11]],0))-1)/(COUNTA(Table2614256[[#This Row],[1]:[11]])-COUNTBLANK(Table2614256[[#This Row],[1]:[11]])-1)))</f>
        <v/>
      </c>
      <c r="AG59" s="30" t="str" cm="1">
        <f t="array" ref="AG59">IF(Table2614256[[#This Row],[9]]="","",Table2614256[[#This Row],[Weight]:[Weight]]-(Table2614256[[#This Row],[Weight]:[Weight]]*((_xlfn.XMATCH(Table2614256[[#This Row],[9]],Table2614256[[#This Row],[1]:[11]],0))-1)/(COUNTA(Table2614256[[#This Row],[1]:[11]])-COUNTBLANK(Table2614256[[#This Row],[1]:[11]])-1)))</f>
        <v/>
      </c>
      <c r="AH59" s="30" t="str" cm="1">
        <f t="array" ref="AH59">IF(Table2614256[[#This Row],[10]]="","",Table2614256[[#This Row],[Weight]:[Weight]]-(Table2614256[[#This Row],[Weight]:[Weight]]*((_xlfn.XMATCH(Table2614256[[#This Row],[10]],Table2614256[[#This Row],[1]:[11]],0))-1)/(COUNTA(Table2614256[[#This Row],[1]:[11]])-COUNTBLANK(Table2614256[[#This Row],[1]:[11]])-1)))</f>
        <v/>
      </c>
      <c r="AI59" s="30" t="str" cm="1">
        <f t="array" ref="AI59">IF(Table2614256[[#This Row],[11]]="","",Table2614256[[#This Row],[Weight]:[Weight]]-(Table2614256[[#This Row],[Weight]:[Weight]]*((_xlfn.XMATCH(Table2614256[[#This Row],[11]],Table2614256[[#This Row],[1]:[11]],0))-1)/(COUNTA(Table2614256[[#This Row],[1]:[11]])-COUNTBLANK(Table2614256[[#This Row],[1]:[11]])-1)))</f>
        <v/>
      </c>
    </row>
    <row r="60" spans="1:35" ht="120" x14ac:dyDescent="0.2">
      <c r="A60" s="20">
        <v>48</v>
      </c>
      <c r="B60" s="90" t="s">
        <v>391</v>
      </c>
      <c r="C60" s="119" t="s">
        <v>215</v>
      </c>
      <c r="D60" s="153"/>
      <c r="E60" s="153"/>
      <c r="F60" s="121" t="s">
        <v>60</v>
      </c>
      <c r="G60" s="148" cm="1">
        <f t="array" ref="G60">_xlfn.IFS(F60="","",F60="No interest",0,F60="Nice to have",1,F60="Useful",2,F60="Important",3,F60="Very important",4,F60="Critical",5,F60="Show stopper",6)</f>
        <v>6</v>
      </c>
      <c r="H60" s="149">
        <f t="shared" si="2"/>
        <v>7.4503311258278151E-4</v>
      </c>
      <c r="I60" s="150" t="s">
        <v>321</v>
      </c>
      <c r="J60" s="35" t="str" cm="1">
        <f t="array" ref="J60">_xlfn.TEXTJOIN(","&amp;CHAR(10),,TEXT(Table2614256[[#This Row],[12]:[22]],"0,00%"))</f>
        <v>0,00%,
0,00%,
0,00%,
0,00%,
0,00%</v>
      </c>
      <c r="K60" s="26"/>
      <c r="L60" s="27" t="e">
        <f>H60-(H60*((MATCH(Table2614256[[#This Row],[Evaluators Response (SELECT)]],Table2614256[[#This Row],[1]:[11]],0)-1)/(COUNTA(Table2614256[[#This Row],[1]:[11]])-COUNTBLANK(Table2614256[[#This Row],[1]:[11]])-1)))</f>
        <v>#N/A</v>
      </c>
      <c r="M60" s="28"/>
      <c r="N60" s="29" t="str" cm="1">
        <f t="array" ref="N60">IFERROR(INDEX(_xlfn.UNIQUE(TRIM(_xlfn.TEXTSPLIT(Table2614256[[#This Row],[Selection Options]:[Selection Options]],","))),,N$11),"")</f>
        <v>100%: Supported as delivered "out of the box"</v>
      </c>
      <c r="O60" s="29" t="str" cm="1">
        <f t="array" ref="O60">IFERROR(INDEX(_xlfn.UNIQUE(TRIM(_xlfn.TEXTSPLIT(Table2614256[[#This Row],[Selection Options]:[Selection Options]],","))),,O$11),"")</f>
        <v xml:space="preserve">
75%: Supported via modifications (config)</v>
      </c>
      <c r="P60" s="29" t="str" cm="1">
        <f t="array" ref="P60">IFERROR(INDEX(_xlfn.UNIQUE(TRIM(_xlfn.TEXTSPLIT(Table2614256[[#This Row],[Selection Options]:[Selection Options]],","))),,P$11),"")</f>
        <v xml:space="preserve">
50%: Supported via a third party solution</v>
      </c>
      <c r="Q60" s="29" t="str" cm="1">
        <f t="array" ref="Q60">IFERROR(INDEX(_xlfn.UNIQUE(TRIM(_xlfn.TEXTSPLIT(Table2614256[[#This Row],[Selection Options]:[Selection Options]],","))),,Q$11),"")</f>
        <v xml:space="preserve">
25%: Supported via customisation (source code changes)</v>
      </c>
      <c r="R60" s="29" t="str" cm="1">
        <f t="array" ref="R60">IFERROR(INDEX(_xlfn.UNIQUE(TRIM(_xlfn.TEXTSPLIT(Table2614256[[#This Row],[Selection Options]:[Selection Options]],","))),,R$11),"")</f>
        <v xml:space="preserve">
 0%: Not currently supported</v>
      </c>
      <c r="S60" s="29" t="str" cm="1">
        <f t="array" ref="S60">IFERROR(INDEX(_xlfn.UNIQUE(TRIM(_xlfn.TEXTSPLIT(Table2614256[[#This Row],[Selection Options]:[Selection Options]],","))),,S$11),"")</f>
        <v/>
      </c>
      <c r="T60" s="29" t="str" cm="1">
        <f t="array" ref="T60">IFERROR(INDEX(_xlfn.UNIQUE(TRIM(_xlfn.TEXTSPLIT(Table2614256[[#This Row],[Selection Options]:[Selection Options]],","))),,T$11),"")</f>
        <v/>
      </c>
      <c r="U60" s="29" t="str" cm="1">
        <f t="array" ref="U60">IFERROR(INDEX(_xlfn.UNIQUE(TRIM(_xlfn.TEXTSPLIT(Table2614256[[#This Row],[Selection Options]:[Selection Options]],","))),,U$11),"")</f>
        <v/>
      </c>
      <c r="V60" s="29" t="str" cm="1">
        <f t="array" ref="V60">IFERROR(INDEX(_xlfn.UNIQUE(TRIM(_xlfn.TEXTSPLIT(Table2614256[[#This Row],[Selection Options]:[Selection Options]],","))),,V$11),"")</f>
        <v/>
      </c>
      <c r="W60" s="29" t="str" cm="1">
        <f t="array" ref="W60">IFERROR(INDEX(_xlfn.UNIQUE(TRIM(_xlfn.TEXTSPLIT(Table2614256[[#This Row],[Selection Options]:[Selection Options]],","))),,W$11),"")</f>
        <v/>
      </c>
      <c r="X60" s="29" t="str" cm="1">
        <f t="array" ref="X60">IFERROR(INDEX(_xlfn.UNIQUE(TRIM(_xlfn.TEXTSPLIT(Table2614256[[#This Row],[Selection Options]:[Selection Options]],","))),,X$11),"")</f>
        <v/>
      </c>
      <c r="Y60" s="30" cm="1">
        <f t="array" ref="Y60">IF(Table2614256[[#This Row],[1]]="","",Table2614256[[#This Row],[Weight]:[Weight]]-(Table2614256[[#This Row],[Weight]:[Weight]]*((_xlfn.XMATCH(Table2614256[[#This Row],[1]],Table2614256[[#This Row],[1]:[11]],0))-1)/(COUNTA(Table2614256[[#This Row],[1]:[11]])-COUNTBLANK(Table2614256[[#This Row],[1]:[11]])-1)))</f>
        <v>7.4503311258278151E-4</v>
      </c>
      <c r="Z60" s="30" cm="1">
        <f t="array" ref="Z60">IF(Table2614256[[#This Row],[2]]="","",Table2614256[[#This Row],[Weight]:[Weight]]-(Table2614256[[#This Row],[Weight]:[Weight]]*((_xlfn.XMATCH(Table2614256[[#This Row],[2]],Table2614256[[#This Row],[1]:[11]],0))-1)/(COUNTA(Table2614256[[#This Row],[1]:[11]])-COUNTBLANK(Table2614256[[#This Row],[1]:[11]])-1)))</f>
        <v>5.5877483443708611E-4</v>
      </c>
      <c r="AA60" s="30" cm="1">
        <f t="array" ref="AA60">IF(Table2614256[[#This Row],[3]]="","",Table2614256[[#This Row],[Weight]:[Weight]]-(Table2614256[[#This Row],[Weight]:[Weight]]*((_xlfn.XMATCH(Table2614256[[#This Row],[3]],Table2614256[[#This Row],[1]:[11]],0))-1)/(COUNTA(Table2614256[[#This Row],[1]:[11]])-COUNTBLANK(Table2614256[[#This Row],[1]:[11]])-1)))</f>
        <v>3.7251655629139076E-4</v>
      </c>
      <c r="AB60" s="30" cm="1">
        <f t="array" ref="AB60">IF(Table2614256[[#This Row],[4]]="","",Table2614256[[#This Row],[Weight]:[Weight]]-(Table2614256[[#This Row],[Weight]:[Weight]]*((_xlfn.XMATCH(Table2614256[[#This Row],[4]],Table2614256[[#This Row],[1]:[11]],0))-1)/(COUNTA(Table2614256[[#This Row],[1]:[11]])-COUNTBLANK(Table2614256[[#This Row],[1]:[11]])-1)))</f>
        <v>1.862582781456954E-4</v>
      </c>
      <c r="AC60" s="30" cm="1">
        <f t="array" ref="AC60">IF(Table2614256[[#This Row],[5]]="","",Table2614256[[#This Row],[Weight]:[Weight]]-(Table2614256[[#This Row],[Weight]:[Weight]]*((_xlfn.XMATCH(Table2614256[[#This Row],[5]],Table2614256[[#This Row],[1]:[11]],0))-1)/(COUNTA(Table2614256[[#This Row],[1]:[11]])-COUNTBLANK(Table2614256[[#This Row],[1]:[11]])-1)))</f>
        <v>0</v>
      </c>
      <c r="AD60" s="30" t="str" cm="1">
        <f t="array" ref="AD60">IF(Table2614256[[#This Row],[6]]="","",Table2614256[[#This Row],[Weight]:[Weight]]-(Table2614256[[#This Row],[Weight]:[Weight]]*((_xlfn.XMATCH(Table2614256[[#This Row],[6]],Table2614256[[#This Row],[1]:[11]],0))-1)/(COUNTA(Table2614256[[#This Row],[1]:[11]])-COUNTBLANK(Table2614256[[#This Row],[1]:[11]])-1)))</f>
        <v/>
      </c>
      <c r="AE60" s="30" t="str" cm="1">
        <f t="array" ref="AE60">IF(Table2614256[[#This Row],[7]]="","",Table2614256[[#This Row],[Weight]:[Weight]]-(Table2614256[[#This Row],[Weight]:[Weight]]*((_xlfn.XMATCH(Table2614256[[#This Row],[7]],Table2614256[[#This Row],[1]:[11]],0))-1)/(COUNTA(Table2614256[[#This Row],[1]:[11]])-COUNTBLANK(Table2614256[[#This Row],[1]:[11]])-1)))</f>
        <v/>
      </c>
      <c r="AF60" s="30" t="str" cm="1">
        <f t="array" ref="AF60">IF(Table2614256[[#This Row],[8]]="","",Table2614256[[#This Row],[Weight]:[Weight]]-(Table2614256[[#This Row],[Weight]:[Weight]]*((_xlfn.XMATCH(Table2614256[[#This Row],[8]],Table2614256[[#This Row],[1]:[11]],0))-1)/(COUNTA(Table2614256[[#This Row],[1]:[11]])-COUNTBLANK(Table2614256[[#This Row],[1]:[11]])-1)))</f>
        <v/>
      </c>
      <c r="AG60" s="30" t="str" cm="1">
        <f t="array" ref="AG60">IF(Table2614256[[#This Row],[9]]="","",Table2614256[[#This Row],[Weight]:[Weight]]-(Table2614256[[#This Row],[Weight]:[Weight]]*((_xlfn.XMATCH(Table2614256[[#This Row],[9]],Table2614256[[#This Row],[1]:[11]],0))-1)/(COUNTA(Table2614256[[#This Row],[1]:[11]])-COUNTBLANK(Table2614256[[#This Row],[1]:[11]])-1)))</f>
        <v/>
      </c>
      <c r="AH60" s="30" t="str" cm="1">
        <f t="array" ref="AH60">IF(Table2614256[[#This Row],[10]]="","",Table2614256[[#This Row],[Weight]:[Weight]]-(Table2614256[[#This Row],[Weight]:[Weight]]*((_xlfn.XMATCH(Table2614256[[#This Row],[10]],Table2614256[[#This Row],[1]:[11]],0))-1)/(COUNTA(Table2614256[[#This Row],[1]:[11]])-COUNTBLANK(Table2614256[[#This Row],[1]:[11]])-1)))</f>
        <v/>
      </c>
      <c r="AI60" s="30" t="str" cm="1">
        <f t="array" ref="AI60">IF(Table2614256[[#This Row],[11]]="","",Table2614256[[#This Row],[Weight]:[Weight]]-(Table2614256[[#This Row],[Weight]:[Weight]]*((_xlfn.XMATCH(Table2614256[[#This Row],[11]],Table2614256[[#This Row],[1]:[11]],0))-1)/(COUNTA(Table2614256[[#This Row],[1]:[11]])-COUNTBLANK(Table2614256[[#This Row],[1]:[11]])-1)))</f>
        <v/>
      </c>
    </row>
    <row r="61" spans="1:35" ht="120" x14ac:dyDescent="0.2">
      <c r="A61" s="20">
        <v>49</v>
      </c>
      <c r="B61" s="90" t="s">
        <v>392</v>
      </c>
      <c r="C61" s="119" t="s">
        <v>215</v>
      </c>
      <c r="D61" s="153"/>
      <c r="E61" s="153"/>
      <c r="F61" s="121" t="s">
        <v>60</v>
      </c>
      <c r="G61" s="148" cm="1">
        <f t="array" ref="G61">_xlfn.IFS(F61="","",F61="No interest",0,F61="Nice to have",1,F61="Useful",2,F61="Important",3,F61="Very important",4,F61="Critical",5,F61="Show stopper",6)</f>
        <v>6</v>
      </c>
      <c r="H61" s="149">
        <f t="shared" si="2"/>
        <v>7.4503311258278151E-4</v>
      </c>
      <c r="I61" s="150" t="s">
        <v>321</v>
      </c>
      <c r="J61" s="35" t="str" cm="1">
        <f t="array" ref="J61">_xlfn.TEXTJOIN(","&amp;CHAR(10),,TEXT(Table2614256[[#This Row],[12]:[22]],"0,00%"))</f>
        <v>0,00%,
0,00%,
0,00%,
0,00%,
0,00%</v>
      </c>
      <c r="K61" s="26"/>
      <c r="L61" s="27" t="e">
        <f>H61-(H61*((MATCH(Table2614256[[#This Row],[Evaluators Response (SELECT)]],Table2614256[[#This Row],[1]:[11]],0)-1)/(COUNTA(Table2614256[[#This Row],[1]:[11]])-COUNTBLANK(Table2614256[[#This Row],[1]:[11]])-1)))</f>
        <v>#N/A</v>
      </c>
      <c r="M61" s="28"/>
      <c r="N61" s="29" t="str" cm="1">
        <f t="array" ref="N61">IFERROR(INDEX(_xlfn.UNIQUE(TRIM(_xlfn.TEXTSPLIT(Table2614256[[#This Row],[Selection Options]:[Selection Options]],","))),,N$11),"")</f>
        <v>100%: Supported as delivered "out of the box"</v>
      </c>
      <c r="O61" s="29" t="str" cm="1">
        <f t="array" ref="O61">IFERROR(INDEX(_xlfn.UNIQUE(TRIM(_xlfn.TEXTSPLIT(Table2614256[[#This Row],[Selection Options]:[Selection Options]],","))),,O$11),"")</f>
        <v xml:space="preserve">
75%: Supported via modifications (config)</v>
      </c>
      <c r="P61" s="29" t="str" cm="1">
        <f t="array" ref="P61">IFERROR(INDEX(_xlfn.UNIQUE(TRIM(_xlfn.TEXTSPLIT(Table2614256[[#This Row],[Selection Options]:[Selection Options]],","))),,P$11),"")</f>
        <v xml:space="preserve">
50%: Supported via a third party solution</v>
      </c>
      <c r="Q61" s="29" t="str" cm="1">
        <f t="array" ref="Q61">IFERROR(INDEX(_xlfn.UNIQUE(TRIM(_xlfn.TEXTSPLIT(Table2614256[[#This Row],[Selection Options]:[Selection Options]],","))),,Q$11),"")</f>
        <v xml:space="preserve">
25%: Supported via customisation (source code changes)</v>
      </c>
      <c r="R61" s="29" t="str" cm="1">
        <f t="array" ref="R61">IFERROR(INDEX(_xlfn.UNIQUE(TRIM(_xlfn.TEXTSPLIT(Table2614256[[#This Row],[Selection Options]:[Selection Options]],","))),,R$11),"")</f>
        <v xml:space="preserve">
 0%: Not currently supported</v>
      </c>
      <c r="S61" s="29" t="str" cm="1">
        <f t="array" ref="S61">IFERROR(INDEX(_xlfn.UNIQUE(TRIM(_xlfn.TEXTSPLIT(Table2614256[[#This Row],[Selection Options]:[Selection Options]],","))),,S$11),"")</f>
        <v/>
      </c>
      <c r="T61" s="29" t="str" cm="1">
        <f t="array" ref="T61">IFERROR(INDEX(_xlfn.UNIQUE(TRIM(_xlfn.TEXTSPLIT(Table2614256[[#This Row],[Selection Options]:[Selection Options]],","))),,T$11),"")</f>
        <v/>
      </c>
      <c r="U61" s="29" t="str" cm="1">
        <f t="array" ref="U61">IFERROR(INDEX(_xlfn.UNIQUE(TRIM(_xlfn.TEXTSPLIT(Table2614256[[#This Row],[Selection Options]:[Selection Options]],","))),,U$11),"")</f>
        <v/>
      </c>
      <c r="V61" s="29" t="str" cm="1">
        <f t="array" ref="V61">IFERROR(INDEX(_xlfn.UNIQUE(TRIM(_xlfn.TEXTSPLIT(Table2614256[[#This Row],[Selection Options]:[Selection Options]],","))),,V$11),"")</f>
        <v/>
      </c>
      <c r="W61" s="29" t="str" cm="1">
        <f t="array" ref="W61">IFERROR(INDEX(_xlfn.UNIQUE(TRIM(_xlfn.TEXTSPLIT(Table2614256[[#This Row],[Selection Options]:[Selection Options]],","))),,W$11),"")</f>
        <v/>
      </c>
      <c r="X61" s="29" t="str" cm="1">
        <f t="array" ref="X61">IFERROR(INDEX(_xlfn.UNIQUE(TRIM(_xlfn.TEXTSPLIT(Table2614256[[#This Row],[Selection Options]:[Selection Options]],","))),,X$11),"")</f>
        <v/>
      </c>
      <c r="Y61" s="30" cm="1">
        <f t="array" ref="Y61">IF(Table2614256[[#This Row],[1]]="","",Table2614256[[#This Row],[Weight]:[Weight]]-(Table2614256[[#This Row],[Weight]:[Weight]]*((_xlfn.XMATCH(Table2614256[[#This Row],[1]],Table2614256[[#This Row],[1]:[11]],0))-1)/(COUNTA(Table2614256[[#This Row],[1]:[11]])-COUNTBLANK(Table2614256[[#This Row],[1]:[11]])-1)))</f>
        <v>7.4503311258278151E-4</v>
      </c>
      <c r="Z61" s="30" cm="1">
        <f t="array" ref="Z61">IF(Table2614256[[#This Row],[2]]="","",Table2614256[[#This Row],[Weight]:[Weight]]-(Table2614256[[#This Row],[Weight]:[Weight]]*((_xlfn.XMATCH(Table2614256[[#This Row],[2]],Table2614256[[#This Row],[1]:[11]],0))-1)/(COUNTA(Table2614256[[#This Row],[1]:[11]])-COUNTBLANK(Table2614256[[#This Row],[1]:[11]])-1)))</f>
        <v>5.5877483443708611E-4</v>
      </c>
      <c r="AA61" s="30" cm="1">
        <f t="array" ref="AA61">IF(Table2614256[[#This Row],[3]]="","",Table2614256[[#This Row],[Weight]:[Weight]]-(Table2614256[[#This Row],[Weight]:[Weight]]*((_xlfn.XMATCH(Table2614256[[#This Row],[3]],Table2614256[[#This Row],[1]:[11]],0))-1)/(COUNTA(Table2614256[[#This Row],[1]:[11]])-COUNTBLANK(Table2614256[[#This Row],[1]:[11]])-1)))</f>
        <v>3.7251655629139076E-4</v>
      </c>
      <c r="AB61" s="30" cm="1">
        <f t="array" ref="AB61">IF(Table2614256[[#This Row],[4]]="","",Table2614256[[#This Row],[Weight]:[Weight]]-(Table2614256[[#This Row],[Weight]:[Weight]]*((_xlfn.XMATCH(Table2614256[[#This Row],[4]],Table2614256[[#This Row],[1]:[11]],0))-1)/(COUNTA(Table2614256[[#This Row],[1]:[11]])-COUNTBLANK(Table2614256[[#This Row],[1]:[11]])-1)))</f>
        <v>1.862582781456954E-4</v>
      </c>
      <c r="AC61" s="30" cm="1">
        <f t="array" ref="AC61">IF(Table2614256[[#This Row],[5]]="","",Table2614256[[#This Row],[Weight]:[Weight]]-(Table2614256[[#This Row],[Weight]:[Weight]]*((_xlfn.XMATCH(Table2614256[[#This Row],[5]],Table2614256[[#This Row],[1]:[11]],0))-1)/(COUNTA(Table2614256[[#This Row],[1]:[11]])-COUNTBLANK(Table2614256[[#This Row],[1]:[11]])-1)))</f>
        <v>0</v>
      </c>
      <c r="AD61" s="30" t="str" cm="1">
        <f t="array" ref="AD61">IF(Table2614256[[#This Row],[6]]="","",Table2614256[[#This Row],[Weight]:[Weight]]-(Table2614256[[#This Row],[Weight]:[Weight]]*((_xlfn.XMATCH(Table2614256[[#This Row],[6]],Table2614256[[#This Row],[1]:[11]],0))-1)/(COUNTA(Table2614256[[#This Row],[1]:[11]])-COUNTBLANK(Table2614256[[#This Row],[1]:[11]])-1)))</f>
        <v/>
      </c>
      <c r="AE61" s="30" t="str" cm="1">
        <f t="array" ref="AE61">IF(Table2614256[[#This Row],[7]]="","",Table2614256[[#This Row],[Weight]:[Weight]]-(Table2614256[[#This Row],[Weight]:[Weight]]*((_xlfn.XMATCH(Table2614256[[#This Row],[7]],Table2614256[[#This Row],[1]:[11]],0))-1)/(COUNTA(Table2614256[[#This Row],[1]:[11]])-COUNTBLANK(Table2614256[[#This Row],[1]:[11]])-1)))</f>
        <v/>
      </c>
      <c r="AF61" s="30" t="str" cm="1">
        <f t="array" ref="AF61">IF(Table2614256[[#This Row],[8]]="","",Table2614256[[#This Row],[Weight]:[Weight]]-(Table2614256[[#This Row],[Weight]:[Weight]]*((_xlfn.XMATCH(Table2614256[[#This Row],[8]],Table2614256[[#This Row],[1]:[11]],0))-1)/(COUNTA(Table2614256[[#This Row],[1]:[11]])-COUNTBLANK(Table2614256[[#This Row],[1]:[11]])-1)))</f>
        <v/>
      </c>
      <c r="AG61" s="30" t="str" cm="1">
        <f t="array" ref="AG61">IF(Table2614256[[#This Row],[9]]="","",Table2614256[[#This Row],[Weight]:[Weight]]-(Table2614256[[#This Row],[Weight]:[Weight]]*((_xlfn.XMATCH(Table2614256[[#This Row],[9]],Table2614256[[#This Row],[1]:[11]],0))-1)/(COUNTA(Table2614256[[#This Row],[1]:[11]])-COUNTBLANK(Table2614256[[#This Row],[1]:[11]])-1)))</f>
        <v/>
      </c>
      <c r="AH61" s="30" t="str" cm="1">
        <f t="array" ref="AH61">IF(Table2614256[[#This Row],[10]]="","",Table2614256[[#This Row],[Weight]:[Weight]]-(Table2614256[[#This Row],[Weight]:[Weight]]*((_xlfn.XMATCH(Table2614256[[#This Row],[10]],Table2614256[[#This Row],[1]:[11]],0))-1)/(COUNTA(Table2614256[[#This Row],[1]:[11]])-COUNTBLANK(Table2614256[[#This Row],[1]:[11]])-1)))</f>
        <v/>
      </c>
      <c r="AI61" s="30" t="str" cm="1">
        <f t="array" ref="AI61">IF(Table2614256[[#This Row],[11]]="","",Table2614256[[#This Row],[Weight]:[Weight]]-(Table2614256[[#This Row],[Weight]:[Weight]]*((_xlfn.XMATCH(Table2614256[[#This Row],[11]],Table2614256[[#This Row],[1]:[11]],0))-1)/(COUNTA(Table2614256[[#This Row],[1]:[11]])-COUNTBLANK(Table2614256[[#This Row],[1]:[11]])-1)))</f>
        <v/>
      </c>
    </row>
    <row r="62" spans="1:35" ht="120" x14ac:dyDescent="0.2">
      <c r="A62" s="20">
        <v>50</v>
      </c>
      <c r="B62" s="90" t="s">
        <v>393</v>
      </c>
      <c r="C62" s="119" t="s">
        <v>215</v>
      </c>
      <c r="D62" s="153"/>
      <c r="E62" s="153"/>
      <c r="F62" s="121" t="s">
        <v>60</v>
      </c>
      <c r="G62" s="148" cm="1">
        <f t="array" ref="G62">_xlfn.IFS(F62="","",F62="No interest",0,F62="Nice to have",1,F62="Useful",2,F62="Important",3,F62="Very important",4,F62="Critical",5,F62="Show stopper",6)</f>
        <v>6</v>
      </c>
      <c r="H62" s="149">
        <f t="shared" si="2"/>
        <v>7.4503311258278151E-4</v>
      </c>
      <c r="I62" s="150" t="s">
        <v>321</v>
      </c>
      <c r="J62" s="35" t="str" cm="1">
        <f t="array" ref="J62">_xlfn.TEXTJOIN(","&amp;CHAR(10),,TEXT(Table2614256[[#This Row],[12]:[22]],"0,00%"))</f>
        <v>0,00%,
0,00%,
0,00%,
0,00%,
0,00%</v>
      </c>
      <c r="K62" s="26"/>
      <c r="L62" s="27" t="e">
        <f>H62-(H62*((MATCH(Table2614256[[#This Row],[Evaluators Response (SELECT)]],Table2614256[[#This Row],[1]:[11]],0)-1)/(COUNTA(Table2614256[[#This Row],[1]:[11]])-COUNTBLANK(Table2614256[[#This Row],[1]:[11]])-1)))</f>
        <v>#N/A</v>
      </c>
      <c r="M62" s="28"/>
      <c r="N62" s="29" t="str" cm="1">
        <f t="array" ref="N62">IFERROR(INDEX(_xlfn.UNIQUE(TRIM(_xlfn.TEXTSPLIT(Table2614256[[#This Row],[Selection Options]:[Selection Options]],","))),,N$11),"")</f>
        <v>100%: Supported as delivered "out of the box"</v>
      </c>
      <c r="O62" s="29" t="str" cm="1">
        <f t="array" ref="O62">IFERROR(INDEX(_xlfn.UNIQUE(TRIM(_xlfn.TEXTSPLIT(Table2614256[[#This Row],[Selection Options]:[Selection Options]],","))),,O$11),"")</f>
        <v xml:space="preserve">
75%: Supported via modifications (config)</v>
      </c>
      <c r="P62" s="29" t="str" cm="1">
        <f t="array" ref="P62">IFERROR(INDEX(_xlfn.UNIQUE(TRIM(_xlfn.TEXTSPLIT(Table2614256[[#This Row],[Selection Options]:[Selection Options]],","))),,P$11),"")</f>
        <v xml:space="preserve">
50%: Supported via a third party solution</v>
      </c>
      <c r="Q62" s="29" t="str" cm="1">
        <f t="array" ref="Q62">IFERROR(INDEX(_xlfn.UNIQUE(TRIM(_xlfn.TEXTSPLIT(Table2614256[[#This Row],[Selection Options]:[Selection Options]],","))),,Q$11),"")</f>
        <v xml:space="preserve">
25%: Supported via customisation (source code changes)</v>
      </c>
      <c r="R62" s="29" t="str" cm="1">
        <f t="array" ref="R62">IFERROR(INDEX(_xlfn.UNIQUE(TRIM(_xlfn.TEXTSPLIT(Table2614256[[#This Row],[Selection Options]:[Selection Options]],","))),,R$11),"")</f>
        <v xml:space="preserve">
 0%: Not currently supported</v>
      </c>
      <c r="S62" s="29" t="str" cm="1">
        <f t="array" ref="S62">IFERROR(INDEX(_xlfn.UNIQUE(TRIM(_xlfn.TEXTSPLIT(Table2614256[[#This Row],[Selection Options]:[Selection Options]],","))),,S$11),"")</f>
        <v/>
      </c>
      <c r="T62" s="29" t="str" cm="1">
        <f t="array" ref="T62">IFERROR(INDEX(_xlfn.UNIQUE(TRIM(_xlfn.TEXTSPLIT(Table2614256[[#This Row],[Selection Options]:[Selection Options]],","))),,T$11),"")</f>
        <v/>
      </c>
      <c r="U62" s="29" t="str" cm="1">
        <f t="array" ref="U62">IFERROR(INDEX(_xlfn.UNIQUE(TRIM(_xlfn.TEXTSPLIT(Table2614256[[#This Row],[Selection Options]:[Selection Options]],","))),,U$11),"")</f>
        <v/>
      </c>
      <c r="V62" s="29" t="str" cm="1">
        <f t="array" ref="V62">IFERROR(INDEX(_xlfn.UNIQUE(TRIM(_xlfn.TEXTSPLIT(Table2614256[[#This Row],[Selection Options]:[Selection Options]],","))),,V$11),"")</f>
        <v/>
      </c>
      <c r="W62" s="29" t="str" cm="1">
        <f t="array" ref="W62">IFERROR(INDEX(_xlfn.UNIQUE(TRIM(_xlfn.TEXTSPLIT(Table2614256[[#This Row],[Selection Options]:[Selection Options]],","))),,W$11),"")</f>
        <v/>
      </c>
      <c r="X62" s="29" t="str" cm="1">
        <f t="array" ref="X62">IFERROR(INDEX(_xlfn.UNIQUE(TRIM(_xlfn.TEXTSPLIT(Table2614256[[#This Row],[Selection Options]:[Selection Options]],","))),,X$11),"")</f>
        <v/>
      </c>
      <c r="Y62" s="30" cm="1">
        <f t="array" ref="Y62">IF(Table2614256[[#This Row],[1]]="","",Table2614256[[#This Row],[Weight]:[Weight]]-(Table2614256[[#This Row],[Weight]:[Weight]]*((_xlfn.XMATCH(Table2614256[[#This Row],[1]],Table2614256[[#This Row],[1]:[11]],0))-1)/(COUNTA(Table2614256[[#This Row],[1]:[11]])-COUNTBLANK(Table2614256[[#This Row],[1]:[11]])-1)))</f>
        <v>7.4503311258278151E-4</v>
      </c>
      <c r="Z62" s="30" cm="1">
        <f t="array" ref="Z62">IF(Table2614256[[#This Row],[2]]="","",Table2614256[[#This Row],[Weight]:[Weight]]-(Table2614256[[#This Row],[Weight]:[Weight]]*((_xlfn.XMATCH(Table2614256[[#This Row],[2]],Table2614256[[#This Row],[1]:[11]],0))-1)/(COUNTA(Table2614256[[#This Row],[1]:[11]])-COUNTBLANK(Table2614256[[#This Row],[1]:[11]])-1)))</f>
        <v>5.5877483443708611E-4</v>
      </c>
      <c r="AA62" s="30" cm="1">
        <f t="array" ref="AA62">IF(Table2614256[[#This Row],[3]]="","",Table2614256[[#This Row],[Weight]:[Weight]]-(Table2614256[[#This Row],[Weight]:[Weight]]*((_xlfn.XMATCH(Table2614256[[#This Row],[3]],Table2614256[[#This Row],[1]:[11]],0))-1)/(COUNTA(Table2614256[[#This Row],[1]:[11]])-COUNTBLANK(Table2614256[[#This Row],[1]:[11]])-1)))</f>
        <v>3.7251655629139076E-4</v>
      </c>
      <c r="AB62" s="30" cm="1">
        <f t="array" ref="AB62">IF(Table2614256[[#This Row],[4]]="","",Table2614256[[#This Row],[Weight]:[Weight]]-(Table2614256[[#This Row],[Weight]:[Weight]]*((_xlfn.XMATCH(Table2614256[[#This Row],[4]],Table2614256[[#This Row],[1]:[11]],0))-1)/(COUNTA(Table2614256[[#This Row],[1]:[11]])-COUNTBLANK(Table2614256[[#This Row],[1]:[11]])-1)))</f>
        <v>1.862582781456954E-4</v>
      </c>
      <c r="AC62" s="30" cm="1">
        <f t="array" ref="AC62">IF(Table2614256[[#This Row],[5]]="","",Table2614256[[#This Row],[Weight]:[Weight]]-(Table2614256[[#This Row],[Weight]:[Weight]]*((_xlfn.XMATCH(Table2614256[[#This Row],[5]],Table2614256[[#This Row],[1]:[11]],0))-1)/(COUNTA(Table2614256[[#This Row],[1]:[11]])-COUNTBLANK(Table2614256[[#This Row],[1]:[11]])-1)))</f>
        <v>0</v>
      </c>
      <c r="AD62" s="30" t="str" cm="1">
        <f t="array" ref="AD62">IF(Table2614256[[#This Row],[6]]="","",Table2614256[[#This Row],[Weight]:[Weight]]-(Table2614256[[#This Row],[Weight]:[Weight]]*((_xlfn.XMATCH(Table2614256[[#This Row],[6]],Table2614256[[#This Row],[1]:[11]],0))-1)/(COUNTA(Table2614256[[#This Row],[1]:[11]])-COUNTBLANK(Table2614256[[#This Row],[1]:[11]])-1)))</f>
        <v/>
      </c>
      <c r="AE62" s="30" t="str" cm="1">
        <f t="array" ref="AE62">IF(Table2614256[[#This Row],[7]]="","",Table2614256[[#This Row],[Weight]:[Weight]]-(Table2614256[[#This Row],[Weight]:[Weight]]*((_xlfn.XMATCH(Table2614256[[#This Row],[7]],Table2614256[[#This Row],[1]:[11]],0))-1)/(COUNTA(Table2614256[[#This Row],[1]:[11]])-COUNTBLANK(Table2614256[[#This Row],[1]:[11]])-1)))</f>
        <v/>
      </c>
      <c r="AF62" s="30" t="str" cm="1">
        <f t="array" ref="AF62">IF(Table2614256[[#This Row],[8]]="","",Table2614256[[#This Row],[Weight]:[Weight]]-(Table2614256[[#This Row],[Weight]:[Weight]]*((_xlfn.XMATCH(Table2614256[[#This Row],[8]],Table2614256[[#This Row],[1]:[11]],0))-1)/(COUNTA(Table2614256[[#This Row],[1]:[11]])-COUNTBLANK(Table2614256[[#This Row],[1]:[11]])-1)))</f>
        <v/>
      </c>
      <c r="AG62" s="30" t="str" cm="1">
        <f t="array" ref="AG62">IF(Table2614256[[#This Row],[9]]="","",Table2614256[[#This Row],[Weight]:[Weight]]-(Table2614256[[#This Row],[Weight]:[Weight]]*((_xlfn.XMATCH(Table2614256[[#This Row],[9]],Table2614256[[#This Row],[1]:[11]],0))-1)/(COUNTA(Table2614256[[#This Row],[1]:[11]])-COUNTBLANK(Table2614256[[#This Row],[1]:[11]])-1)))</f>
        <v/>
      </c>
      <c r="AH62" s="30" t="str" cm="1">
        <f t="array" ref="AH62">IF(Table2614256[[#This Row],[10]]="","",Table2614256[[#This Row],[Weight]:[Weight]]-(Table2614256[[#This Row],[Weight]:[Weight]]*((_xlfn.XMATCH(Table2614256[[#This Row],[10]],Table2614256[[#This Row],[1]:[11]],0))-1)/(COUNTA(Table2614256[[#This Row],[1]:[11]])-COUNTBLANK(Table2614256[[#This Row],[1]:[11]])-1)))</f>
        <v/>
      </c>
      <c r="AI62" s="30" t="str" cm="1">
        <f t="array" ref="AI62">IF(Table2614256[[#This Row],[11]]="","",Table2614256[[#This Row],[Weight]:[Weight]]-(Table2614256[[#This Row],[Weight]:[Weight]]*((_xlfn.XMATCH(Table2614256[[#This Row],[11]],Table2614256[[#This Row],[1]:[11]],0))-1)/(COUNTA(Table2614256[[#This Row],[1]:[11]])-COUNTBLANK(Table2614256[[#This Row],[1]:[11]])-1)))</f>
        <v/>
      </c>
    </row>
    <row r="63" spans="1:35" ht="120" x14ac:dyDescent="0.2">
      <c r="A63" s="20">
        <v>51</v>
      </c>
      <c r="B63" s="90" t="s">
        <v>394</v>
      </c>
      <c r="C63" s="119" t="s">
        <v>215</v>
      </c>
      <c r="D63" s="153"/>
      <c r="E63" s="153"/>
      <c r="F63" s="121" t="s">
        <v>188</v>
      </c>
      <c r="G63" s="148" cm="1">
        <f t="array" ref="G63">_xlfn.IFS(F63="","",F63="No interest",0,F63="Nice to have",1,F63="Useful",2,F63="Important",3,F63="Very important",4,F63="Critical",5,F63="Show stopper",6)</f>
        <v>5</v>
      </c>
      <c r="H63" s="149">
        <f t="shared" si="2"/>
        <v>6.2086092715231791E-4</v>
      </c>
      <c r="I63" s="150" t="s">
        <v>321</v>
      </c>
      <c r="J63" s="35" t="str" cm="1">
        <f t="array" ref="J63">_xlfn.TEXTJOIN(","&amp;CHAR(10),,TEXT(Table2614256[[#This Row],[12]:[22]],"0,00%"))</f>
        <v>0,00%,
0,00%,
0,00%,
0,00%,
0,00%</v>
      </c>
      <c r="K63" s="26"/>
      <c r="L63" s="27" t="e">
        <f>H63-(H63*((MATCH(Table2614256[[#This Row],[Evaluators Response (SELECT)]],Table2614256[[#This Row],[1]:[11]],0)-1)/(COUNTA(Table2614256[[#This Row],[1]:[11]])-COUNTBLANK(Table2614256[[#This Row],[1]:[11]])-1)))</f>
        <v>#N/A</v>
      </c>
      <c r="M63" s="28"/>
      <c r="N63" s="29" t="str" cm="1">
        <f t="array" ref="N63">IFERROR(INDEX(_xlfn.UNIQUE(TRIM(_xlfn.TEXTSPLIT(Table2614256[[#This Row],[Selection Options]:[Selection Options]],","))),,N$11),"")</f>
        <v>100%: Supported as delivered "out of the box"</v>
      </c>
      <c r="O63" s="29" t="str" cm="1">
        <f t="array" ref="O63">IFERROR(INDEX(_xlfn.UNIQUE(TRIM(_xlfn.TEXTSPLIT(Table2614256[[#This Row],[Selection Options]:[Selection Options]],","))),,O$11),"")</f>
        <v xml:space="preserve">
75%: Supported via modifications (config)</v>
      </c>
      <c r="P63" s="29" t="str" cm="1">
        <f t="array" ref="P63">IFERROR(INDEX(_xlfn.UNIQUE(TRIM(_xlfn.TEXTSPLIT(Table2614256[[#This Row],[Selection Options]:[Selection Options]],","))),,P$11),"")</f>
        <v xml:space="preserve">
50%: Supported via a third party solution</v>
      </c>
      <c r="Q63" s="29" t="str" cm="1">
        <f t="array" ref="Q63">IFERROR(INDEX(_xlfn.UNIQUE(TRIM(_xlfn.TEXTSPLIT(Table2614256[[#This Row],[Selection Options]:[Selection Options]],","))),,Q$11),"")</f>
        <v xml:space="preserve">
25%: Supported via customisation (source code changes)</v>
      </c>
      <c r="R63" s="29" t="str" cm="1">
        <f t="array" ref="R63">IFERROR(INDEX(_xlfn.UNIQUE(TRIM(_xlfn.TEXTSPLIT(Table2614256[[#This Row],[Selection Options]:[Selection Options]],","))),,R$11),"")</f>
        <v xml:space="preserve">
 0%: Not currently supported</v>
      </c>
      <c r="S63" s="29" t="str" cm="1">
        <f t="array" ref="S63">IFERROR(INDEX(_xlfn.UNIQUE(TRIM(_xlfn.TEXTSPLIT(Table2614256[[#This Row],[Selection Options]:[Selection Options]],","))),,S$11),"")</f>
        <v/>
      </c>
      <c r="T63" s="29" t="str" cm="1">
        <f t="array" ref="T63">IFERROR(INDEX(_xlfn.UNIQUE(TRIM(_xlfn.TEXTSPLIT(Table2614256[[#This Row],[Selection Options]:[Selection Options]],","))),,T$11),"")</f>
        <v/>
      </c>
      <c r="U63" s="29" t="str" cm="1">
        <f t="array" ref="U63">IFERROR(INDEX(_xlfn.UNIQUE(TRIM(_xlfn.TEXTSPLIT(Table2614256[[#This Row],[Selection Options]:[Selection Options]],","))),,U$11),"")</f>
        <v/>
      </c>
      <c r="V63" s="29" t="str" cm="1">
        <f t="array" ref="V63">IFERROR(INDEX(_xlfn.UNIQUE(TRIM(_xlfn.TEXTSPLIT(Table2614256[[#This Row],[Selection Options]:[Selection Options]],","))),,V$11),"")</f>
        <v/>
      </c>
      <c r="W63" s="29" t="str" cm="1">
        <f t="array" ref="W63">IFERROR(INDEX(_xlfn.UNIQUE(TRIM(_xlfn.TEXTSPLIT(Table2614256[[#This Row],[Selection Options]:[Selection Options]],","))),,W$11),"")</f>
        <v/>
      </c>
      <c r="X63" s="29" t="str" cm="1">
        <f t="array" ref="X63">IFERROR(INDEX(_xlfn.UNIQUE(TRIM(_xlfn.TEXTSPLIT(Table2614256[[#This Row],[Selection Options]:[Selection Options]],","))),,X$11),"")</f>
        <v/>
      </c>
      <c r="Y63" s="30" cm="1">
        <f t="array" ref="Y63">IF(Table2614256[[#This Row],[1]]="","",Table2614256[[#This Row],[Weight]:[Weight]]-(Table2614256[[#This Row],[Weight]:[Weight]]*((_xlfn.XMATCH(Table2614256[[#This Row],[1]],Table2614256[[#This Row],[1]:[11]],0))-1)/(COUNTA(Table2614256[[#This Row],[1]:[11]])-COUNTBLANK(Table2614256[[#This Row],[1]:[11]])-1)))</f>
        <v>6.2086092715231791E-4</v>
      </c>
      <c r="Z63" s="30" cm="1">
        <f t="array" ref="Z63">IF(Table2614256[[#This Row],[2]]="","",Table2614256[[#This Row],[Weight]:[Weight]]-(Table2614256[[#This Row],[Weight]:[Weight]]*((_xlfn.XMATCH(Table2614256[[#This Row],[2]],Table2614256[[#This Row],[1]:[11]],0))-1)/(COUNTA(Table2614256[[#This Row],[1]:[11]])-COUNTBLANK(Table2614256[[#This Row],[1]:[11]])-1)))</f>
        <v>4.656456953642384E-4</v>
      </c>
      <c r="AA63" s="30" cm="1">
        <f t="array" ref="AA63">IF(Table2614256[[#This Row],[3]]="","",Table2614256[[#This Row],[Weight]:[Weight]]-(Table2614256[[#This Row],[Weight]:[Weight]]*((_xlfn.XMATCH(Table2614256[[#This Row],[3]],Table2614256[[#This Row],[1]:[11]],0))-1)/(COUNTA(Table2614256[[#This Row],[1]:[11]])-COUNTBLANK(Table2614256[[#This Row],[1]:[11]])-1)))</f>
        <v>3.1043046357615895E-4</v>
      </c>
      <c r="AB63" s="30" cm="1">
        <f t="array" ref="AB63">IF(Table2614256[[#This Row],[4]]="","",Table2614256[[#This Row],[Weight]:[Weight]]-(Table2614256[[#This Row],[Weight]:[Weight]]*((_xlfn.XMATCH(Table2614256[[#This Row],[4]],Table2614256[[#This Row],[1]:[11]],0))-1)/(COUNTA(Table2614256[[#This Row],[1]:[11]])-COUNTBLANK(Table2614256[[#This Row],[1]:[11]])-1)))</f>
        <v>1.552152317880795E-4</v>
      </c>
      <c r="AC63" s="30" cm="1">
        <f t="array" ref="AC63">IF(Table2614256[[#This Row],[5]]="","",Table2614256[[#This Row],[Weight]:[Weight]]-(Table2614256[[#This Row],[Weight]:[Weight]]*((_xlfn.XMATCH(Table2614256[[#This Row],[5]],Table2614256[[#This Row],[1]:[11]],0))-1)/(COUNTA(Table2614256[[#This Row],[1]:[11]])-COUNTBLANK(Table2614256[[#This Row],[1]:[11]])-1)))</f>
        <v>0</v>
      </c>
      <c r="AD63" s="30" t="str" cm="1">
        <f t="array" ref="AD63">IF(Table2614256[[#This Row],[6]]="","",Table2614256[[#This Row],[Weight]:[Weight]]-(Table2614256[[#This Row],[Weight]:[Weight]]*((_xlfn.XMATCH(Table2614256[[#This Row],[6]],Table2614256[[#This Row],[1]:[11]],0))-1)/(COUNTA(Table2614256[[#This Row],[1]:[11]])-COUNTBLANK(Table2614256[[#This Row],[1]:[11]])-1)))</f>
        <v/>
      </c>
      <c r="AE63" s="30" t="str" cm="1">
        <f t="array" ref="AE63">IF(Table2614256[[#This Row],[7]]="","",Table2614256[[#This Row],[Weight]:[Weight]]-(Table2614256[[#This Row],[Weight]:[Weight]]*((_xlfn.XMATCH(Table2614256[[#This Row],[7]],Table2614256[[#This Row],[1]:[11]],0))-1)/(COUNTA(Table2614256[[#This Row],[1]:[11]])-COUNTBLANK(Table2614256[[#This Row],[1]:[11]])-1)))</f>
        <v/>
      </c>
      <c r="AF63" s="30" t="str" cm="1">
        <f t="array" ref="AF63">IF(Table2614256[[#This Row],[8]]="","",Table2614256[[#This Row],[Weight]:[Weight]]-(Table2614256[[#This Row],[Weight]:[Weight]]*((_xlfn.XMATCH(Table2614256[[#This Row],[8]],Table2614256[[#This Row],[1]:[11]],0))-1)/(COUNTA(Table2614256[[#This Row],[1]:[11]])-COUNTBLANK(Table2614256[[#This Row],[1]:[11]])-1)))</f>
        <v/>
      </c>
      <c r="AG63" s="30" t="str" cm="1">
        <f t="array" ref="AG63">IF(Table2614256[[#This Row],[9]]="","",Table2614256[[#This Row],[Weight]:[Weight]]-(Table2614256[[#This Row],[Weight]:[Weight]]*((_xlfn.XMATCH(Table2614256[[#This Row],[9]],Table2614256[[#This Row],[1]:[11]],0))-1)/(COUNTA(Table2614256[[#This Row],[1]:[11]])-COUNTBLANK(Table2614256[[#This Row],[1]:[11]])-1)))</f>
        <v/>
      </c>
      <c r="AH63" s="30" t="str" cm="1">
        <f t="array" ref="AH63">IF(Table2614256[[#This Row],[10]]="","",Table2614256[[#This Row],[Weight]:[Weight]]-(Table2614256[[#This Row],[Weight]:[Weight]]*((_xlfn.XMATCH(Table2614256[[#This Row],[10]],Table2614256[[#This Row],[1]:[11]],0))-1)/(COUNTA(Table2614256[[#This Row],[1]:[11]])-COUNTBLANK(Table2614256[[#This Row],[1]:[11]])-1)))</f>
        <v/>
      </c>
      <c r="AI63" s="30" t="str" cm="1">
        <f t="array" ref="AI63">IF(Table2614256[[#This Row],[11]]="","",Table2614256[[#This Row],[Weight]:[Weight]]-(Table2614256[[#This Row],[Weight]:[Weight]]*((_xlfn.XMATCH(Table2614256[[#This Row],[11]],Table2614256[[#This Row],[1]:[11]],0))-1)/(COUNTA(Table2614256[[#This Row],[1]:[11]])-COUNTBLANK(Table2614256[[#This Row],[1]:[11]])-1)))</f>
        <v/>
      </c>
    </row>
    <row r="64" spans="1:35" ht="120" x14ac:dyDescent="0.2">
      <c r="A64" s="20">
        <v>52</v>
      </c>
      <c r="B64" s="90" t="s">
        <v>395</v>
      </c>
      <c r="C64" s="119" t="s">
        <v>215</v>
      </c>
      <c r="D64" s="153"/>
      <c r="E64" s="153"/>
      <c r="F64" s="121" t="s">
        <v>56</v>
      </c>
      <c r="G64" s="148" cm="1">
        <f t="array" ref="G64">_xlfn.IFS(F64="","",F64="No interest",0,F64="Nice to have",1,F64="Useful",2,F64="Important",3,F64="Very important",4,F64="Critical",5,F64="Show stopper",6)</f>
        <v>3</v>
      </c>
      <c r="H64" s="149">
        <f t="shared" si="2"/>
        <v>3.7251655629139076E-4</v>
      </c>
      <c r="I64" s="150" t="s">
        <v>321</v>
      </c>
      <c r="J64" s="35" t="str" cm="1">
        <f t="array" ref="J64">_xlfn.TEXTJOIN(","&amp;CHAR(10),,TEXT(Table2614256[[#This Row],[12]:[22]],"0,00%"))</f>
        <v>0,00%,
0,00%,
0,00%,
0,00%,
0,00%</v>
      </c>
      <c r="K64" s="26"/>
      <c r="L64" s="27" t="e">
        <f>H64-(H64*((MATCH(Table2614256[[#This Row],[Evaluators Response (SELECT)]],Table2614256[[#This Row],[1]:[11]],0)-1)/(COUNTA(Table2614256[[#This Row],[1]:[11]])-COUNTBLANK(Table2614256[[#This Row],[1]:[11]])-1)))</f>
        <v>#N/A</v>
      </c>
      <c r="M64" s="28"/>
      <c r="N64" s="29" t="str" cm="1">
        <f t="array" ref="N64">IFERROR(INDEX(_xlfn.UNIQUE(TRIM(_xlfn.TEXTSPLIT(Table2614256[[#This Row],[Selection Options]:[Selection Options]],","))),,N$11),"")</f>
        <v>100%: Supported as delivered "out of the box"</v>
      </c>
      <c r="O64" s="29" t="str" cm="1">
        <f t="array" ref="O64">IFERROR(INDEX(_xlfn.UNIQUE(TRIM(_xlfn.TEXTSPLIT(Table2614256[[#This Row],[Selection Options]:[Selection Options]],","))),,O$11),"")</f>
        <v xml:space="preserve">
75%: Supported via modifications (config)</v>
      </c>
      <c r="P64" s="29" t="str" cm="1">
        <f t="array" ref="P64">IFERROR(INDEX(_xlfn.UNIQUE(TRIM(_xlfn.TEXTSPLIT(Table2614256[[#This Row],[Selection Options]:[Selection Options]],","))),,P$11),"")</f>
        <v xml:space="preserve">
50%: Supported via a third party solution</v>
      </c>
      <c r="Q64" s="29" t="str" cm="1">
        <f t="array" ref="Q64">IFERROR(INDEX(_xlfn.UNIQUE(TRIM(_xlfn.TEXTSPLIT(Table2614256[[#This Row],[Selection Options]:[Selection Options]],","))),,Q$11),"")</f>
        <v xml:space="preserve">
25%: Supported via customisation (source code changes)</v>
      </c>
      <c r="R64" s="29" t="str" cm="1">
        <f t="array" ref="R64">IFERROR(INDEX(_xlfn.UNIQUE(TRIM(_xlfn.TEXTSPLIT(Table2614256[[#This Row],[Selection Options]:[Selection Options]],","))),,R$11),"")</f>
        <v xml:space="preserve">
 0%: Not currently supported</v>
      </c>
      <c r="S64" s="29" t="str" cm="1">
        <f t="array" ref="S64">IFERROR(INDEX(_xlfn.UNIQUE(TRIM(_xlfn.TEXTSPLIT(Table2614256[[#This Row],[Selection Options]:[Selection Options]],","))),,S$11),"")</f>
        <v/>
      </c>
      <c r="T64" s="29" t="str" cm="1">
        <f t="array" ref="T64">IFERROR(INDEX(_xlfn.UNIQUE(TRIM(_xlfn.TEXTSPLIT(Table2614256[[#This Row],[Selection Options]:[Selection Options]],","))),,T$11),"")</f>
        <v/>
      </c>
      <c r="U64" s="29" t="str" cm="1">
        <f t="array" ref="U64">IFERROR(INDEX(_xlfn.UNIQUE(TRIM(_xlfn.TEXTSPLIT(Table2614256[[#This Row],[Selection Options]:[Selection Options]],","))),,U$11),"")</f>
        <v/>
      </c>
      <c r="V64" s="29" t="str" cm="1">
        <f t="array" ref="V64">IFERROR(INDEX(_xlfn.UNIQUE(TRIM(_xlfn.TEXTSPLIT(Table2614256[[#This Row],[Selection Options]:[Selection Options]],","))),,V$11),"")</f>
        <v/>
      </c>
      <c r="W64" s="29" t="str" cm="1">
        <f t="array" ref="W64">IFERROR(INDEX(_xlfn.UNIQUE(TRIM(_xlfn.TEXTSPLIT(Table2614256[[#This Row],[Selection Options]:[Selection Options]],","))),,W$11),"")</f>
        <v/>
      </c>
      <c r="X64" s="29" t="str" cm="1">
        <f t="array" ref="X64">IFERROR(INDEX(_xlfn.UNIQUE(TRIM(_xlfn.TEXTSPLIT(Table2614256[[#This Row],[Selection Options]:[Selection Options]],","))),,X$11),"")</f>
        <v/>
      </c>
      <c r="Y64" s="30" cm="1">
        <f t="array" ref="Y64">IF(Table2614256[[#This Row],[1]]="","",Table2614256[[#This Row],[Weight]:[Weight]]-(Table2614256[[#This Row],[Weight]:[Weight]]*((_xlfn.XMATCH(Table2614256[[#This Row],[1]],Table2614256[[#This Row],[1]:[11]],0))-1)/(COUNTA(Table2614256[[#This Row],[1]:[11]])-COUNTBLANK(Table2614256[[#This Row],[1]:[11]])-1)))</f>
        <v>3.7251655629139076E-4</v>
      </c>
      <c r="Z64" s="30" cm="1">
        <f t="array" ref="Z64">IF(Table2614256[[#This Row],[2]]="","",Table2614256[[#This Row],[Weight]:[Weight]]-(Table2614256[[#This Row],[Weight]:[Weight]]*((_xlfn.XMATCH(Table2614256[[#This Row],[2]],Table2614256[[#This Row],[1]:[11]],0))-1)/(COUNTA(Table2614256[[#This Row],[1]:[11]])-COUNTBLANK(Table2614256[[#This Row],[1]:[11]])-1)))</f>
        <v>2.7938741721854305E-4</v>
      </c>
      <c r="AA64" s="30" cm="1">
        <f t="array" ref="AA64">IF(Table2614256[[#This Row],[3]]="","",Table2614256[[#This Row],[Weight]:[Weight]]-(Table2614256[[#This Row],[Weight]:[Weight]]*((_xlfn.XMATCH(Table2614256[[#This Row],[3]],Table2614256[[#This Row],[1]:[11]],0))-1)/(COUNTA(Table2614256[[#This Row],[1]:[11]])-COUNTBLANK(Table2614256[[#This Row],[1]:[11]])-1)))</f>
        <v>1.8625827814569538E-4</v>
      </c>
      <c r="AB64" s="30" cm="1">
        <f t="array" ref="AB64">IF(Table2614256[[#This Row],[4]]="","",Table2614256[[#This Row],[Weight]:[Weight]]-(Table2614256[[#This Row],[Weight]:[Weight]]*((_xlfn.XMATCH(Table2614256[[#This Row],[4]],Table2614256[[#This Row],[1]:[11]],0))-1)/(COUNTA(Table2614256[[#This Row],[1]:[11]])-COUNTBLANK(Table2614256[[#This Row],[1]:[11]])-1)))</f>
        <v>9.3129139072847702E-5</v>
      </c>
      <c r="AC64" s="30" cm="1">
        <f t="array" ref="AC64">IF(Table2614256[[#This Row],[5]]="","",Table2614256[[#This Row],[Weight]:[Weight]]-(Table2614256[[#This Row],[Weight]:[Weight]]*((_xlfn.XMATCH(Table2614256[[#This Row],[5]],Table2614256[[#This Row],[1]:[11]],0))-1)/(COUNTA(Table2614256[[#This Row],[1]:[11]])-COUNTBLANK(Table2614256[[#This Row],[1]:[11]])-1)))</f>
        <v>0</v>
      </c>
      <c r="AD64" s="30" t="str" cm="1">
        <f t="array" ref="AD64">IF(Table2614256[[#This Row],[6]]="","",Table2614256[[#This Row],[Weight]:[Weight]]-(Table2614256[[#This Row],[Weight]:[Weight]]*((_xlfn.XMATCH(Table2614256[[#This Row],[6]],Table2614256[[#This Row],[1]:[11]],0))-1)/(COUNTA(Table2614256[[#This Row],[1]:[11]])-COUNTBLANK(Table2614256[[#This Row],[1]:[11]])-1)))</f>
        <v/>
      </c>
      <c r="AE64" s="30" t="str" cm="1">
        <f t="array" ref="AE64">IF(Table2614256[[#This Row],[7]]="","",Table2614256[[#This Row],[Weight]:[Weight]]-(Table2614256[[#This Row],[Weight]:[Weight]]*((_xlfn.XMATCH(Table2614256[[#This Row],[7]],Table2614256[[#This Row],[1]:[11]],0))-1)/(COUNTA(Table2614256[[#This Row],[1]:[11]])-COUNTBLANK(Table2614256[[#This Row],[1]:[11]])-1)))</f>
        <v/>
      </c>
      <c r="AF64" s="30" t="str" cm="1">
        <f t="array" ref="AF64">IF(Table2614256[[#This Row],[8]]="","",Table2614256[[#This Row],[Weight]:[Weight]]-(Table2614256[[#This Row],[Weight]:[Weight]]*((_xlfn.XMATCH(Table2614256[[#This Row],[8]],Table2614256[[#This Row],[1]:[11]],0))-1)/(COUNTA(Table2614256[[#This Row],[1]:[11]])-COUNTBLANK(Table2614256[[#This Row],[1]:[11]])-1)))</f>
        <v/>
      </c>
      <c r="AG64" s="30" t="str" cm="1">
        <f t="array" ref="AG64">IF(Table2614256[[#This Row],[9]]="","",Table2614256[[#This Row],[Weight]:[Weight]]-(Table2614256[[#This Row],[Weight]:[Weight]]*((_xlfn.XMATCH(Table2614256[[#This Row],[9]],Table2614256[[#This Row],[1]:[11]],0))-1)/(COUNTA(Table2614256[[#This Row],[1]:[11]])-COUNTBLANK(Table2614256[[#This Row],[1]:[11]])-1)))</f>
        <v/>
      </c>
      <c r="AH64" s="30" t="str" cm="1">
        <f t="array" ref="AH64">IF(Table2614256[[#This Row],[10]]="","",Table2614256[[#This Row],[Weight]:[Weight]]-(Table2614256[[#This Row],[Weight]:[Weight]]*((_xlfn.XMATCH(Table2614256[[#This Row],[10]],Table2614256[[#This Row],[1]:[11]],0))-1)/(COUNTA(Table2614256[[#This Row],[1]:[11]])-COUNTBLANK(Table2614256[[#This Row],[1]:[11]])-1)))</f>
        <v/>
      </c>
      <c r="AI64" s="30" t="str" cm="1">
        <f t="array" ref="AI64">IF(Table2614256[[#This Row],[11]]="","",Table2614256[[#This Row],[Weight]:[Weight]]-(Table2614256[[#This Row],[Weight]:[Weight]]*((_xlfn.XMATCH(Table2614256[[#This Row],[11]],Table2614256[[#This Row],[1]:[11]],0))-1)/(COUNTA(Table2614256[[#This Row],[1]:[11]])-COUNTBLANK(Table2614256[[#This Row],[1]:[11]])-1)))</f>
        <v/>
      </c>
    </row>
  </sheetData>
  <sheetProtection insertRows="0" insertHyperlinks="0" deleteRows="0" autoFilter="0"/>
  <mergeCells count="4">
    <mergeCell ref="E2:F3"/>
    <mergeCell ref="A10:A11"/>
    <mergeCell ref="B10:C11"/>
    <mergeCell ref="D10:E11"/>
  </mergeCells>
  <conditionalFormatting sqref="K13:K64">
    <cfRule type="expression" dxfId="450" priority="1">
      <formula>COUNTIF(N13:X13,K13)&lt;&gt;1</formula>
    </cfRule>
  </conditionalFormatting>
  <dataValidations count="4">
    <dataValidation type="list" allowBlank="1" showInputMessage="1" showErrorMessage="1" sqref="K13:K64" xr:uid="{CAB46737-4D92-4490-93B4-B0D4AA4DEC04}">
      <formula1>$N13:$X13</formula1>
    </dataValidation>
    <dataValidation type="list" allowBlank="1" showInputMessage="1" showErrorMessage="1" sqref="H13:H64" xr:uid="{6520A00C-9C58-4D41-81A1-A43C30504AF8}">
      <formula1>N13:R13</formula1>
    </dataValidation>
    <dataValidation type="list" allowBlank="1" showInputMessage="1" showErrorMessage="1" sqref="F13:F64" xr:uid="{FF3E43E9-0B1B-47F3-80AC-243D6FCC3642}">
      <formula1>"No interest,Nice to have,Useful,Important,Very important,Critical,Show stopper"</formula1>
    </dataValidation>
    <dataValidation type="list" allowBlank="1" showInputMessage="1" showErrorMessage="1" sqref="M14" xr:uid="{96333099-FDA4-43E8-BBDC-EA4D7EE4EC26}">
      <formula1>_xlfn.UNIQUE(TRIM(_xlfn.TEXTSPLIT(#REF!,",")))</formula1>
    </dataValidation>
  </dataValidations>
  <pageMargins left="0.7" right="0.7" top="0.75" bottom="0.75" header="0.3" footer="0.3"/>
  <pageSetup paperSize="9" scale="50" fitToHeight="0" orientation="landscape" r:id="rId1"/>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918B8-0C6A-42F2-890D-D445C3520150}">
  <sheetPr>
    <tabColor rgb="FF92D050"/>
    <pageSetUpPr fitToPage="1"/>
  </sheetPr>
  <dimension ref="A2:AI70"/>
  <sheetViews>
    <sheetView topLeftCell="B1" zoomScale="81" zoomScaleNormal="81" workbookViewId="0">
      <selection activeCell="C6" sqref="C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30.1406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Summary'!C18</f>
        <v>3.7499999999999999E-2</v>
      </c>
      <c r="G11" s="43">
        <f>SUM(Table26142567[Priority])</f>
        <v>333</v>
      </c>
      <c r="H11" s="8">
        <f>SUM(Table26142567[Weight])</f>
        <v>3.7500000000000006E-2</v>
      </c>
      <c r="I11" s="7"/>
      <c r="J11" s="7"/>
      <c r="K11" s="9" t="s">
        <v>17</v>
      </c>
      <c r="L11" s="8" t="e">
        <f>SUM(Table26142567[Score])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18</v>
      </c>
      <c r="B12" s="12" t="s">
        <v>19</v>
      </c>
      <c r="C12" s="13" t="s">
        <v>20</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08" x14ac:dyDescent="0.2">
      <c r="A13" s="20">
        <v>1</v>
      </c>
      <c r="B13" s="90" t="s">
        <v>396</v>
      </c>
      <c r="C13" s="119" t="s">
        <v>215</v>
      </c>
      <c r="D13" s="90"/>
      <c r="E13" s="90" t="s">
        <v>55</v>
      </c>
      <c r="F13" s="120" t="s">
        <v>188</v>
      </c>
      <c r="G13" s="148" cm="1">
        <f t="array" ref="G13">_xlfn.IFS(F13="","",F13="No interest",0,F13="Nice to have",1,F13="Useful",2,F13="Important",3,F13="Very important",4,F13="Critical",5,F13="Show stopper",6)</f>
        <v>5</v>
      </c>
      <c r="H13" s="149">
        <f t="shared" ref="H13:H16" si="0">(G13/$G$11)*$F$11</f>
        <v>5.6306306306306306E-4</v>
      </c>
      <c r="I13" s="150" t="s">
        <v>321</v>
      </c>
      <c r="J13" s="25" t="str" cm="1">
        <f t="array" ref="J13">_xlfn.TEXTJOIN(","&amp;CHAR(10),,TEXT(Table26142567[[#This Row],[12]:[22]],"0,00%"))</f>
        <v>0,00%,
0,00%,
0,00%,
0,00%,
0,00%</v>
      </c>
      <c r="K13" s="26"/>
      <c r="L13" s="27" t="e">
        <f>H13-(H13*((MATCH(Table26142567[[#This Row],[Evaluators Response (SELECT)]],Table26142567[[#This Row],[1]:[11]],0)-1)/(COUNTA(Table26142567[[#This Row],[1]:[11]])-COUNTBLANK(Table26142567[[#This Row],[1]:[11]])-1)))</f>
        <v>#N/A</v>
      </c>
      <c r="M13" s="28"/>
      <c r="N13" s="29" t="str" cm="1">
        <f t="array" ref="N13">IFERROR(INDEX(_xlfn.UNIQUE(TRIM(_xlfn.TEXTSPLIT(Table26142567[[#This Row],[Selection Options]:[Selection Options]],","))),,N$11),"")</f>
        <v>100%: Supported as delivered "out of the box"</v>
      </c>
      <c r="O13" s="29" t="str" cm="1">
        <f t="array" ref="O13">IFERROR(INDEX(_xlfn.UNIQUE(TRIM(_xlfn.TEXTSPLIT(Table26142567[[#This Row],[Selection Options]:[Selection Options]],","))),,O$11),"")</f>
        <v xml:space="preserve">
75%: Supported via modifications (config)</v>
      </c>
      <c r="P13" s="29" t="str" cm="1">
        <f t="array" ref="P13">IFERROR(INDEX(_xlfn.UNIQUE(TRIM(_xlfn.TEXTSPLIT(Table26142567[[#This Row],[Selection Options]:[Selection Options]],","))),,P$11),"")</f>
        <v xml:space="preserve">
50%: Supported via a third party solution</v>
      </c>
      <c r="Q13" s="29" t="str" cm="1">
        <f t="array" ref="Q13">IFERROR(INDEX(_xlfn.UNIQUE(TRIM(_xlfn.TEXTSPLIT(Table26142567[[#This Row],[Selection Options]:[Selection Options]],","))),,Q$11),"")</f>
        <v xml:space="preserve">
25%: Supported via customisation (source code changes)</v>
      </c>
      <c r="R13" s="29" t="str" cm="1">
        <f t="array" ref="R13">IFERROR(INDEX(_xlfn.UNIQUE(TRIM(_xlfn.TEXTSPLIT(Table26142567[[#This Row],[Selection Options]:[Selection Options]],","))),,R$11),"")</f>
        <v xml:space="preserve">
 0%: Not currently supported</v>
      </c>
      <c r="S13" s="29" t="str" cm="1">
        <f t="array" ref="S13">IFERROR(INDEX(_xlfn.UNIQUE(TRIM(_xlfn.TEXTSPLIT(Table26142567[[#This Row],[Selection Options]:[Selection Options]],","))),,S$11),"")</f>
        <v/>
      </c>
      <c r="T13" s="29" t="str" cm="1">
        <f t="array" ref="T13">IFERROR(INDEX(_xlfn.UNIQUE(TRIM(_xlfn.TEXTSPLIT(Table26142567[[#This Row],[Selection Options]:[Selection Options]],","))),,T$11),"")</f>
        <v/>
      </c>
      <c r="U13" s="29" t="str" cm="1">
        <f t="array" ref="U13">IFERROR(INDEX(_xlfn.UNIQUE(TRIM(_xlfn.TEXTSPLIT(Table26142567[[#This Row],[Selection Options]:[Selection Options]],","))),,U$11),"")</f>
        <v/>
      </c>
      <c r="V13" s="29" t="str" cm="1">
        <f t="array" ref="V13">IFERROR(INDEX(_xlfn.UNIQUE(TRIM(_xlfn.TEXTSPLIT(Table26142567[[#This Row],[Selection Options]:[Selection Options]],","))),,V$11),"")</f>
        <v/>
      </c>
      <c r="W13" s="29" t="str" cm="1">
        <f t="array" ref="W13">IFERROR(INDEX(_xlfn.UNIQUE(TRIM(_xlfn.TEXTSPLIT(Table26142567[[#This Row],[Selection Options]:[Selection Options]],","))),,W$11),"")</f>
        <v/>
      </c>
      <c r="X13" s="29" t="str" cm="1">
        <f t="array" ref="X13">IFERROR(INDEX(_xlfn.UNIQUE(TRIM(_xlfn.TEXTSPLIT(Table26142567[[#This Row],[Selection Options]:[Selection Options]],","))),,X$11),"")</f>
        <v/>
      </c>
      <c r="Y13" s="30" cm="1">
        <f t="array" ref="Y13">IF(Table26142567[[#This Row],[1]]="","",Table26142567[[#This Row],[Weight]:[Weight]]-(Table26142567[[#This Row],[Weight]:[Weight]]*((_xlfn.XMATCH(Table26142567[[#This Row],[1]],Table26142567[[#This Row],[1]:[11]],0))-1)/(COUNTA(Table26142567[[#This Row],[1]:[11]])-COUNTBLANK(Table26142567[[#This Row],[1]:[11]])-1)))</f>
        <v>5.6306306306306306E-4</v>
      </c>
      <c r="Z13" s="30" cm="1">
        <f t="array" ref="Z13">IF(Table26142567[[#This Row],[2]]="","",Table26142567[[#This Row],[Weight]:[Weight]]-(Table26142567[[#This Row],[Weight]:[Weight]]*((_xlfn.XMATCH(Table26142567[[#This Row],[2]],Table26142567[[#This Row],[1]:[11]],0))-1)/(COUNTA(Table26142567[[#This Row],[1]:[11]])-COUNTBLANK(Table26142567[[#This Row],[1]:[11]])-1)))</f>
        <v>4.2229729729729732E-4</v>
      </c>
      <c r="AA13" s="30" cm="1">
        <f t="array" ref="AA13">IF(Table26142567[[#This Row],[3]]="","",Table26142567[[#This Row],[Weight]:[Weight]]-(Table26142567[[#This Row],[Weight]:[Weight]]*((_xlfn.XMATCH(Table26142567[[#This Row],[3]],Table26142567[[#This Row],[1]:[11]],0))-1)/(COUNTA(Table26142567[[#This Row],[1]:[11]])-COUNTBLANK(Table26142567[[#This Row],[1]:[11]])-1)))</f>
        <v>2.8153153153153153E-4</v>
      </c>
      <c r="AB13" s="30" cm="1">
        <f t="array" ref="AB13">IF(Table26142567[[#This Row],[4]]="","",Table26142567[[#This Row],[Weight]:[Weight]]-(Table26142567[[#This Row],[Weight]:[Weight]]*((_xlfn.XMATCH(Table26142567[[#This Row],[4]],Table26142567[[#This Row],[1]:[11]],0))-1)/(COUNTA(Table26142567[[#This Row],[1]:[11]])-COUNTBLANK(Table26142567[[#This Row],[1]:[11]])-1)))</f>
        <v>1.4076576576576574E-4</v>
      </c>
      <c r="AC13" s="30" cm="1">
        <f t="array" ref="AC13">IF(Table26142567[[#This Row],[5]]="","",Table26142567[[#This Row],[Weight]:[Weight]]-(Table26142567[[#This Row],[Weight]:[Weight]]*((_xlfn.XMATCH(Table26142567[[#This Row],[5]],Table26142567[[#This Row],[1]:[11]],0))-1)/(COUNTA(Table26142567[[#This Row],[1]:[11]])-COUNTBLANK(Table26142567[[#This Row],[1]:[11]])-1)))</f>
        <v>0</v>
      </c>
      <c r="AD13" s="30" t="str" cm="1">
        <f t="array" ref="AD13">IF(Table26142567[[#This Row],[6]]="","",Table26142567[[#This Row],[Weight]:[Weight]]-(Table26142567[[#This Row],[Weight]:[Weight]]*((_xlfn.XMATCH(Table26142567[[#This Row],[6]],Table26142567[[#This Row],[1]:[11]],0))-1)/(COUNTA(Table26142567[[#This Row],[1]:[11]])-COUNTBLANK(Table26142567[[#This Row],[1]:[11]])-1)))</f>
        <v/>
      </c>
      <c r="AE13" s="30" t="str" cm="1">
        <f t="array" ref="AE13">IF(Table26142567[[#This Row],[7]]="","",Table26142567[[#This Row],[Weight]:[Weight]]-(Table26142567[[#This Row],[Weight]:[Weight]]*((_xlfn.XMATCH(Table26142567[[#This Row],[7]],Table26142567[[#This Row],[1]:[11]],0))-1)/(COUNTA(Table26142567[[#This Row],[1]:[11]])-COUNTBLANK(Table26142567[[#This Row],[1]:[11]])-1)))</f>
        <v/>
      </c>
      <c r="AF13" s="30" t="str" cm="1">
        <f t="array" ref="AF13">IF(Table26142567[[#This Row],[8]]="","",Table26142567[[#This Row],[Weight]:[Weight]]-(Table26142567[[#This Row],[Weight]:[Weight]]*((_xlfn.XMATCH(Table26142567[[#This Row],[8]],Table26142567[[#This Row],[1]:[11]],0))-1)/(COUNTA(Table26142567[[#This Row],[1]:[11]])-COUNTBLANK(Table26142567[[#This Row],[1]:[11]])-1)))</f>
        <v/>
      </c>
      <c r="AG13" s="30" t="str" cm="1">
        <f t="array" ref="AG13">IF(Table26142567[[#This Row],[9]]="","",Table26142567[[#This Row],[Weight]:[Weight]]-(Table26142567[[#This Row],[Weight]:[Weight]]*((_xlfn.XMATCH(Table26142567[[#This Row],[9]],Table26142567[[#This Row],[1]:[11]],0))-1)/(COUNTA(Table26142567[[#This Row],[1]:[11]])-COUNTBLANK(Table26142567[[#This Row],[1]:[11]])-1)))</f>
        <v/>
      </c>
      <c r="AH13" s="30" t="str" cm="1">
        <f t="array" ref="AH13">IF(Table26142567[[#This Row],[10]]="","",Table26142567[[#This Row],[Weight]:[Weight]]-(Table26142567[[#This Row],[Weight]:[Weight]]*((_xlfn.XMATCH(Table26142567[[#This Row],[10]],Table26142567[[#This Row],[1]:[11]],0))-1)/(COUNTA(Table26142567[[#This Row],[1]:[11]])-COUNTBLANK(Table26142567[[#This Row],[1]:[11]])-1)))</f>
        <v/>
      </c>
      <c r="AI13" s="30" t="str" cm="1">
        <f t="array" ref="AI13">IF(Table26142567[[#This Row],[11]]="","",Table26142567[[#This Row],[Weight]:[Weight]]-(Table26142567[[#This Row],[Weight]:[Weight]]*((_xlfn.XMATCH(Table26142567[[#This Row],[11]],Table26142567[[#This Row],[1]:[11]],0))-1)/(COUNTA(Table26142567[[#This Row],[1]:[11]])-COUNTBLANK(Table26142567[[#This Row],[1]:[11]])-1)))</f>
        <v/>
      </c>
    </row>
    <row r="14" spans="1:35" ht="108" x14ac:dyDescent="0.2">
      <c r="A14" s="20">
        <v>2</v>
      </c>
      <c r="B14" s="90" t="s">
        <v>397</v>
      </c>
      <c r="C14" s="119" t="s">
        <v>215</v>
      </c>
      <c r="D14" s="146"/>
      <c r="E14" s="146"/>
      <c r="F14" s="120" t="s">
        <v>60</v>
      </c>
      <c r="G14" s="148" cm="1">
        <f t="array" ref="G14">_xlfn.IFS(F14="","",F14="No interest",0,F14="Nice to have",1,F14="Useful",2,F14="Important",3,F14="Very important",4,F14="Critical",5,F14="Show stopper",6)</f>
        <v>6</v>
      </c>
      <c r="H14" s="149">
        <f t="shared" si="0"/>
        <v>6.756756756756756E-4</v>
      </c>
      <c r="I14" s="150" t="s">
        <v>321</v>
      </c>
      <c r="J14" s="25" t="str" cm="1">
        <f t="array" ref="J14">_xlfn.TEXTJOIN(","&amp;CHAR(10),,TEXT(Table26142567[[#This Row],[12]:[22]],"0,00%"))</f>
        <v>0,00%,
0,00%,
0,00%,
0,00%,
0,00%</v>
      </c>
      <c r="K14" s="26"/>
      <c r="L14" s="27" t="e">
        <f>H14-(H14*((MATCH(Table26142567[[#This Row],[Evaluators Response (SELECT)]],Table26142567[[#This Row],[1]:[11]],0)-1)/(COUNTA(Table26142567[[#This Row],[1]:[11]])-COUNTBLANK(Table26142567[[#This Row],[1]:[11]])-1)))</f>
        <v>#N/A</v>
      </c>
      <c r="M14" s="28"/>
      <c r="N14" s="29" t="str" cm="1">
        <f t="array" ref="N14">IFERROR(INDEX(_xlfn.UNIQUE(TRIM(_xlfn.TEXTSPLIT(Table26142567[[#This Row],[Selection Options]:[Selection Options]],","))),,N$11),"")</f>
        <v>100%: Supported as delivered "out of the box"</v>
      </c>
      <c r="O14" s="29" t="str" cm="1">
        <f t="array" ref="O14">IFERROR(INDEX(_xlfn.UNIQUE(TRIM(_xlfn.TEXTSPLIT(Table26142567[[#This Row],[Selection Options]:[Selection Options]],","))),,O$11),"")</f>
        <v xml:space="preserve">
75%: Supported via modifications (config)</v>
      </c>
      <c r="P14" s="29" t="str" cm="1">
        <f t="array" ref="P14">IFERROR(INDEX(_xlfn.UNIQUE(TRIM(_xlfn.TEXTSPLIT(Table26142567[[#This Row],[Selection Options]:[Selection Options]],","))),,P$11),"")</f>
        <v xml:space="preserve">
50%: Supported via a third party solution</v>
      </c>
      <c r="Q14" s="29" t="str" cm="1">
        <f t="array" ref="Q14">IFERROR(INDEX(_xlfn.UNIQUE(TRIM(_xlfn.TEXTSPLIT(Table26142567[[#This Row],[Selection Options]:[Selection Options]],","))),,Q$11),"")</f>
        <v xml:space="preserve">
25%: Supported via customisation (source code changes)</v>
      </c>
      <c r="R14" s="29" t="str" cm="1">
        <f t="array" ref="R14">IFERROR(INDEX(_xlfn.UNIQUE(TRIM(_xlfn.TEXTSPLIT(Table26142567[[#This Row],[Selection Options]:[Selection Options]],","))),,R$11),"")</f>
        <v xml:space="preserve">
 0%: Not currently supported</v>
      </c>
      <c r="S14" s="29" t="str" cm="1">
        <f t="array" ref="S14">IFERROR(INDEX(_xlfn.UNIQUE(TRIM(_xlfn.TEXTSPLIT(Table26142567[[#This Row],[Selection Options]:[Selection Options]],","))),,S$11),"")</f>
        <v/>
      </c>
      <c r="T14" s="29" t="str" cm="1">
        <f t="array" ref="T14">IFERROR(INDEX(_xlfn.UNIQUE(TRIM(_xlfn.TEXTSPLIT(Table26142567[[#This Row],[Selection Options]:[Selection Options]],","))),,T$11),"")</f>
        <v/>
      </c>
      <c r="U14" s="29" t="str" cm="1">
        <f t="array" ref="U14">IFERROR(INDEX(_xlfn.UNIQUE(TRIM(_xlfn.TEXTSPLIT(Table26142567[[#This Row],[Selection Options]:[Selection Options]],","))),,U$11),"")</f>
        <v/>
      </c>
      <c r="V14" s="29" t="str" cm="1">
        <f t="array" ref="V14">IFERROR(INDEX(_xlfn.UNIQUE(TRIM(_xlfn.TEXTSPLIT(Table26142567[[#This Row],[Selection Options]:[Selection Options]],","))),,V$11),"")</f>
        <v/>
      </c>
      <c r="W14" s="29" t="str" cm="1">
        <f t="array" ref="W14">IFERROR(INDEX(_xlfn.UNIQUE(TRIM(_xlfn.TEXTSPLIT(Table26142567[[#This Row],[Selection Options]:[Selection Options]],","))),,W$11),"")</f>
        <v/>
      </c>
      <c r="X14" s="29" t="str" cm="1">
        <f t="array" ref="X14">IFERROR(INDEX(_xlfn.UNIQUE(TRIM(_xlfn.TEXTSPLIT(Table26142567[[#This Row],[Selection Options]:[Selection Options]],","))),,X$11),"")</f>
        <v/>
      </c>
      <c r="Y14" s="30" cm="1">
        <f t="array" ref="Y14">IF(Table26142567[[#This Row],[1]]="","",Table26142567[[#This Row],[Weight]:[Weight]]-(Table26142567[[#This Row],[Weight]:[Weight]]*((_xlfn.XMATCH(Table26142567[[#This Row],[1]],Table26142567[[#This Row],[1]:[11]],0))-1)/(COUNTA(Table26142567[[#This Row],[1]:[11]])-COUNTBLANK(Table26142567[[#This Row],[1]:[11]])-1)))</f>
        <v>6.756756756756756E-4</v>
      </c>
      <c r="Z14" s="30" cm="1">
        <f t="array" ref="Z14">IF(Table26142567[[#This Row],[2]]="","",Table26142567[[#This Row],[Weight]:[Weight]]-(Table26142567[[#This Row],[Weight]:[Weight]]*((_xlfn.XMATCH(Table26142567[[#This Row],[2]],Table26142567[[#This Row],[1]:[11]],0))-1)/(COUNTA(Table26142567[[#This Row],[1]:[11]])-COUNTBLANK(Table26142567[[#This Row],[1]:[11]])-1)))</f>
        <v>5.0675675675675668E-4</v>
      </c>
      <c r="AA14" s="30" cm="1">
        <f t="array" ref="AA14">IF(Table26142567[[#This Row],[3]]="","",Table26142567[[#This Row],[Weight]:[Weight]]-(Table26142567[[#This Row],[Weight]:[Weight]]*((_xlfn.XMATCH(Table26142567[[#This Row],[3]],Table26142567[[#This Row],[1]:[11]],0))-1)/(COUNTA(Table26142567[[#This Row],[1]:[11]])-COUNTBLANK(Table26142567[[#This Row],[1]:[11]])-1)))</f>
        <v>3.378378378378378E-4</v>
      </c>
      <c r="AB14" s="30" cm="1">
        <f t="array" ref="AB14">IF(Table26142567[[#This Row],[4]]="","",Table26142567[[#This Row],[Weight]:[Weight]]-(Table26142567[[#This Row],[Weight]:[Weight]]*((_xlfn.XMATCH(Table26142567[[#This Row],[4]],Table26142567[[#This Row],[1]:[11]],0))-1)/(COUNTA(Table26142567[[#This Row],[1]:[11]])-COUNTBLANK(Table26142567[[#This Row],[1]:[11]])-1)))</f>
        <v>1.6891891891891893E-4</v>
      </c>
      <c r="AC14" s="30" cm="1">
        <f t="array" ref="AC14">IF(Table26142567[[#This Row],[5]]="","",Table26142567[[#This Row],[Weight]:[Weight]]-(Table26142567[[#This Row],[Weight]:[Weight]]*((_xlfn.XMATCH(Table26142567[[#This Row],[5]],Table26142567[[#This Row],[1]:[11]],0))-1)/(COUNTA(Table26142567[[#This Row],[1]:[11]])-COUNTBLANK(Table26142567[[#This Row],[1]:[11]])-1)))</f>
        <v>0</v>
      </c>
      <c r="AD14" s="30" t="str" cm="1">
        <f t="array" ref="AD14">IF(Table26142567[[#This Row],[6]]="","",Table26142567[[#This Row],[Weight]:[Weight]]-(Table26142567[[#This Row],[Weight]:[Weight]]*((_xlfn.XMATCH(Table26142567[[#This Row],[6]],Table26142567[[#This Row],[1]:[11]],0))-1)/(COUNTA(Table26142567[[#This Row],[1]:[11]])-COUNTBLANK(Table26142567[[#This Row],[1]:[11]])-1)))</f>
        <v/>
      </c>
      <c r="AE14" s="30" t="str" cm="1">
        <f t="array" ref="AE14">IF(Table26142567[[#This Row],[7]]="","",Table26142567[[#This Row],[Weight]:[Weight]]-(Table26142567[[#This Row],[Weight]:[Weight]]*((_xlfn.XMATCH(Table26142567[[#This Row],[7]],Table26142567[[#This Row],[1]:[11]],0))-1)/(COUNTA(Table26142567[[#This Row],[1]:[11]])-COUNTBLANK(Table26142567[[#This Row],[1]:[11]])-1)))</f>
        <v/>
      </c>
      <c r="AF14" s="30" t="str" cm="1">
        <f t="array" ref="AF14">IF(Table26142567[[#This Row],[8]]="","",Table26142567[[#This Row],[Weight]:[Weight]]-(Table26142567[[#This Row],[Weight]:[Weight]]*((_xlfn.XMATCH(Table26142567[[#This Row],[8]],Table26142567[[#This Row],[1]:[11]],0))-1)/(COUNTA(Table26142567[[#This Row],[1]:[11]])-COUNTBLANK(Table26142567[[#This Row],[1]:[11]])-1)))</f>
        <v/>
      </c>
      <c r="AG14" s="30" t="str" cm="1">
        <f t="array" ref="AG14">IF(Table26142567[[#This Row],[9]]="","",Table26142567[[#This Row],[Weight]:[Weight]]-(Table26142567[[#This Row],[Weight]:[Weight]]*((_xlfn.XMATCH(Table26142567[[#This Row],[9]],Table26142567[[#This Row],[1]:[11]],0))-1)/(COUNTA(Table26142567[[#This Row],[1]:[11]])-COUNTBLANK(Table26142567[[#This Row],[1]:[11]])-1)))</f>
        <v/>
      </c>
      <c r="AH14" s="30" t="str" cm="1">
        <f t="array" ref="AH14">IF(Table26142567[[#This Row],[10]]="","",Table26142567[[#This Row],[Weight]:[Weight]]-(Table26142567[[#This Row],[Weight]:[Weight]]*((_xlfn.XMATCH(Table26142567[[#This Row],[10]],Table26142567[[#This Row],[1]:[11]],0))-1)/(COUNTA(Table26142567[[#This Row],[1]:[11]])-COUNTBLANK(Table26142567[[#This Row],[1]:[11]])-1)))</f>
        <v/>
      </c>
      <c r="AI14" s="30" t="str" cm="1">
        <f t="array" ref="AI14">IF(Table26142567[[#This Row],[11]]="","",Table26142567[[#This Row],[Weight]:[Weight]]-(Table26142567[[#This Row],[Weight]:[Weight]]*((_xlfn.XMATCH(Table26142567[[#This Row],[11]],Table26142567[[#This Row],[1]:[11]],0))-1)/(COUNTA(Table26142567[[#This Row],[1]:[11]])-COUNTBLANK(Table26142567[[#This Row],[1]:[11]])-1)))</f>
        <v/>
      </c>
    </row>
    <row r="15" spans="1:35" ht="108" x14ac:dyDescent="0.2">
      <c r="A15" s="20">
        <v>3</v>
      </c>
      <c r="B15" s="119" t="s">
        <v>398</v>
      </c>
      <c r="C15" s="119" t="s">
        <v>215</v>
      </c>
      <c r="D15" s="147"/>
      <c r="E15" s="147"/>
      <c r="F15" s="121" t="s">
        <v>60</v>
      </c>
      <c r="G15" s="151" cm="1">
        <f t="array" ref="G15">_xlfn.IFS(F15="","",F15="No interest",0,F15="Nice to have",1,F15="Useful",2,F15="Important",3,F15="Very important",4,F15="Critical",5,F15="Show stopper",6)</f>
        <v>6</v>
      </c>
      <c r="H15" s="152">
        <f t="shared" si="0"/>
        <v>6.756756756756756E-4</v>
      </c>
      <c r="I15" s="150" t="s">
        <v>321</v>
      </c>
      <c r="J15" s="35" t="str" cm="1">
        <f t="array" ref="J15">_xlfn.TEXTJOIN(","&amp;CHAR(10),,TEXT(Table26142567[[#This Row],[12]:[22]],"0,00%"))</f>
        <v>0,00%,
0,00%,
0,00%,
0,00%,
0,00%</v>
      </c>
      <c r="K15" s="36"/>
      <c r="L15" s="37" t="e">
        <f>H15-(H15*((MATCH(Table26142567[[#This Row],[Evaluators Response (SELECT)]],Table26142567[[#This Row],[1]:[11]],0)-1)/(COUNTA(Table26142567[[#This Row],[1]:[11]])-COUNTBLANK(Table26142567[[#This Row],[1]:[11]])-1)))</f>
        <v>#N/A</v>
      </c>
      <c r="M15" s="38"/>
      <c r="N15" s="29" t="str" cm="1">
        <f t="array" ref="N15">IFERROR(INDEX(_xlfn.UNIQUE(TRIM(_xlfn.TEXTSPLIT(Table26142567[[#This Row],[Selection Options]:[Selection Options]],","))),,N$11),"")</f>
        <v>100%: Supported as delivered "out of the box"</v>
      </c>
      <c r="O15" s="29" t="str" cm="1">
        <f t="array" ref="O15">IFERROR(INDEX(_xlfn.UNIQUE(TRIM(_xlfn.TEXTSPLIT(Table26142567[[#This Row],[Selection Options]:[Selection Options]],","))),,O$11),"")</f>
        <v xml:space="preserve">
75%: Supported via modifications (config)</v>
      </c>
      <c r="P15" s="29" t="str" cm="1">
        <f t="array" ref="P15">IFERROR(INDEX(_xlfn.UNIQUE(TRIM(_xlfn.TEXTSPLIT(Table26142567[[#This Row],[Selection Options]:[Selection Options]],","))),,P$11),"")</f>
        <v xml:space="preserve">
50%: Supported via a third party solution</v>
      </c>
      <c r="Q15" s="29" t="str" cm="1">
        <f t="array" ref="Q15">IFERROR(INDEX(_xlfn.UNIQUE(TRIM(_xlfn.TEXTSPLIT(Table26142567[[#This Row],[Selection Options]:[Selection Options]],","))),,Q$11),"")</f>
        <v xml:space="preserve">
25%: Supported via customisation (source code changes)</v>
      </c>
      <c r="R15" s="29" t="str" cm="1">
        <f t="array" ref="R15">IFERROR(INDEX(_xlfn.UNIQUE(TRIM(_xlfn.TEXTSPLIT(Table26142567[[#This Row],[Selection Options]:[Selection Options]],","))),,R$11),"")</f>
        <v xml:space="preserve">
 0%: Not currently supported</v>
      </c>
      <c r="S15" s="29" t="str" cm="1">
        <f t="array" ref="S15">IFERROR(INDEX(_xlfn.UNIQUE(TRIM(_xlfn.TEXTSPLIT(Table26142567[[#This Row],[Selection Options]:[Selection Options]],","))),,S$11),"")</f>
        <v/>
      </c>
      <c r="T15" s="29" t="str" cm="1">
        <f t="array" ref="T15">IFERROR(INDEX(_xlfn.UNIQUE(TRIM(_xlfn.TEXTSPLIT(Table26142567[[#This Row],[Selection Options]:[Selection Options]],","))),,T$11),"")</f>
        <v/>
      </c>
      <c r="U15" s="29" t="str" cm="1">
        <f t="array" ref="U15">IFERROR(INDEX(_xlfn.UNIQUE(TRIM(_xlfn.TEXTSPLIT(Table26142567[[#This Row],[Selection Options]:[Selection Options]],","))),,U$11),"")</f>
        <v/>
      </c>
      <c r="V15" s="29" t="str" cm="1">
        <f t="array" ref="V15">IFERROR(INDEX(_xlfn.UNIQUE(TRIM(_xlfn.TEXTSPLIT(Table26142567[[#This Row],[Selection Options]:[Selection Options]],","))),,V$11),"")</f>
        <v/>
      </c>
      <c r="W15" s="29" t="str" cm="1">
        <f t="array" ref="W15">IFERROR(INDEX(_xlfn.UNIQUE(TRIM(_xlfn.TEXTSPLIT(Table26142567[[#This Row],[Selection Options]:[Selection Options]],","))),,W$11),"")</f>
        <v/>
      </c>
      <c r="X15" s="29" t="str" cm="1">
        <f t="array" ref="X15">IFERROR(INDEX(_xlfn.UNIQUE(TRIM(_xlfn.TEXTSPLIT(Table26142567[[#This Row],[Selection Options]:[Selection Options]],","))),,X$11),"")</f>
        <v/>
      </c>
      <c r="Y15" s="30" cm="1">
        <f t="array" ref="Y15">IF(Table26142567[[#This Row],[1]]="","",Table26142567[[#This Row],[Weight]:[Weight]]-(Table26142567[[#This Row],[Weight]:[Weight]]*((_xlfn.XMATCH(Table26142567[[#This Row],[1]],Table26142567[[#This Row],[1]:[11]],0))-1)/(COUNTA(Table26142567[[#This Row],[1]:[11]])-COUNTBLANK(Table26142567[[#This Row],[1]:[11]])-1)))</f>
        <v>6.756756756756756E-4</v>
      </c>
      <c r="Z15" s="30" cm="1">
        <f t="array" ref="Z15">IF(Table26142567[[#This Row],[2]]="","",Table26142567[[#This Row],[Weight]:[Weight]]-(Table26142567[[#This Row],[Weight]:[Weight]]*((_xlfn.XMATCH(Table26142567[[#This Row],[2]],Table26142567[[#This Row],[1]:[11]],0))-1)/(COUNTA(Table26142567[[#This Row],[1]:[11]])-COUNTBLANK(Table26142567[[#This Row],[1]:[11]])-1)))</f>
        <v>5.0675675675675668E-4</v>
      </c>
      <c r="AA15" s="30" cm="1">
        <f t="array" ref="AA15">IF(Table26142567[[#This Row],[3]]="","",Table26142567[[#This Row],[Weight]:[Weight]]-(Table26142567[[#This Row],[Weight]:[Weight]]*((_xlfn.XMATCH(Table26142567[[#This Row],[3]],Table26142567[[#This Row],[1]:[11]],0))-1)/(COUNTA(Table26142567[[#This Row],[1]:[11]])-COUNTBLANK(Table26142567[[#This Row],[1]:[11]])-1)))</f>
        <v>3.378378378378378E-4</v>
      </c>
      <c r="AB15" s="30" cm="1">
        <f t="array" ref="AB15">IF(Table26142567[[#This Row],[4]]="","",Table26142567[[#This Row],[Weight]:[Weight]]-(Table26142567[[#This Row],[Weight]:[Weight]]*((_xlfn.XMATCH(Table26142567[[#This Row],[4]],Table26142567[[#This Row],[1]:[11]],0))-1)/(COUNTA(Table26142567[[#This Row],[1]:[11]])-COUNTBLANK(Table26142567[[#This Row],[1]:[11]])-1)))</f>
        <v>1.6891891891891893E-4</v>
      </c>
      <c r="AC15" s="30" cm="1">
        <f t="array" ref="AC15">IF(Table26142567[[#This Row],[5]]="","",Table26142567[[#This Row],[Weight]:[Weight]]-(Table26142567[[#This Row],[Weight]:[Weight]]*((_xlfn.XMATCH(Table26142567[[#This Row],[5]],Table26142567[[#This Row],[1]:[11]],0))-1)/(COUNTA(Table26142567[[#This Row],[1]:[11]])-COUNTBLANK(Table26142567[[#This Row],[1]:[11]])-1)))</f>
        <v>0</v>
      </c>
      <c r="AD15" s="30" t="str" cm="1">
        <f t="array" ref="AD15">IF(Table26142567[[#This Row],[6]]="","",Table26142567[[#This Row],[Weight]:[Weight]]-(Table26142567[[#This Row],[Weight]:[Weight]]*((_xlfn.XMATCH(Table26142567[[#This Row],[6]],Table26142567[[#This Row],[1]:[11]],0))-1)/(COUNTA(Table26142567[[#This Row],[1]:[11]])-COUNTBLANK(Table26142567[[#This Row],[1]:[11]])-1)))</f>
        <v/>
      </c>
      <c r="AE15" s="30" t="str" cm="1">
        <f t="array" ref="AE15">IF(Table26142567[[#This Row],[7]]="","",Table26142567[[#This Row],[Weight]:[Weight]]-(Table26142567[[#This Row],[Weight]:[Weight]]*((_xlfn.XMATCH(Table26142567[[#This Row],[7]],Table26142567[[#This Row],[1]:[11]],0))-1)/(COUNTA(Table26142567[[#This Row],[1]:[11]])-COUNTBLANK(Table26142567[[#This Row],[1]:[11]])-1)))</f>
        <v/>
      </c>
      <c r="AF15" s="30" t="str" cm="1">
        <f t="array" ref="AF15">IF(Table26142567[[#This Row],[8]]="","",Table26142567[[#This Row],[Weight]:[Weight]]-(Table26142567[[#This Row],[Weight]:[Weight]]*((_xlfn.XMATCH(Table26142567[[#This Row],[8]],Table26142567[[#This Row],[1]:[11]],0))-1)/(COUNTA(Table26142567[[#This Row],[1]:[11]])-COUNTBLANK(Table26142567[[#This Row],[1]:[11]])-1)))</f>
        <v/>
      </c>
      <c r="AG15" s="30" t="str" cm="1">
        <f t="array" ref="AG15">IF(Table26142567[[#This Row],[9]]="","",Table26142567[[#This Row],[Weight]:[Weight]]-(Table26142567[[#This Row],[Weight]:[Weight]]*((_xlfn.XMATCH(Table26142567[[#This Row],[9]],Table26142567[[#This Row],[1]:[11]],0))-1)/(COUNTA(Table26142567[[#This Row],[1]:[11]])-COUNTBLANK(Table26142567[[#This Row],[1]:[11]])-1)))</f>
        <v/>
      </c>
      <c r="AH15" s="30" t="str" cm="1">
        <f t="array" ref="AH15">IF(Table26142567[[#This Row],[10]]="","",Table26142567[[#This Row],[Weight]:[Weight]]-(Table26142567[[#This Row],[Weight]:[Weight]]*((_xlfn.XMATCH(Table26142567[[#This Row],[10]],Table26142567[[#This Row],[1]:[11]],0))-1)/(COUNTA(Table26142567[[#This Row],[1]:[11]])-COUNTBLANK(Table26142567[[#This Row],[1]:[11]])-1)))</f>
        <v/>
      </c>
      <c r="AI15" s="30" t="str" cm="1">
        <f t="array" ref="AI15">IF(Table26142567[[#This Row],[11]]="","",Table26142567[[#This Row],[Weight]:[Weight]]-(Table26142567[[#This Row],[Weight]:[Weight]]*((_xlfn.XMATCH(Table26142567[[#This Row],[11]],Table26142567[[#This Row],[1]:[11]],0))-1)/(COUNTA(Table26142567[[#This Row],[1]:[11]])-COUNTBLANK(Table26142567[[#This Row],[1]:[11]])-1)))</f>
        <v/>
      </c>
    </row>
    <row r="16" spans="1:35" ht="108" x14ac:dyDescent="0.2">
      <c r="A16" s="20">
        <v>4</v>
      </c>
      <c r="B16" s="90" t="s">
        <v>399</v>
      </c>
      <c r="C16" s="119" t="s">
        <v>215</v>
      </c>
      <c r="D16" s="146"/>
      <c r="E16" s="146"/>
      <c r="F16" s="120" t="s">
        <v>60</v>
      </c>
      <c r="G16" s="148" cm="1">
        <f t="array" ref="G16">_xlfn.IFS(F16="","",F16="No interest",0,F16="Nice to have",1,F16="Useful",2,F16="Important",3,F16="Very important",4,F16="Critical",5,F16="Show stopper",6)</f>
        <v>6</v>
      </c>
      <c r="H16" s="149">
        <f t="shared" si="0"/>
        <v>6.756756756756756E-4</v>
      </c>
      <c r="I16" s="150" t="s">
        <v>321</v>
      </c>
      <c r="J16" s="25" t="str" cm="1">
        <f t="array" ref="J16">_xlfn.TEXTJOIN(","&amp;CHAR(10),,TEXT(Table26142567[[#This Row],[12]:[22]],"0,00%"))</f>
        <v>0,00%,
0,00%,
0,00%,
0,00%,
0,00%</v>
      </c>
      <c r="K16" s="26"/>
      <c r="L16" s="27" t="e">
        <f>H16-(H16*((MATCH(Table26142567[[#This Row],[Evaluators Response (SELECT)]],Table26142567[[#This Row],[1]:[11]],0)-1)/(COUNTA(Table26142567[[#This Row],[1]:[11]])-COUNTBLANK(Table26142567[[#This Row],[1]:[11]])-1)))</f>
        <v>#N/A</v>
      </c>
      <c r="M16" s="28"/>
      <c r="N16" s="29" t="str" cm="1">
        <f t="array" ref="N16">IFERROR(INDEX(_xlfn.UNIQUE(TRIM(_xlfn.TEXTSPLIT(Table26142567[[#This Row],[Selection Options]:[Selection Options]],","))),,N$11),"")</f>
        <v>100%: Supported as delivered "out of the box"</v>
      </c>
      <c r="O16" s="29" t="str" cm="1">
        <f t="array" ref="O16">IFERROR(INDEX(_xlfn.UNIQUE(TRIM(_xlfn.TEXTSPLIT(Table26142567[[#This Row],[Selection Options]:[Selection Options]],","))),,O$11),"")</f>
        <v xml:space="preserve">
75%: Supported via modifications (config)</v>
      </c>
      <c r="P16" s="29" t="str" cm="1">
        <f t="array" ref="P16">IFERROR(INDEX(_xlfn.UNIQUE(TRIM(_xlfn.TEXTSPLIT(Table26142567[[#This Row],[Selection Options]:[Selection Options]],","))),,P$11),"")</f>
        <v xml:space="preserve">
50%: Supported via a third party solution</v>
      </c>
      <c r="Q16" s="29" t="str" cm="1">
        <f t="array" ref="Q16">IFERROR(INDEX(_xlfn.UNIQUE(TRIM(_xlfn.TEXTSPLIT(Table26142567[[#This Row],[Selection Options]:[Selection Options]],","))),,Q$11),"")</f>
        <v xml:space="preserve">
25%: Supported via customisation (source code changes)</v>
      </c>
      <c r="R16" s="29" t="str" cm="1">
        <f t="array" ref="R16">IFERROR(INDEX(_xlfn.UNIQUE(TRIM(_xlfn.TEXTSPLIT(Table26142567[[#This Row],[Selection Options]:[Selection Options]],","))),,R$11),"")</f>
        <v xml:space="preserve">
 0%: Not currently supported</v>
      </c>
      <c r="S16" s="29" t="str" cm="1">
        <f t="array" ref="S16">IFERROR(INDEX(_xlfn.UNIQUE(TRIM(_xlfn.TEXTSPLIT(Table26142567[[#This Row],[Selection Options]:[Selection Options]],","))),,S$11),"")</f>
        <v/>
      </c>
      <c r="T16" s="29" t="str" cm="1">
        <f t="array" ref="T16">IFERROR(INDEX(_xlfn.UNIQUE(TRIM(_xlfn.TEXTSPLIT(Table26142567[[#This Row],[Selection Options]:[Selection Options]],","))),,T$11),"")</f>
        <v/>
      </c>
      <c r="U16" s="29" t="str" cm="1">
        <f t="array" ref="U16">IFERROR(INDEX(_xlfn.UNIQUE(TRIM(_xlfn.TEXTSPLIT(Table26142567[[#This Row],[Selection Options]:[Selection Options]],","))),,U$11),"")</f>
        <v/>
      </c>
      <c r="V16" s="29" t="str" cm="1">
        <f t="array" ref="V16">IFERROR(INDEX(_xlfn.UNIQUE(TRIM(_xlfn.TEXTSPLIT(Table26142567[[#This Row],[Selection Options]:[Selection Options]],","))),,V$11),"")</f>
        <v/>
      </c>
      <c r="W16" s="29" t="str" cm="1">
        <f t="array" ref="W16">IFERROR(INDEX(_xlfn.UNIQUE(TRIM(_xlfn.TEXTSPLIT(Table26142567[[#This Row],[Selection Options]:[Selection Options]],","))),,W$11),"")</f>
        <v/>
      </c>
      <c r="X16" s="29" t="str" cm="1">
        <f t="array" ref="X16">IFERROR(INDEX(_xlfn.UNIQUE(TRIM(_xlfn.TEXTSPLIT(Table26142567[[#This Row],[Selection Options]:[Selection Options]],","))),,X$11),"")</f>
        <v/>
      </c>
      <c r="Y16" s="30" cm="1">
        <f t="array" ref="Y16">IF(Table26142567[[#This Row],[1]]="","",Table26142567[[#This Row],[Weight]:[Weight]]-(Table26142567[[#This Row],[Weight]:[Weight]]*((_xlfn.XMATCH(Table26142567[[#This Row],[1]],Table26142567[[#This Row],[1]:[11]],0))-1)/(COUNTA(Table26142567[[#This Row],[1]:[11]])-COUNTBLANK(Table26142567[[#This Row],[1]:[11]])-1)))</f>
        <v>6.756756756756756E-4</v>
      </c>
      <c r="Z16" s="30" cm="1">
        <f t="array" ref="Z16">IF(Table26142567[[#This Row],[2]]="","",Table26142567[[#This Row],[Weight]:[Weight]]-(Table26142567[[#This Row],[Weight]:[Weight]]*((_xlfn.XMATCH(Table26142567[[#This Row],[2]],Table26142567[[#This Row],[1]:[11]],0))-1)/(COUNTA(Table26142567[[#This Row],[1]:[11]])-COUNTBLANK(Table26142567[[#This Row],[1]:[11]])-1)))</f>
        <v>5.0675675675675668E-4</v>
      </c>
      <c r="AA16" s="30" cm="1">
        <f t="array" ref="AA16">IF(Table26142567[[#This Row],[3]]="","",Table26142567[[#This Row],[Weight]:[Weight]]-(Table26142567[[#This Row],[Weight]:[Weight]]*((_xlfn.XMATCH(Table26142567[[#This Row],[3]],Table26142567[[#This Row],[1]:[11]],0))-1)/(COUNTA(Table26142567[[#This Row],[1]:[11]])-COUNTBLANK(Table26142567[[#This Row],[1]:[11]])-1)))</f>
        <v>3.378378378378378E-4</v>
      </c>
      <c r="AB16" s="30" cm="1">
        <f t="array" ref="AB16">IF(Table26142567[[#This Row],[4]]="","",Table26142567[[#This Row],[Weight]:[Weight]]-(Table26142567[[#This Row],[Weight]:[Weight]]*((_xlfn.XMATCH(Table26142567[[#This Row],[4]],Table26142567[[#This Row],[1]:[11]],0))-1)/(COUNTA(Table26142567[[#This Row],[1]:[11]])-COUNTBLANK(Table26142567[[#This Row],[1]:[11]])-1)))</f>
        <v>1.6891891891891893E-4</v>
      </c>
      <c r="AC16" s="30" cm="1">
        <f t="array" ref="AC16">IF(Table26142567[[#This Row],[5]]="","",Table26142567[[#This Row],[Weight]:[Weight]]-(Table26142567[[#This Row],[Weight]:[Weight]]*((_xlfn.XMATCH(Table26142567[[#This Row],[5]],Table26142567[[#This Row],[1]:[11]],0))-1)/(COUNTA(Table26142567[[#This Row],[1]:[11]])-COUNTBLANK(Table26142567[[#This Row],[1]:[11]])-1)))</f>
        <v>0</v>
      </c>
      <c r="AD16" s="30" t="str" cm="1">
        <f t="array" ref="AD16">IF(Table26142567[[#This Row],[6]]="","",Table26142567[[#This Row],[Weight]:[Weight]]-(Table26142567[[#This Row],[Weight]:[Weight]]*((_xlfn.XMATCH(Table26142567[[#This Row],[6]],Table26142567[[#This Row],[1]:[11]],0))-1)/(COUNTA(Table26142567[[#This Row],[1]:[11]])-COUNTBLANK(Table26142567[[#This Row],[1]:[11]])-1)))</f>
        <v/>
      </c>
      <c r="AE16" s="30" t="str" cm="1">
        <f t="array" ref="AE16">IF(Table26142567[[#This Row],[7]]="","",Table26142567[[#This Row],[Weight]:[Weight]]-(Table26142567[[#This Row],[Weight]:[Weight]]*((_xlfn.XMATCH(Table26142567[[#This Row],[7]],Table26142567[[#This Row],[1]:[11]],0))-1)/(COUNTA(Table26142567[[#This Row],[1]:[11]])-COUNTBLANK(Table26142567[[#This Row],[1]:[11]])-1)))</f>
        <v/>
      </c>
      <c r="AF16" s="30" t="str" cm="1">
        <f t="array" ref="AF16">IF(Table26142567[[#This Row],[8]]="","",Table26142567[[#This Row],[Weight]:[Weight]]-(Table26142567[[#This Row],[Weight]:[Weight]]*((_xlfn.XMATCH(Table26142567[[#This Row],[8]],Table26142567[[#This Row],[1]:[11]],0))-1)/(COUNTA(Table26142567[[#This Row],[1]:[11]])-COUNTBLANK(Table26142567[[#This Row],[1]:[11]])-1)))</f>
        <v/>
      </c>
      <c r="AG16" s="30" t="str" cm="1">
        <f t="array" ref="AG16">IF(Table26142567[[#This Row],[9]]="","",Table26142567[[#This Row],[Weight]:[Weight]]-(Table26142567[[#This Row],[Weight]:[Weight]]*((_xlfn.XMATCH(Table26142567[[#This Row],[9]],Table26142567[[#This Row],[1]:[11]],0))-1)/(COUNTA(Table26142567[[#This Row],[1]:[11]])-COUNTBLANK(Table26142567[[#This Row],[1]:[11]])-1)))</f>
        <v/>
      </c>
      <c r="AH16" s="30" t="str" cm="1">
        <f t="array" ref="AH16">IF(Table26142567[[#This Row],[10]]="","",Table26142567[[#This Row],[Weight]:[Weight]]-(Table26142567[[#This Row],[Weight]:[Weight]]*((_xlfn.XMATCH(Table26142567[[#This Row],[10]],Table26142567[[#This Row],[1]:[11]],0))-1)/(COUNTA(Table26142567[[#This Row],[1]:[11]])-COUNTBLANK(Table26142567[[#This Row],[1]:[11]])-1)))</f>
        <v/>
      </c>
      <c r="AI16" s="30" t="str" cm="1">
        <f t="array" ref="AI16">IF(Table26142567[[#This Row],[11]]="","",Table26142567[[#This Row],[Weight]:[Weight]]-(Table26142567[[#This Row],[Weight]:[Weight]]*((_xlfn.XMATCH(Table26142567[[#This Row],[11]],Table26142567[[#This Row],[1]:[11]],0))-1)/(COUNTA(Table26142567[[#This Row],[1]:[11]])-COUNTBLANK(Table26142567[[#This Row],[1]:[11]])-1)))</f>
        <v/>
      </c>
    </row>
    <row r="17" spans="1:35" ht="108" x14ac:dyDescent="0.2">
      <c r="A17" s="20">
        <v>5</v>
      </c>
      <c r="B17" s="90" t="s">
        <v>400</v>
      </c>
      <c r="C17" s="119" t="s">
        <v>215</v>
      </c>
      <c r="D17" s="146"/>
      <c r="E17" s="146"/>
      <c r="F17" s="120" t="s">
        <v>60</v>
      </c>
      <c r="G17" s="148" cm="1">
        <f t="array" ref="G17">_xlfn.IFS(F17="","",F17="No interest",0,F17="Nice to have",1,F17="Useful",2,F17="Important",3,F17="Very important",4,F17="Critical",5,F17="Show stopper",6)</f>
        <v>6</v>
      </c>
      <c r="H17" s="149">
        <f>(G17/$G$11)*$F$11</f>
        <v>6.756756756756756E-4</v>
      </c>
      <c r="I17" s="150" t="s">
        <v>321</v>
      </c>
      <c r="J17" s="35" t="str" cm="1">
        <f t="array" ref="J17">_xlfn.TEXTJOIN(","&amp;CHAR(10),,TEXT(Table26142567[[#This Row],[12]:[22]],"0,00%"))</f>
        <v>0,00%,
0,00%,
0,00%,
0,00%,
0,00%</v>
      </c>
      <c r="K17" s="26"/>
      <c r="L17" s="27" t="e">
        <f>H17-(H17*((MATCH(Table26142567[[#This Row],[Evaluators Response (SELECT)]],Table26142567[[#This Row],[1]:[11]],0)-1)/(COUNTA(Table26142567[[#This Row],[1]:[11]])-COUNTBLANK(Table26142567[[#This Row],[1]:[11]])-1)))</f>
        <v>#N/A</v>
      </c>
      <c r="M17" s="28"/>
      <c r="N17" s="29" t="str" cm="1">
        <f t="array" ref="N17">IFERROR(INDEX(_xlfn.UNIQUE(TRIM(_xlfn.TEXTSPLIT(Table26142567[[#This Row],[Selection Options]:[Selection Options]],","))),,N$11),"")</f>
        <v>100%: Supported as delivered "out of the box"</v>
      </c>
      <c r="O17" s="29" t="str" cm="1">
        <f t="array" ref="O17">IFERROR(INDEX(_xlfn.UNIQUE(TRIM(_xlfn.TEXTSPLIT(Table26142567[[#This Row],[Selection Options]:[Selection Options]],","))),,O$11),"")</f>
        <v xml:space="preserve">
75%: Supported via modifications (config)</v>
      </c>
      <c r="P17" s="29" t="str" cm="1">
        <f t="array" ref="P17">IFERROR(INDEX(_xlfn.UNIQUE(TRIM(_xlfn.TEXTSPLIT(Table26142567[[#This Row],[Selection Options]:[Selection Options]],","))),,P$11),"")</f>
        <v xml:space="preserve">
50%: Supported via a third party solution</v>
      </c>
      <c r="Q17" s="29" t="str" cm="1">
        <f t="array" ref="Q17">IFERROR(INDEX(_xlfn.UNIQUE(TRIM(_xlfn.TEXTSPLIT(Table26142567[[#This Row],[Selection Options]:[Selection Options]],","))),,Q$11),"")</f>
        <v xml:space="preserve">
25%: Supported via customisation (source code changes)</v>
      </c>
      <c r="R17" s="29" t="str" cm="1">
        <f t="array" ref="R17">IFERROR(INDEX(_xlfn.UNIQUE(TRIM(_xlfn.TEXTSPLIT(Table26142567[[#This Row],[Selection Options]:[Selection Options]],","))),,R$11),"")</f>
        <v xml:space="preserve">
 0%: Not currently supported</v>
      </c>
      <c r="S17" s="29" t="str" cm="1">
        <f t="array" ref="S17">IFERROR(INDEX(_xlfn.UNIQUE(TRIM(_xlfn.TEXTSPLIT(Table26142567[[#This Row],[Selection Options]:[Selection Options]],","))),,S$11),"")</f>
        <v/>
      </c>
      <c r="T17" s="29" t="str" cm="1">
        <f t="array" ref="T17">IFERROR(INDEX(_xlfn.UNIQUE(TRIM(_xlfn.TEXTSPLIT(Table26142567[[#This Row],[Selection Options]:[Selection Options]],","))),,T$11),"")</f>
        <v/>
      </c>
      <c r="U17" s="29" t="str" cm="1">
        <f t="array" ref="U17">IFERROR(INDEX(_xlfn.UNIQUE(TRIM(_xlfn.TEXTSPLIT(Table26142567[[#This Row],[Selection Options]:[Selection Options]],","))),,U$11),"")</f>
        <v/>
      </c>
      <c r="V17" s="29" t="str" cm="1">
        <f t="array" ref="V17">IFERROR(INDEX(_xlfn.UNIQUE(TRIM(_xlfn.TEXTSPLIT(Table26142567[[#This Row],[Selection Options]:[Selection Options]],","))),,V$11),"")</f>
        <v/>
      </c>
      <c r="W17" s="29" t="str" cm="1">
        <f t="array" ref="W17">IFERROR(INDEX(_xlfn.UNIQUE(TRIM(_xlfn.TEXTSPLIT(Table26142567[[#This Row],[Selection Options]:[Selection Options]],","))),,W$11),"")</f>
        <v/>
      </c>
      <c r="X17" s="29" t="str" cm="1">
        <f t="array" ref="X17">IFERROR(INDEX(_xlfn.UNIQUE(TRIM(_xlfn.TEXTSPLIT(Table26142567[[#This Row],[Selection Options]:[Selection Options]],","))),,X$11),"")</f>
        <v/>
      </c>
      <c r="Y17" s="30" cm="1">
        <f t="array" ref="Y17">IF(Table26142567[[#This Row],[1]]="","",Table26142567[[#This Row],[Weight]:[Weight]]-(Table26142567[[#This Row],[Weight]:[Weight]]*((_xlfn.XMATCH(Table26142567[[#This Row],[1]],Table26142567[[#This Row],[1]:[11]],0))-1)/(COUNTA(Table26142567[[#This Row],[1]:[11]])-COUNTBLANK(Table26142567[[#This Row],[1]:[11]])-1)))</f>
        <v>6.756756756756756E-4</v>
      </c>
      <c r="Z17" s="30" cm="1">
        <f t="array" ref="Z17">IF(Table26142567[[#This Row],[2]]="","",Table26142567[[#This Row],[Weight]:[Weight]]-(Table26142567[[#This Row],[Weight]:[Weight]]*((_xlfn.XMATCH(Table26142567[[#This Row],[2]],Table26142567[[#This Row],[1]:[11]],0))-1)/(COUNTA(Table26142567[[#This Row],[1]:[11]])-COUNTBLANK(Table26142567[[#This Row],[1]:[11]])-1)))</f>
        <v>5.0675675675675668E-4</v>
      </c>
      <c r="AA17" s="30" cm="1">
        <f t="array" ref="AA17">IF(Table26142567[[#This Row],[3]]="","",Table26142567[[#This Row],[Weight]:[Weight]]-(Table26142567[[#This Row],[Weight]:[Weight]]*((_xlfn.XMATCH(Table26142567[[#This Row],[3]],Table26142567[[#This Row],[1]:[11]],0))-1)/(COUNTA(Table26142567[[#This Row],[1]:[11]])-COUNTBLANK(Table26142567[[#This Row],[1]:[11]])-1)))</f>
        <v>3.378378378378378E-4</v>
      </c>
      <c r="AB17" s="30" cm="1">
        <f t="array" ref="AB17">IF(Table26142567[[#This Row],[4]]="","",Table26142567[[#This Row],[Weight]:[Weight]]-(Table26142567[[#This Row],[Weight]:[Weight]]*((_xlfn.XMATCH(Table26142567[[#This Row],[4]],Table26142567[[#This Row],[1]:[11]],0))-1)/(COUNTA(Table26142567[[#This Row],[1]:[11]])-COUNTBLANK(Table26142567[[#This Row],[1]:[11]])-1)))</f>
        <v>1.6891891891891893E-4</v>
      </c>
      <c r="AC17" s="30" cm="1">
        <f t="array" ref="AC17">IF(Table26142567[[#This Row],[5]]="","",Table26142567[[#This Row],[Weight]:[Weight]]-(Table26142567[[#This Row],[Weight]:[Weight]]*((_xlfn.XMATCH(Table26142567[[#This Row],[5]],Table26142567[[#This Row],[1]:[11]],0))-1)/(COUNTA(Table26142567[[#This Row],[1]:[11]])-COUNTBLANK(Table26142567[[#This Row],[1]:[11]])-1)))</f>
        <v>0</v>
      </c>
      <c r="AD17" s="30" t="str" cm="1">
        <f t="array" ref="AD17">IF(Table26142567[[#This Row],[6]]="","",Table26142567[[#This Row],[Weight]:[Weight]]-(Table26142567[[#This Row],[Weight]:[Weight]]*((_xlfn.XMATCH(Table26142567[[#This Row],[6]],Table26142567[[#This Row],[1]:[11]],0))-1)/(COUNTA(Table26142567[[#This Row],[1]:[11]])-COUNTBLANK(Table26142567[[#This Row],[1]:[11]])-1)))</f>
        <v/>
      </c>
      <c r="AE17" s="30" t="str" cm="1">
        <f t="array" ref="AE17">IF(Table26142567[[#This Row],[7]]="","",Table26142567[[#This Row],[Weight]:[Weight]]-(Table26142567[[#This Row],[Weight]:[Weight]]*((_xlfn.XMATCH(Table26142567[[#This Row],[7]],Table26142567[[#This Row],[1]:[11]],0))-1)/(COUNTA(Table26142567[[#This Row],[1]:[11]])-COUNTBLANK(Table26142567[[#This Row],[1]:[11]])-1)))</f>
        <v/>
      </c>
      <c r="AF17" s="30" t="str" cm="1">
        <f t="array" ref="AF17">IF(Table26142567[[#This Row],[8]]="","",Table26142567[[#This Row],[Weight]:[Weight]]-(Table26142567[[#This Row],[Weight]:[Weight]]*((_xlfn.XMATCH(Table26142567[[#This Row],[8]],Table26142567[[#This Row],[1]:[11]],0))-1)/(COUNTA(Table26142567[[#This Row],[1]:[11]])-COUNTBLANK(Table26142567[[#This Row],[1]:[11]])-1)))</f>
        <v/>
      </c>
      <c r="AG17" s="30" t="str" cm="1">
        <f t="array" ref="AG17">IF(Table26142567[[#This Row],[9]]="","",Table26142567[[#This Row],[Weight]:[Weight]]-(Table26142567[[#This Row],[Weight]:[Weight]]*((_xlfn.XMATCH(Table26142567[[#This Row],[9]],Table26142567[[#This Row],[1]:[11]],0))-1)/(COUNTA(Table26142567[[#This Row],[1]:[11]])-COUNTBLANK(Table26142567[[#This Row],[1]:[11]])-1)))</f>
        <v/>
      </c>
      <c r="AH17" s="30" t="str" cm="1">
        <f t="array" ref="AH17">IF(Table26142567[[#This Row],[10]]="","",Table26142567[[#This Row],[Weight]:[Weight]]-(Table26142567[[#This Row],[Weight]:[Weight]]*((_xlfn.XMATCH(Table26142567[[#This Row],[10]],Table26142567[[#This Row],[1]:[11]],0))-1)/(COUNTA(Table26142567[[#This Row],[1]:[11]])-COUNTBLANK(Table26142567[[#This Row],[1]:[11]])-1)))</f>
        <v/>
      </c>
      <c r="AI17" s="30" t="str" cm="1">
        <f t="array" ref="AI17">IF(Table26142567[[#This Row],[11]]="","",Table26142567[[#This Row],[Weight]:[Weight]]-(Table26142567[[#This Row],[Weight]:[Weight]]*((_xlfn.XMATCH(Table26142567[[#This Row],[11]],Table26142567[[#This Row],[1]:[11]],0))-1)/(COUNTA(Table26142567[[#This Row],[1]:[11]])-COUNTBLANK(Table26142567[[#This Row],[1]:[11]])-1)))</f>
        <v/>
      </c>
    </row>
    <row r="18" spans="1:35" ht="108" x14ac:dyDescent="0.2">
      <c r="A18" s="20">
        <v>6</v>
      </c>
      <c r="B18" s="119" t="s">
        <v>222</v>
      </c>
      <c r="C18" s="119" t="s">
        <v>215</v>
      </c>
      <c r="D18" s="147"/>
      <c r="E18" s="147"/>
      <c r="F18" s="121" t="s">
        <v>60</v>
      </c>
      <c r="G18" s="151" cm="1">
        <f t="array" ref="G18">_xlfn.IFS(F18="","",F18="No interest",0,F18="Nice to have",1,F18="Useful",2,F18="Important",3,F18="Very important",4,F18="Critical",5,F18="Show stopper",6)</f>
        <v>6</v>
      </c>
      <c r="H18" s="152">
        <f t="shared" ref="H18:H64" si="1">(G18/$G$11)*$F$11</f>
        <v>6.756756756756756E-4</v>
      </c>
      <c r="I18" s="150" t="s">
        <v>321</v>
      </c>
      <c r="J18" s="35" t="str" cm="1">
        <f t="array" ref="J18">_xlfn.TEXTJOIN(","&amp;CHAR(10),,TEXT(Table26142567[[#This Row],[12]:[22]],"0,00%"))</f>
        <v>0,00%,
0,00%,
0,00%,
0,00%,
0,00%</v>
      </c>
      <c r="K18" s="36"/>
      <c r="L18" s="37" t="e">
        <f>H18-(H18*((MATCH(Table26142567[[#This Row],[Evaluators Response (SELECT)]],Table26142567[[#This Row],[1]:[11]],0)-1)/(COUNTA(Table26142567[[#This Row],[1]:[11]])-COUNTBLANK(Table26142567[[#This Row],[1]:[11]])-1)))</f>
        <v>#N/A</v>
      </c>
      <c r="M18" s="38"/>
      <c r="N18" s="29" t="str" cm="1">
        <f t="array" ref="N18">IFERROR(INDEX(_xlfn.UNIQUE(TRIM(_xlfn.TEXTSPLIT(Table26142567[[#This Row],[Selection Options]:[Selection Options]],","))),,N$11),"")</f>
        <v>100%: Supported as delivered "out of the box"</v>
      </c>
      <c r="O18" s="29" t="str" cm="1">
        <f t="array" ref="O18">IFERROR(INDEX(_xlfn.UNIQUE(TRIM(_xlfn.TEXTSPLIT(Table26142567[[#This Row],[Selection Options]:[Selection Options]],","))),,O$11),"")</f>
        <v xml:space="preserve">
75%: Supported via modifications (config)</v>
      </c>
      <c r="P18" s="29" t="str" cm="1">
        <f t="array" ref="P18">IFERROR(INDEX(_xlfn.UNIQUE(TRIM(_xlfn.TEXTSPLIT(Table26142567[[#This Row],[Selection Options]:[Selection Options]],","))),,P$11),"")</f>
        <v xml:space="preserve">
50%: Supported via a third party solution</v>
      </c>
      <c r="Q18" s="29" t="str" cm="1">
        <f t="array" ref="Q18">IFERROR(INDEX(_xlfn.UNIQUE(TRIM(_xlfn.TEXTSPLIT(Table26142567[[#This Row],[Selection Options]:[Selection Options]],","))),,Q$11),"")</f>
        <v xml:space="preserve">
25%: Supported via customisation (source code changes)</v>
      </c>
      <c r="R18" s="29" t="str" cm="1">
        <f t="array" ref="R18">IFERROR(INDEX(_xlfn.UNIQUE(TRIM(_xlfn.TEXTSPLIT(Table26142567[[#This Row],[Selection Options]:[Selection Options]],","))),,R$11),"")</f>
        <v xml:space="preserve">
 0%: Not currently supported</v>
      </c>
      <c r="S18" s="29" t="str" cm="1">
        <f t="array" ref="S18">IFERROR(INDEX(_xlfn.UNIQUE(TRIM(_xlfn.TEXTSPLIT(Table26142567[[#This Row],[Selection Options]:[Selection Options]],","))),,S$11),"")</f>
        <v/>
      </c>
      <c r="T18" s="29" t="str" cm="1">
        <f t="array" ref="T18">IFERROR(INDEX(_xlfn.UNIQUE(TRIM(_xlfn.TEXTSPLIT(Table26142567[[#This Row],[Selection Options]:[Selection Options]],","))),,T$11),"")</f>
        <v/>
      </c>
      <c r="U18" s="29" t="str" cm="1">
        <f t="array" ref="U18">IFERROR(INDEX(_xlfn.UNIQUE(TRIM(_xlfn.TEXTSPLIT(Table26142567[[#This Row],[Selection Options]:[Selection Options]],","))),,U$11),"")</f>
        <v/>
      </c>
      <c r="V18" s="29" t="str" cm="1">
        <f t="array" ref="V18">IFERROR(INDEX(_xlfn.UNIQUE(TRIM(_xlfn.TEXTSPLIT(Table26142567[[#This Row],[Selection Options]:[Selection Options]],","))),,V$11),"")</f>
        <v/>
      </c>
      <c r="W18" s="29" t="str" cm="1">
        <f t="array" ref="W18">IFERROR(INDEX(_xlfn.UNIQUE(TRIM(_xlfn.TEXTSPLIT(Table26142567[[#This Row],[Selection Options]:[Selection Options]],","))),,W$11),"")</f>
        <v/>
      </c>
      <c r="X18" s="29" t="str" cm="1">
        <f t="array" ref="X18">IFERROR(INDEX(_xlfn.UNIQUE(TRIM(_xlfn.TEXTSPLIT(Table26142567[[#This Row],[Selection Options]:[Selection Options]],","))),,X$11),"")</f>
        <v/>
      </c>
      <c r="Y18" s="30" cm="1">
        <f t="array" ref="Y18">IF(Table26142567[[#This Row],[1]]="","",Table26142567[[#This Row],[Weight]:[Weight]]-(Table26142567[[#This Row],[Weight]:[Weight]]*((_xlfn.XMATCH(Table26142567[[#This Row],[1]],Table26142567[[#This Row],[1]:[11]],0))-1)/(COUNTA(Table26142567[[#This Row],[1]:[11]])-COUNTBLANK(Table26142567[[#This Row],[1]:[11]])-1)))</f>
        <v>6.756756756756756E-4</v>
      </c>
      <c r="Z18" s="30" cm="1">
        <f t="array" ref="Z18">IF(Table26142567[[#This Row],[2]]="","",Table26142567[[#This Row],[Weight]:[Weight]]-(Table26142567[[#This Row],[Weight]:[Weight]]*((_xlfn.XMATCH(Table26142567[[#This Row],[2]],Table26142567[[#This Row],[1]:[11]],0))-1)/(COUNTA(Table26142567[[#This Row],[1]:[11]])-COUNTBLANK(Table26142567[[#This Row],[1]:[11]])-1)))</f>
        <v>5.0675675675675668E-4</v>
      </c>
      <c r="AA18" s="30" cm="1">
        <f t="array" ref="AA18">IF(Table26142567[[#This Row],[3]]="","",Table26142567[[#This Row],[Weight]:[Weight]]-(Table26142567[[#This Row],[Weight]:[Weight]]*((_xlfn.XMATCH(Table26142567[[#This Row],[3]],Table26142567[[#This Row],[1]:[11]],0))-1)/(COUNTA(Table26142567[[#This Row],[1]:[11]])-COUNTBLANK(Table26142567[[#This Row],[1]:[11]])-1)))</f>
        <v>3.378378378378378E-4</v>
      </c>
      <c r="AB18" s="30" cm="1">
        <f t="array" ref="AB18">IF(Table26142567[[#This Row],[4]]="","",Table26142567[[#This Row],[Weight]:[Weight]]-(Table26142567[[#This Row],[Weight]:[Weight]]*((_xlfn.XMATCH(Table26142567[[#This Row],[4]],Table26142567[[#This Row],[1]:[11]],0))-1)/(COUNTA(Table26142567[[#This Row],[1]:[11]])-COUNTBLANK(Table26142567[[#This Row],[1]:[11]])-1)))</f>
        <v>1.6891891891891893E-4</v>
      </c>
      <c r="AC18" s="30" cm="1">
        <f t="array" ref="AC18">IF(Table26142567[[#This Row],[5]]="","",Table26142567[[#This Row],[Weight]:[Weight]]-(Table26142567[[#This Row],[Weight]:[Weight]]*((_xlfn.XMATCH(Table26142567[[#This Row],[5]],Table26142567[[#This Row],[1]:[11]],0))-1)/(COUNTA(Table26142567[[#This Row],[1]:[11]])-COUNTBLANK(Table26142567[[#This Row],[1]:[11]])-1)))</f>
        <v>0</v>
      </c>
      <c r="AD18" s="30" t="str" cm="1">
        <f t="array" ref="AD18">IF(Table26142567[[#This Row],[6]]="","",Table26142567[[#This Row],[Weight]:[Weight]]-(Table26142567[[#This Row],[Weight]:[Weight]]*((_xlfn.XMATCH(Table26142567[[#This Row],[6]],Table26142567[[#This Row],[1]:[11]],0))-1)/(COUNTA(Table26142567[[#This Row],[1]:[11]])-COUNTBLANK(Table26142567[[#This Row],[1]:[11]])-1)))</f>
        <v/>
      </c>
      <c r="AE18" s="30" t="str" cm="1">
        <f t="array" ref="AE18">IF(Table26142567[[#This Row],[7]]="","",Table26142567[[#This Row],[Weight]:[Weight]]-(Table26142567[[#This Row],[Weight]:[Weight]]*((_xlfn.XMATCH(Table26142567[[#This Row],[7]],Table26142567[[#This Row],[1]:[11]],0))-1)/(COUNTA(Table26142567[[#This Row],[1]:[11]])-COUNTBLANK(Table26142567[[#This Row],[1]:[11]])-1)))</f>
        <v/>
      </c>
      <c r="AF18" s="30" t="str" cm="1">
        <f t="array" ref="AF18">IF(Table26142567[[#This Row],[8]]="","",Table26142567[[#This Row],[Weight]:[Weight]]-(Table26142567[[#This Row],[Weight]:[Weight]]*((_xlfn.XMATCH(Table26142567[[#This Row],[8]],Table26142567[[#This Row],[1]:[11]],0))-1)/(COUNTA(Table26142567[[#This Row],[1]:[11]])-COUNTBLANK(Table26142567[[#This Row],[1]:[11]])-1)))</f>
        <v/>
      </c>
      <c r="AG18" s="30" t="str" cm="1">
        <f t="array" ref="AG18">IF(Table26142567[[#This Row],[9]]="","",Table26142567[[#This Row],[Weight]:[Weight]]-(Table26142567[[#This Row],[Weight]:[Weight]]*((_xlfn.XMATCH(Table26142567[[#This Row],[9]],Table26142567[[#This Row],[1]:[11]],0))-1)/(COUNTA(Table26142567[[#This Row],[1]:[11]])-COUNTBLANK(Table26142567[[#This Row],[1]:[11]])-1)))</f>
        <v/>
      </c>
      <c r="AH18" s="30" t="str" cm="1">
        <f t="array" ref="AH18">IF(Table26142567[[#This Row],[10]]="","",Table26142567[[#This Row],[Weight]:[Weight]]-(Table26142567[[#This Row],[Weight]:[Weight]]*((_xlfn.XMATCH(Table26142567[[#This Row],[10]],Table26142567[[#This Row],[1]:[11]],0))-1)/(COUNTA(Table26142567[[#This Row],[1]:[11]])-COUNTBLANK(Table26142567[[#This Row],[1]:[11]])-1)))</f>
        <v/>
      </c>
      <c r="AI18" s="30" t="str" cm="1">
        <f t="array" ref="AI18">IF(Table26142567[[#This Row],[11]]="","",Table26142567[[#This Row],[Weight]:[Weight]]-(Table26142567[[#This Row],[Weight]:[Weight]]*((_xlfn.XMATCH(Table26142567[[#This Row],[11]],Table26142567[[#This Row],[1]:[11]],0))-1)/(COUNTA(Table26142567[[#This Row],[1]:[11]])-COUNTBLANK(Table26142567[[#This Row],[1]:[11]])-1)))</f>
        <v/>
      </c>
    </row>
    <row r="19" spans="1:35" ht="108" x14ac:dyDescent="0.2">
      <c r="A19" s="20">
        <v>7</v>
      </c>
      <c r="B19" s="119" t="s">
        <v>401</v>
      </c>
      <c r="C19" s="119" t="s">
        <v>215</v>
      </c>
      <c r="D19" s="147"/>
      <c r="E19" s="147"/>
      <c r="F19" s="121" t="s">
        <v>60</v>
      </c>
      <c r="G19" s="151" cm="1">
        <f t="array" ref="G19">_xlfn.IFS(F19="","",F19="No interest",0,F19="Nice to have",1,F19="Useful",2,F19="Important",3,F19="Very important",4,F19="Critical",5,F19="Show stopper",6)</f>
        <v>6</v>
      </c>
      <c r="H19" s="152">
        <f t="shared" si="1"/>
        <v>6.756756756756756E-4</v>
      </c>
      <c r="I19" s="150" t="s">
        <v>321</v>
      </c>
      <c r="J19" s="35" t="str" cm="1">
        <f t="array" ref="J19">_xlfn.TEXTJOIN(","&amp;CHAR(10),,TEXT(Table26142567[[#This Row],[12]:[22]],"0,00%"))</f>
        <v>0,00%,
0,00%,
0,00%,
0,00%,
0,00%</v>
      </c>
      <c r="K19" s="36"/>
      <c r="L19" s="37" t="e">
        <f>H19-(H19*((MATCH(Table26142567[[#This Row],[Evaluators Response (SELECT)]],Table26142567[[#This Row],[1]:[11]],0)-1)/(COUNTA(Table26142567[[#This Row],[1]:[11]])-COUNTBLANK(Table26142567[[#This Row],[1]:[11]])-1)))</f>
        <v>#N/A</v>
      </c>
      <c r="M19" s="38"/>
      <c r="N19" s="29" t="str" cm="1">
        <f t="array" ref="N19">IFERROR(INDEX(_xlfn.UNIQUE(TRIM(_xlfn.TEXTSPLIT(Table26142567[[#This Row],[Selection Options]:[Selection Options]],","))),,N$11),"")</f>
        <v>100%: Supported as delivered "out of the box"</v>
      </c>
      <c r="O19" s="29" t="str" cm="1">
        <f t="array" ref="O19">IFERROR(INDEX(_xlfn.UNIQUE(TRIM(_xlfn.TEXTSPLIT(Table26142567[[#This Row],[Selection Options]:[Selection Options]],","))),,O$11),"")</f>
        <v xml:space="preserve">
75%: Supported via modifications (config)</v>
      </c>
      <c r="P19" s="29" t="str" cm="1">
        <f t="array" ref="P19">IFERROR(INDEX(_xlfn.UNIQUE(TRIM(_xlfn.TEXTSPLIT(Table26142567[[#This Row],[Selection Options]:[Selection Options]],","))),,P$11),"")</f>
        <v xml:space="preserve">
50%: Supported via a third party solution</v>
      </c>
      <c r="Q19" s="29" t="str" cm="1">
        <f t="array" ref="Q19">IFERROR(INDEX(_xlfn.UNIQUE(TRIM(_xlfn.TEXTSPLIT(Table26142567[[#This Row],[Selection Options]:[Selection Options]],","))),,Q$11),"")</f>
        <v xml:space="preserve">
25%: Supported via customisation (source code changes)</v>
      </c>
      <c r="R19" s="29" t="str" cm="1">
        <f t="array" ref="R19">IFERROR(INDEX(_xlfn.UNIQUE(TRIM(_xlfn.TEXTSPLIT(Table26142567[[#This Row],[Selection Options]:[Selection Options]],","))),,R$11),"")</f>
        <v xml:space="preserve">
 0%: Not currently supported</v>
      </c>
      <c r="S19" s="29" t="str" cm="1">
        <f t="array" ref="S19">IFERROR(INDEX(_xlfn.UNIQUE(TRIM(_xlfn.TEXTSPLIT(Table26142567[[#This Row],[Selection Options]:[Selection Options]],","))),,S$11),"")</f>
        <v/>
      </c>
      <c r="T19" s="29" t="str" cm="1">
        <f t="array" ref="T19">IFERROR(INDEX(_xlfn.UNIQUE(TRIM(_xlfn.TEXTSPLIT(Table26142567[[#This Row],[Selection Options]:[Selection Options]],","))),,T$11),"")</f>
        <v/>
      </c>
      <c r="U19" s="29" t="str" cm="1">
        <f t="array" ref="U19">IFERROR(INDEX(_xlfn.UNIQUE(TRIM(_xlfn.TEXTSPLIT(Table26142567[[#This Row],[Selection Options]:[Selection Options]],","))),,U$11),"")</f>
        <v/>
      </c>
      <c r="V19" s="29" t="str" cm="1">
        <f t="array" ref="V19">IFERROR(INDEX(_xlfn.UNIQUE(TRIM(_xlfn.TEXTSPLIT(Table26142567[[#This Row],[Selection Options]:[Selection Options]],","))),,V$11),"")</f>
        <v/>
      </c>
      <c r="W19" s="29" t="str" cm="1">
        <f t="array" ref="W19">IFERROR(INDEX(_xlfn.UNIQUE(TRIM(_xlfn.TEXTSPLIT(Table26142567[[#This Row],[Selection Options]:[Selection Options]],","))),,W$11),"")</f>
        <v/>
      </c>
      <c r="X19" s="29" t="str" cm="1">
        <f t="array" ref="X19">IFERROR(INDEX(_xlfn.UNIQUE(TRIM(_xlfn.TEXTSPLIT(Table26142567[[#This Row],[Selection Options]:[Selection Options]],","))),,X$11),"")</f>
        <v/>
      </c>
      <c r="Y19" s="30" cm="1">
        <f t="array" ref="Y19">IF(Table26142567[[#This Row],[1]]="","",Table26142567[[#This Row],[Weight]:[Weight]]-(Table26142567[[#This Row],[Weight]:[Weight]]*((_xlfn.XMATCH(Table26142567[[#This Row],[1]],Table26142567[[#This Row],[1]:[11]],0))-1)/(COUNTA(Table26142567[[#This Row],[1]:[11]])-COUNTBLANK(Table26142567[[#This Row],[1]:[11]])-1)))</f>
        <v>6.756756756756756E-4</v>
      </c>
      <c r="Z19" s="30" cm="1">
        <f t="array" ref="Z19">IF(Table26142567[[#This Row],[2]]="","",Table26142567[[#This Row],[Weight]:[Weight]]-(Table26142567[[#This Row],[Weight]:[Weight]]*((_xlfn.XMATCH(Table26142567[[#This Row],[2]],Table26142567[[#This Row],[1]:[11]],0))-1)/(COUNTA(Table26142567[[#This Row],[1]:[11]])-COUNTBLANK(Table26142567[[#This Row],[1]:[11]])-1)))</f>
        <v>5.0675675675675668E-4</v>
      </c>
      <c r="AA19" s="30" cm="1">
        <f t="array" ref="AA19">IF(Table26142567[[#This Row],[3]]="","",Table26142567[[#This Row],[Weight]:[Weight]]-(Table26142567[[#This Row],[Weight]:[Weight]]*((_xlfn.XMATCH(Table26142567[[#This Row],[3]],Table26142567[[#This Row],[1]:[11]],0))-1)/(COUNTA(Table26142567[[#This Row],[1]:[11]])-COUNTBLANK(Table26142567[[#This Row],[1]:[11]])-1)))</f>
        <v>3.378378378378378E-4</v>
      </c>
      <c r="AB19" s="30" cm="1">
        <f t="array" ref="AB19">IF(Table26142567[[#This Row],[4]]="","",Table26142567[[#This Row],[Weight]:[Weight]]-(Table26142567[[#This Row],[Weight]:[Weight]]*((_xlfn.XMATCH(Table26142567[[#This Row],[4]],Table26142567[[#This Row],[1]:[11]],0))-1)/(COUNTA(Table26142567[[#This Row],[1]:[11]])-COUNTBLANK(Table26142567[[#This Row],[1]:[11]])-1)))</f>
        <v>1.6891891891891893E-4</v>
      </c>
      <c r="AC19" s="30" cm="1">
        <f t="array" ref="AC19">IF(Table26142567[[#This Row],[5]]="","",Table26142567[[#This Row],[Weight]:[Weight]]-(Table26142567[[#This Row],[Weight]:[Weight]]*((_xlfn.XMATCH(Table26142567[[#This Row],[5]],Table26142567[[#This Row],[1]:[11]],0))-1)/(COUNTA(Table26142567[[#This Row],[1]:[11]])-COUNTBLANK(Table26142567[[#This Row],[1]:[11]])-1)))</f>
        <v>0</v>
      </c>
      <c r="AD19" s="30" t="str" cm="1">
        <f t="array" ref="AD19">IF(Table26142567[[#This Row],[6]]="","",Table26142567[[#This Row],[Weight]:[Weight]]-(Table26142567[[#This Row],[Weight]:[Weight]]*((_xlfn.XMATCH(Table26142567[[#This Row],[6]],Table26142567[[#This Row],[1]:[11]],0))-1)/(COUNTA(Table26142567[[#This Row],[1]:[11]])-COUNTBLANK(Table26142567[[#This Row],[1]:[11]])-1)))</f>
        <v/>
      </c>
      <c r="AE19" s="30" t="str" cm="1">
        <f t="array" ref="AE19">IF(Table26142567[[#This Row],[7]]="","",Table26142567[[#This Row],[Weight]:[Weight]]-(Table26142567[[#This Row],[Weight]:[Weight]]*((_xlfn.XMATCH(Table26142567[[#This Row],[7]],Table26142567[[#This Row],[1]:[11]],0))-1)/(COUNTA(Table26142567[[#This Row],[1]:[11]])-COUNTBLANK(Table26142567[[#This Row],[1]:[11]])-1)))</f>
        <v/>
      </c>
      <c r="AF19" s="30" t="str" cm="1">
        <f t="array" ref="AF19">IF(Table26142567[[#This Row],[8]]="","",Table26142567[[#This Row],[Weight]:[Weight]]-(Table26142567[[#This Row],[Weight]:[Weight]]*((_xlfn.XMATCH(Table26142567[[#This Row],[8]],Table26142567[[#This Row],[1]:[11]],0))-1)/(COUNTA(Table26142567[[#This Row],[1]:[11]])-COUNTBLANK(Table26142567[[#This Row],[1]:[11]])-1)))</f>
        <v/>
      </c>
      <c r="AG19" s="30" t="str" cm="1">
        <f t="array" ref="AG19">IF(Table26142567[[#This Row],[9]]="","",Table26142567[[#This Row],[Weight]:[Weight]]-(Table26142567[[#This Row],[Weight]:[Weight]]*((_xlfn.XMATCH(Table26142567[[#This Row],[9]],Table26142567[[#This Row],[1]:[11]],0))-1)/(COUNTA(Table26142567[[#This Row],[1]:[11]])-COUNTBLANK(Table26142567[[#This Row],[1]:[11]])-1)))</f>
        <v/>
      </c>
      <c r="AH19" s="30" t="str" cm="1">
        <f t="array" ref="AH19">IF(Table26142567[[#This Row],[10]]="","",Table26142567[[#This Row],[Weight]:[Weight]]-(Table26142567[[#This Row],[Weight]:[Weight]]*((_xlfn.XMATCH(Table26142567[[#This Row],[10]],Table26142567[[#This Row],[1]:[11]],0))-1)/(COUNTA(Table26142567[[#This Row],[1]:[11]])-COUNTBLANK(Table26142567[[#This Row],[1]:[11]])-1)))</f>
        <v/>
      </c>
      <c r="AI19" s="30" t="str" cm="1">
        <f t="array" ref="AI19">IF(Table26142567[[#This Row],[11]]="","",Table26142567[[#This Row],[Weight]:[Weight]]-(Table26142567[[#This Row],[Weight]:[Weight]]*((_xlfn.XMATCH(Table26142567[[#This Row],[11]],Table26142567[[#This Row],[1]:[11]],0))-1)/(COUNTA(Table26142567[[#This Row],[1]:[11]])-COUNTBLANK(Table26142567[[#This Row],[1]:[11]])-1)))</f>
        <v/>
      </c>
    </row>
    <row r="20" spans="1:35" ht="108" x14ac:dyDescent="0.2">
      <c r="A20" s="20">
        <v>8</v>
      </c>
      <c r="B20" s="119" t="s">
        <v>402</v>
      </c>
      <c r="C20" s="119" t="s">
        <v>215</v>
      </c>
      <c r="D20" s="147"/>
      <c r="E20" s="147"/>
      <c r="F20" s="121" t="s">
        <v>60</v>
      </c>
      <c r="G20" s="151" cm="1">
        <f t="array" ref="G20">_xlfn.IFS(F20="","",F20="No interest",0,F20="Nice to have",1,F20="Useful",2,F20="Important",3,F20="Very important",4,F20="Critical",5,F20="Show stopper",6)</f>
        <v>6</v>
      </c>
      <c r="H20" s="152">
        <f t="shared" si="1"/>
        <v>6.756756756756756E-4</v>
      </c>
      <c r="I20" s="150" t="s">
        <v>321</v>
      </c>
      <c r="J20" s="35" t="str" cm="1">
        <f t="array" ref="J20">_xlfn.TEXTJOIN(","&amp;CHAR(10),,TEXT(Table26142567[[#This Row],[12]:[22]],"0,00%"))</f>
        <v>0,00%,
0,00%,
0,00%,
0,00%,
0,00%</v>
      </c>
      <c r="K20" s="36"/>
      <c r="L20" s="37" t="e">
        <f>H20-(H20*((MATCH(Table26142567[[#This Row],[Evaluators Response (SELECT)]],Table26142567[[#This Row],[1]:[11]],0)-1)/(COUNTA(Table26142567[[#This Row],[1]:[11]])-COUNTBLANK(Table26142567[[#This Row],[1]:[11]])-1)))</f>
        <v>#N/A</v>
      </c>
      <c r="M20" s="38"/>
      <c r="N20" s="29" t="str" cm="1">
        <f t="array" ref="N20">IFERROR(INDEX(_xlfn.UNIQUE(TRIM(_xlfn.TEXTSPLIT(Table26142567[[#This Row],[Selection Options]:[Selection Options]],","))),,N$11),"")</f>
        <v>100%: Supported as delivered "out of the box"</v>
      </c>
      <c r="O20" s="29" t="str" cm="1">
        <f t="array" ref="O20">IFERROR(INDEX(_xlfn.UNIQUE(TRIM(_xlfn.TEXTSPLIT(Table26142567[[#This Row],[Selection Options]:[Selection Options]],","))),,O$11),"")</f>
        <v xml:space="preserve">
75%: Supported via modifications (config)</v>
      </c>
      <c r="P20" s="29" t="str" cm="1">
        <f t="array" ref="P20">IFERROR(INDEX(_xlfn.UNIQUE(TRIM(_xlfn.TEXTSPLIT(Table26142567[[#This Row],[Selection Options]:[Selection Options]],","))),,P$11),"")</f>
        <v xml:space="preserve">
50%: Supported via a third party solution</v>
      </c>
      <c r="Q20" s="29" t="str" cm="1">
        <f t="array" ref="Q20">IFERROR(INDEX(_xlfn.UNIQUE(TRIM(_xlfn.TEXTSPLIT(Table26142567[[#This Row],[Selection Options]:[Selection Options]],","))),,Q$11),"")</f>
        <v xml:space="preserve">
25%: Supported via customisation (source code changes)</v>
      </c>
      <c r="R20" s="29" t="str" cm="1">
        <f t="array" ref="R20">IFERROR(INDEX(_xlfn.UNIQUE(TRIM(_xlfn.TEXTSPLIT(Table26142567[[#This Row],[Selection Options]:[Selection Options]],","))),,R$11),"")</f>
        <v xml:space="preserve">
 0%: Not currently supported</v>
      </c>
      <c r="S20" s="29" t="str" cm="1">
        <f t="array" ref="S20">IFERROR(INDEX(_xlfn.UNIQUE(TRIM(_xlfn.TEXTSPLIT(Table26142567[[#This Row],[Selection Options]:[Selection Options]],","))),,S$11),"")</f>
        <v/>
      </c>
      <c r="T20" s="29" t="str" cm="1">
        <f t="array" ref="T20">IFERROR(INDEX(_xlfn.UNIQUE(TRIM(_xlfn.TEXTSPLIT(Table26142567[[#This Row],[Selection Options]:[Selection Options]],","))),,T$11),"")</f>
        <v/>
      </c>
      <c r="U20" s="29" t="str" cm="1">
        <f t="array" ref="U20">IFERROR(INDEX(_xlfn.UNIQUE(TRIM(_xlfn.TEXTSPLIT(Table26142567[[#This Row],[Selection Options]:[Selection Options]],","))),,U$11),"")</f>
        <v/>
      </c>
      <c r="V20" s="29" t="str" cm="1">
        <f t="array" ref="V20">IFERROR(INDEX(_xlfn.UNIQUE(TRIM(_xlfn.TEXTSPLIT(Table26142567[[#This Row],[Selection Options]:[Selection Options]],","))),,V$11),"")</f>
        <v/>
      </c>
      <c r="W20" s="29" t="str" cm="1">
        <f t="array" ref="W20">IFERROR(INDEX(_xlfn.UNIQUE(TRIM(_xlfn.TEXTSPLIT(Table26142567[[#This Row],[Selection Options]:[Selection Options]],","))),,W$11),"")</f>
        <v/>
      </c>
      <c r="X20" s="29" t="str" cm="1">
        <f t="array" ref="X20">IFERROR(INDEX(_xlfn.UNIQUE(TRIM(_xlfn.TEXTSPLIT(Table26142567[[#This Row],[Selection Options]:[Selection Options]],","))),,X$11),"")</f>
        <v/>
      </c>
      <c r="Y20" s="30" cm="1">
        <f t="array" ref="Y20">IF(Table26142567[[#This Row],[1]]="","",Table26142567[[#This Row],[Weight]:[Weight]]-(Table26142567[[#This Row],[Weight]:[Weight]]*((_xlfn.XMATCH(Table26142567[[#This Row],[1]],Table26142567[[#This Row],[1]:[11]],0))-1)/(COUNTA(Table26142567[[#This Row],[1]:[11]])-COUNTBLANK(Table26142567[[#This Row],[1]:[11]])-1)))</f>
        <v>6.756756756756756E-4</v>
      </c>
      <c r="Z20" s="30" cm="1">
        <f t="array" ref="Z20">IF(Table26142567[[#This Row],[2]]="","",Table26142567[[#This Row],[Weight]:[Weight]]-(Table26142567[[#This Row],[Weight]:[Weight]]*((_xlfn.XMATCH(Table26142567[[#This Row],[2]],Table26142567[[#This Row],[1]:[11]],0))-1)/(COUNTA(Table26142567[[#This Row],[1]:[11]])-COUNTBLANK(Table26142567[[#This Row],[1]:[11]])-1)))</f>
        <v>5.0675675675675668E-4</v>
      </c>
      <c r="AA20" s="30" cm="1">
        <f t="array" ref="AA20">IF(Table26142567[[#This Row],[3]]="","",Table26142567[[#This Row],[Weight]:[Weight]]-(Table26142567[[#This Row],[Weight]:[Weight]]*((_xlfn.XMATCH(Table26142567[[#This Row],[3]],Table26142567[[#This Row],[1]:[11]],0))-1)/(COUNTA(Table26142567[[#This Row],[1]:[11]])-COUNTBLANK(Table26142567[[#This Row],[1]:[11]])-1)))</f>
        <v>3.378378378378378E-4</v>
      </c>
      <c r="AB20" s="30" cm="1">
        <f t="array" ref="AB20">IF(Table26142567[[#This Row],[4]]="","",Table26142567[[#This Row],[Weight]:[Weight]]-(Table26142567[[#This Row],[Weight]:[Weight]]*((_xlfn.XMATCH(Table26142567[[#This Row],[4]],Table26142567[[#This Row],[1]:[11]],0))-1)/(COUNTA(Table26142567[[#This Row],[1]:[11]])-COUNTBLANK(Table26142567[[#This Row],[1]:[11]])-1)))</f>
        <v>1.6891891891891893E-4</v>
      </c>
      <c r="AC20" s="30" cm="1">
        <f t="array" ref="AC20">IF(Table26142567[[#This Row],[5]]="","",Table26142567[[#This Row],[Weight]:[Weight]]-(Table26142567[[#This Row],[Weight]:[Weight]]*((_xlfn.XMATCH(Table26142567[[#This Row],[5]],Table26142567[[#This Row],[1]:[11]],0))-1)/(COUNTA(Table26142567[[#This Row],[1]:[11]])-COUNTBLANK(Table26142567[[#This Row],[1]:[11]])-1)))</f>
        <v>0</v>
      </c>
      <c r="AD20" s="30" t="str" cm="1">
        <f t="array" ref="AD20">IF(Table26142567[[#This Row],[6]]="","",Table26142567[[#This Row],[Weight]:[Weight]]-(Table26142567[[#This Row],[Weight]:[Weight]]*((_xlfn.XMATCH(Table26142567[[#This Row],[6]],Table26142567[[#This Row],[1]:[11]],0))-1)/(COUNTA(Table26142567[[#This Row],[1]:[11]])-COUNTBLANK(Table26142567[[#This Row],[1]:[11]])-1)))</f>
        <v/>
      </c>
      <c r="AE20" s="30" t="str" cm="1">
        <f t="array" ref="AE20">IF(Table26142567[[#This Row],[7]]="","",Table26142567[[#This Row],[Weight]:[Weight]]-(Table26142567[[#This Row],[Weight]:[Weight]]*((_xlfn.XMATCH(Table26142567[[#This Row],[7]],Table26142567[[#This Row],[1]:[11]],0))-1)/(COUNTA(Table26142567[[#This Row],[1]:[11]])-COUNTBLANK(Table26142567[[#This Row],[1]:[11]])-1)))</f>
        <v/>
      </c>
      <c r="AF20" s="30" t="str" cm="1">
        <f t="array" ref="AF20">IF(Table26142567[[#This Row],[8]]="","",Table26142567[[#This Row],[Weight]:[Weight]]-(Table26142567[[#This Row],[Weight]:[Weight]]*((_xlfn.XMATCH(Table26142567[[#This Row],[8]],Table26142567[[#This Row],[1]:[11]],0))-1)/(COUNTA(Table26142567[[#This Row],[1]:[11]])-COUNTBLANK(Table26142567[[#This Row],[1]:[11]])-1)))</f>
        <v/>
      </c>
      <c r="AG20" s="30" t="str" cm="1">
        <f t="array" ref="AG20">IF(Table26142567[[#This Row],[9]]="","",Table26142567[[#This Row],[Weight]:[Weight]]-(Table26142567[[#This Row],[Weight]:[Weight]]*((_xlfn.XMATCH(Table26142567[[#This Row],[9]],Table26142567[[#This Row],[1]:[11]],0))-1)/(COUNTA(Table26142567[[#This Row],[1]:[11]])-COUNTBLANK(Table26142567[[#This Row],[1]:[11]])-1)))</f>
        <v/>
      </c>
      <c r="AH20" s="30" t="str" cm="1">
        <f t="array" ref="AH20">IF(Table26142567[[#This Row],[10]]="","",Table26142567[[#This Row],[Weight]:[Weight]]-(Table26142567[[#This Row],[Weight]:[Weight]]*((_xlfn.XMATCH(Table26142567[[#This Row],[10]],Table26142567[[#This Row],[1]:[11]],0))-1)/(COUNTA(Table26142567[[#This Row],[1]:[11]])-COUNTBLANK(Table26142567[[#This Row],[1]:[11]])-1)))</f>
        <v/>
      </c>
      <c r="AI20" s="30" t="str" cm="1">
        <f t="array" ref="AI20">IF(Table26142567[[#This Row],[11]]="","",Table26142567[[#This Row],[Weight]:[Weight]]-(Table26142567[[#This Row],[Weight]:[Weight]]*((_xlfn.XMATCH(Table26142567[[#This Row],[11]],Table26142567[[#This Row],[1]:[11]],0))-1)/(COUNTA(Table26142567[[#This Row],[1]:[11]])-COUNTBLANK(Table26142567[[#This Row],[1]:[11]])-1)))</f>
        <v/>
      </c>
    </row>
    <row r="21" spans="1:35" ht="108" x14ac:dyDescent="0.2">
      <c r="A21" s="20">
        <v>9</v>
      </c>
      <c r="B21" s="119" t="s">
        <v>403</v>
      </c>
      <c r="C21" s="119" t="s">
        <v>215</v>
      </c>
      <c r="D21" s="146"/>
      <c r="E21" s="146"/>
      <c r="F21" s="121" t="s">
        <v>60</v>
      </c>
      <c r="G21" s="148" cm="1">
        <f t="array" ref="G21">_xlfn.IFS(F21="","",F21="No interest",0,F21="Nice to have",1,F21="Useful",2,F21="Important",3,F21="Very important",4,F21="Critical",5,F21="Show stopper",6)</f>
        <v>6</v>
      </c>
      <c r="H21" s="149">
        <f t="shared" si="1"/>
        <v>6.756756756756756E-4</v>
      </c>
      <c r="I21" s="150" t="s">
        <v>321</v>
      </c>
      <c r="J21" s="35" t="str" cm="1">
        <f t="array" ref="J21">_xlfn.TEXTJOIN(","&amp;CHAR(10),,TEXT(Table26142567[[#This Row],[12]:[22]],"0,00%"))</f>
        <v>0,00%,
0,00%,
0,00%,
0,00%,
0,00%</v>
      </c>
      <c r="K21" s="26"/>
      <c r="L21" s="27" t="e">
        <f>H21-(H21*((MATCH(Table26142567[[#This Row],[Evaluators Response (SELECT)]],Table26142567[[#This Row],[1]:[11]],0)-1)/(COUNTA(Table26142567[[#This Row],[1]:[11]])-COUNTBLANK(Table26142567[[#This Row],[1]:[11]])-1)))</f>
        <v>#N/A</v>
      </c>
      <c r="M21" s="28"/>
      <c r="N21" s="29" t="str" cm="1">
        <f t="array" ref="N21">IFERROR(INDEX(_xlfn.UNIQUE(TRIM(_xlfn.TEXTSPLIT(Table26142567[[#This Row],[Selection Options]:[Selection Options]],","))),,N$11),"")</f>
        <v>100%: Supported as delivered "out of the box"</v>
      </c>
      <c r="O21" s="29" t="str" cm="1">
        <f t="array" ref="O21">IFERROR(INDEX(_xlfn.UNIQUE(TRIM(_xlfn.TEXTSPLIT(Table26142567[[#This Row],[Selection Options]:[Selection Options]],","))),,O$11),"")</f>
        <v xml:space="preserve">
75%: Supported via modifications (config)</v>
      </c>
      <c r="P21" s="29" t="str" cm="1">
        <f t="array" ref="P21">IFERROR(INDEX(_xlfn.UNIQUE(TRIM(_xlfn.TEXTSPLIT(Table26142567[[#This Row],[Selection Options]:[Selection Options]],","))),,P$11),"")</f>
        <v xml:space="preserve">
50%: Supported via a third party solution</v>
      </c>
      <c r="Q21" s="29" t="str" cm="1">
        <f t="array" ref="Q21">IFERROR(INDEX(_xlfn.UNIQUE(TRIM(_xlfn.TEXTSPLIT(Table26142567[[#This Row],[Selection Options]:[Selection Options]],","))),,Q$11),"")</f>
        <v xml:space="preserve">
25%: Supported via customisation (source code changes)</v>
      </c>
      <c r="R21" s="29" t="str" cm="1">
        <f t="array" ref="R21">IFERROR(INDEX(_xlfn.UNIQUE(TRIM(_xlfn.TEXTSPLIT(Table26142567[[#This Row],[Selection Options]:[Selection Options]],","))),,R$11),"")</f>
        <v xml:space="preserve">
 0%: Not currently supported</v>
      </c>
      <c r="S21" s="29" t="str" cm="1">
        <f t="array" ref="S21">IFERROR(INDEX(_xlfn.UNIQUE(TRIM(_xlfn.TEXTSPLIT(Table26142567[[#This Row],[Selection Options]:[Selection Options]],","))),,S$11),"")</f>
        <v/>
      </c>
      <c r="T21" s="29" t="str" cm="1">
        <f t="array" ref="T21">IFERROR(INDEX(_xlfn.UNIQUE(TRIM(_xlfn.TEXTSPLIT(Table26142567[[#This Row],[Selection Options]:[Selection Options]],","))),,T$11),"")</f>
        <v/>
      </c>
      <c r="U21" s="29" t="str" cm="1">
        <f t="array" ref="U21">IFERROR(INDEX(_xlfn.UNIQUE(TRIM(_xlfn.TEXTSPLIT(Table26142567[[#This Row],[Selection Options]:[Selection Options]],","))),,U$11),"")</f>
        <v/>
      </c>
      <c r="V21" s="29" t="str" cm="1">
        <f t="array" ref="V21">IFERROR(INDEX(_xlfn.UNIQUE(TRIM(_xlfn.TEXTSPLIT(Table26142567[[#This Row],[Selection Options]:[Selection Options]],","))),,V$11),"")</f>
        <v/>
      </c>
      <c r="W21" s="29" t="str" cm="1">
        <f t="array" ref="W21">IFERROR(INDEX(_xlfn.UNIQUE(TRIM(_xlfn.TEXTSPLIT(Table26142567[[#This Row],[Selection Options]:[Selection Options]],","))),,W$11),"")</f>
        <v/>
      </c>
      <c r="X21" s="29" t="str" cm="1">
        <f t="array" ref="X21">IFERROR(INDEX(_xlfn.UNIQUE(TRIM(_xlfn.TEXTSPLIT(Table26142567[[#This Row],[Selection Options]:[Selection Options]],","))),,X$11),"")</f>
        <v/>
      </c>
      <c r="Y21" s="30" cm="1">
        <f t="array" ref="Y21">IF(Table26142567[[#This Row],[1]]="","",Table26142567[[#This Row],[Weight]:[Weight]]-(Table26142567[[#This Row],[Weight]:[Weight]]*((_xlfn.XMATCH(Table26142567[[#This Row],[1]],Table26142567[[#This Row],[1]:[11]],0))-1)/(COUNTA(Table26142567[[#This Row],[1]:[11]])-COUNTBLANK(Table26142567[[#This Row],[1]:[11]])-1)))</f>
        <v>6.756756756756756E-4</v>
      </c>
      <c r="Z21" s="30" cm="1">
        <f t="array" ref="Z21">IF(Table26142567[[#This Row],[2]]="","",Table26142567[[#This Row],[Weight]:[Weight]]-(Table26142567[[#This Row],[Weight]:[Weight]]*((_xlfn.XMATCH(Table26142567[[#This Row],[2]],Table26142567[[#This Row],[1]:[11]],0))-1)/(COUNTA(Table26142567[[#This Row],[1]:[11]])-COUNTBLANK(Table26142567[[#This Row],[1]:[11]])-1)))</f>
        <v>5.0675675675675668E-4</v>
      </c>
      <c r="AA21" s="30" cm="1">
        <f t="array" ref="AA21">IF(Table26142567[[#This Row],[3]]="","",Table26142567[[#This Row],[Weight]:[Weight]]-(Table26142567[[#This Row],[Weight]:[Weight]]*((_xlfn.XMATCH(Table26142567[[#This Row],[3]],Table26142567[[#This Row],[1]:[11]],0))-1)/(COUNTA(Table26142567[[#This Row],[1]:[11]])-COUNTBLANK(Table26142567[[#This Row],[1]:[11]])-1)))</f>
        <v>3.378378378378378E-4</v>
      </c>
      <c r="AB21" s="30" cm="1">
        <f t="array" ref="AB21">IF(Table26142567[[#This Row],[4]]="","",Table26142567[[#This Row],[Weight]:[Weight]]-(Table26142567[[#This Row],[Weight]:[Weight]]*((_xlfn.XMATCH(Table26142567[[#This Row],[4]],Table26142567[[#This Row],[1]:[11]],0))-1)/(COUNTA(Table26142567[[#This Row],[1]:[11]])-COUNTBLANK(Table26142567[[#This Row],[1]:[11]])-1)))</f>
        <v>1.6891891891891893E-4</v>
      </c>
      <c r="AC21" s="30" cm="1">
        <f t="array" ref="AC21">IF(Table26142567[[#This Row],[5]]="","",Table26142567[[#This Row],[Weight]:[Weight]]-(Table26142567[[#This Row],[Weight]:[Weight]]*((_xlfn.XMATCH(Table26142567[[#This Row],[5]],Table26142567[[#This Row],[1]:[11]],0))-1)/(COUNTA(Table26142567[[#This Row],[1]:[11]])-COUNTBLANK(Table26142567[[#This Row],[1]:[11]])-1)))</f>
        <v>0</v>
      </c>
      <c r="AD21" s="30" t="str" cm="1">
        <f t="array" ref="AD21">IF(Table26142567[[#This Row],[6]]="","",Table26142567[[#This Row],[Weight]:[Weight]]-(Table26142567[[#This Row],[Weight]:[Weight]]*((_xlfn.XMATCH(Table26142567[[#This Row],[6]],Table26142567[[#This Row],[1]:[11]],0))-1)/(COUNTA(Table26142567[[#This Row],[1]:[11]])-COUNTBLANK(Table26142567[[#This Row],[1]:[11]])-1)))</f>
        <v/>
      </c>
      <c r="AE21" s="30" t="str" cm="1">
        <f t="array" ref="AE21">IF(Table26142567[[#This Row],[7]]="","",Table26142567[[#This Row],[Weight]:[Weight]]-(Table26142567[[#This Row],[Weight]:[Weight]]*((_xlfn.XMATCH(Table26142567[[#This Row],[7]],Table26142567[[#This Row],[1]:[11]],0))-1)/(COUNTA(Table26142567[[#This Row],[1]:[11]])-COUNTBLANK(Table26142567[[#This Row],[1]:[11]])-1)))</f>
        <v/>
      </c>
      <c r="AF21" s="30" t="str" cm="1">
        <f t="array" ref="AF21">IF(Table26142567[[#This Row],[8]]="","",Table26142567[[#This Row],[Weight]:[Weight]]-(Table26142567[[#This Row],[Weight]:[Weight]]*((_xlfn.XMATCH(Table26142567[[#This Row],[8]],Table26142567[[#This Row],[1]:[11]],0))-1)/(COUNTA(Table26142567[[#This Row],[1]:[11]])-COUNTBLANK(Table26142567[[#This Row],[1]:[11]])-1)))</f>
        <v/>
      </c>
      <c r="AG21" s="30" t="str" cm="1">
        <f t="array" ref="AG21">IF(Table26142567[[#This Row],[9]]="","",Table26142567[[#This Row],[Weight]:[Weight]]-(Table26142567[[#This Row],[Weight]:[Weight]]*((_xlfn.XMATCH(Table26142567[[#This Row],[9]],Table26142567[[#This Row],[1]:[11]],0))-1)/(COUNTA(Table26142567[[#This Row],[1]:[11]])-COUNTBLANK(Table26142567[[#This Row],[1]:[11]])-1)))</f>
        <v/>
      </c>
      <c r="AH21" s="30" t="str" cm="1">
        <f t="array" ref="AH21">IF(Table26142567[[#This Row],[10]]="","",Table26142567[[#This Row],[Weight]:[Weight]]-(Table26142567[[#This Row],[Weight]:[Weight]]*((_xlfn.XMATCH(Table26142567[[#This Row],[10]],Table26142567[[#This Row],[1]:[11]],0))-1)/(COUNTA(Table26142567[[#This Row],[1]:[11]])-COUNTBLANK(Table26142567[[#This Row],[1]:[11]])-1)))</f>
        <v/>
      </c>
      <c r="AI21" s="30" t="str" cm="1">
        <f t="array" ref="AI21">IF(Table26142567[[#This Row],[11]]="","",Table26142567[[#This Row],[Weight]:[Weight]]-(Table26142567[[#This Row],[Weight]:[Weight]]*((_xlfn.XMATCH(Table26142567[[#This Row],[11]],Table26142567[[#This Row],[1]:[11]],0))-1)/(COUNTA(Table26142567[[#This Row],[1]:[11]])-COUNTBLANK(Table26142567[[#This Row],[1]:[11]])-1)))</f>
        <v/>
      </c>
    </row>
    <row r="22" spans="1:35" ht="108" x14ac:dyDescent="0.2">
      <c r="A22" s="20">
        <v>10</v>
      </c>
      <c r="B22" s="90" t="s">
        <v>404</v>
      </c>
      <c r="C22" s="119" t="s">
        <v>215</v>
      </c>
      <c r="D22" s="146"/>
      <c r="E22" s="146"/>
      <c r="F22" s="120" t="s">
        <v>60</v>
      </c>
      <c r="G22" s="148" cm="1">
        <f t="array" ref="G22">_xlfn.IFS(F22="","",F22="No interest",0,F22="Nice to have",1,F22="Useful",2,F22="Important",3,F22="Very important",4,F22="Critical",5,F22="Show stopper",6)</f>
        <v>6</v>
      </c>
      <c r="H22" s="149">
        <f t="shared" si="1"/>
        <v>6.756756756756756E-4</v>
      </c>
      <c r="I22" s="150" t="s">
        <v>321</v>
      </c>
      <c r="J22" s="35" t="str" cm="1">
        <f t="array" ref="J22">_xlfn.TEXTJOIN(","&amp;CHAR(10),,TEXT(Table26142567[[#This Row],[12]:[22]],"0,00%"))</f>
        <v>0,00%,
0,00%,
0,00%,
0,00%,
0,00%</v>
      </c>
      <c r="K22" s="26"/>
      <c r="L22" s="27" t="e">
        <f>H22-(H22*((MATCH(Table26142567[[#This Row],[Evaluators Response (SELECT)]],Table26142567[[#This Row],[1]:[11]],0)-1)/(COUNTA(Table26142567[[#This Row],[1]:[11]])-COUNTBLANK(Table26142567[[#This Row],[1]:[11]])-1)))</f>
        <v>#N/A</v>
      </c>
      <c r="M22" s="28"/>
      <c r="N22" s="29" t="str" cm="1">
        <f t="array" ref="N22">IFERROR(INDEX(_xlfn.UNIQUE(TRIM(_xlfn.TEXTSPLIT(Table26142567[[#This Row],[Selection Options]:[Selection Options]],","))),,N$11),"")</f>
        <v>100%: Supported as delivered "out of the box"</v>
      </c>
      <c r="O22" s="29" t="str" cm="1">
        <f t="array" ref="O22">IFERROR(INDEX(_xlfn.UNIQUE(TRIM(_xlfn.TEXTSPLIT(Table26142567[[#This Row],[Selection Options]:[Selection Options]],","))),,O$11),"")</f>
        <v xml:space="preserve">
75%: Supported via modifications (config)</v>
      </c>
      <c r="P22" s="29" t="str" cm="1">
        <f t="array" ref="P22">IFERROR(INDEX(_xlfn.UNIQUE(TRIM(_xlfn.TEXTSPLIT(Table26142567[[#This Row],[Selection Options]:[Selection Options]],","))),,P$11),"")</f>
        <v xml:space="preserve">
50%: Supported via a third party solution</v>
      </c>
      <c r="Q22" s="29" t="str" cm="1">
        <f t="array" ref="Q22">IFERROR(INDEX(_xlfn.UNIQUE(TRIM(_xlfn.TEXTSPLIT(Table26142567[[#This Row],[Selection Options]:[Selection Options]],","))),,Q$11),"")</f>
        <v xml:space="preserve">
25%: Supported via customisation (source code changes)</v>
      </c>
      <c r="R22" s="29" t="str" cm="1">
        <f t="array" ref="R22">IFERROR(INDEX(_xlfn.UNIQUE(TRIM(_xlfn.TEXTSPLIT(Table26142567[[#This Row],[Selection Options]:[Selection Options]],","))),,R$11),"")</f>
        <v xml:space="preserve">
 0%: Not currently supported</v>
      </c>
      <c r="S22" s="29" t="str" cm="1">
        <f t="array" ref="S22">IFERROR(INDEX(_xlfn.UNIQUE(TRIM(_xlfn.TEXTSPLIT(Table26142567[[#This Row],[Selection Options]:[Selection Options]],","))),,S$11),"")</f>
        <v/>
      </c>
      <c r="T22" s="29" t="str" cm="1">
        <f t="array" ref="T22">IFERROR(INDEX(_xlfn.UNIQUE(TRIM(_xlfn.TEXTSPLIT(Table26142567[[#This Row],[Selection Options]:[Selection Options]],","))),,T$11),"")</f>
        <v/>
      </c>
      <c r="U22" s="29" t="str" cm="1">
        <f t="array" ref="U22">IFERROR(INDEX(_xlfn.UNIQUE(TRIM(_xlfn.TEXTSPLIT(Table26142567[[#This Row],[Selection Options]:[Selection Options]],","))),,U$11),"")</f>
        <v/>
      </c>
      <c r="V22" s="29" t="str" cm="1">
        <f t="array" ref="V22">IFERROR(INDEX(_xlfn.UNIQUE(TRIM(_xlfn.TEXTSPLIT(Table26142567[[#This Row],[Selection Options]:[Selection Options]],","))),,V$11),"")</f>
        <v/>
      </c>
      <c r="W22" s="29" t="str" cm="1">
        <f t="array" ref="W22">IFERROR(INDEX(_xlfn.UNIQUE(TRIM(_xlfn.TEXTSPLIT(Table26142567[[#This Row],[Selection Options]:[Selection Options]],","))),,W$11),"")</f>
        <v/>
      </c>
      <c r="X22" s="29" t="str" cm="1">
        <f t="array" ref="X22">IFERROR(INDEX(_xlfn.UNIQUE(TRIM(_xlfn.TEXTSPLIT(Table26142567[[#This Row],[Selection Options]:[Selection Options]],","))),,X$11),"")</f>
        <v/>
      </c>
      <c r="Y22" s="30" cm="1">
        <f t="array" ref="Y22">IF(Table26142567[[#This Row],[1]]="","",Table26142567[[#This Row],[Weight]:[Weight]]-(Table26142567[[#This Row],[Weight]:[Weight]]*((_xlfn.XMATCH(Table26142567[[#This Row],[1]],Table26142567[[#This Row],[1]:[11]],0))-1)/(COUNTA(Table26142567[[#This Row],[1]:[11]])-COUNTBLANK(Table26142567[[#This Row],[1]:[11]])-1)))</f>
        <v>6.756756756756756E-4</v>
      </c>
      <c r="Z22" s="30" cm="1">
        <f t="array" ref="Z22">IF(Table26142567[[#This Row],[2]]="","",Table26142567[[#This Row],[Weight]:[Weight]]-(Table26142567[[#This Row],[Weight]:[Weight]]*((_xlfn.XMATCH(Table26142567[[#This Row],[2]],Table26142567[[#This Row],[1]:[11]],0))-1)/(COUNTA(Table26142567[[#This Row],[1]:[11]])-COUNTBLANK(Table26142567[[#This Row],[1]:[11]])-1)))</f>
        <v>5.0675675675675668E-4</v>
      </c>
      <c r="AA22" s="30" cm="1">
        <f t="array" ref="AA22">IF(Table26142567[[#This Row],[3]]="","",Table26142567[[#This Row],[Weight]:[Weight]]-(Table26142567[[#This Row],[Weight]:[Weight]]*((_xlfn.XMATCH(Table26142567[[#This Row],[3]],Table26142567[[#This Row],[1]:[11]],0))-1)/(COUNTA(Table26142567[[#This Row],[1]:[11]])-COUNTBLANK(Table26142567[[#This Row],[1]:[11]])-1)))</f>
        <v>3.378378378378378E-4</v>
      </c>
      <c r="AB22" s="30" cm="1">
        <f t="array" ref="AB22">IF(Table26142567[[#This Row],[4]]="","",Table26142567[[#This Row],[Weight]:[Weight]]-(Table26142567[[#This Row],[Weight]:[Weight]]*((_xlfn.XMATCH(Table26142567[[#This Row],[4]],Table26142567[[#This Row],[1]:[11]],0))-1)/(COUNTA(Table26142567[[#This Row],[1]:[11]])-COUNTBLANK(Table26142567[[#This Row],[1]:[11]])-1)))</f>
        <v>1.6891891891891893E-4</v>
      </c>
      <c r="AC22" s="30" cm="1">
        <f t="array" ref="AC22">IF(Table26142567[[#This Row],[5]]="","",Table26142567[[#This Row],[Weight]:[Weight]]-(Table26142567[[#This Row],[Weight]:[Weight]]*((_xlfn.XMATCH(Table26142567[[#This Row],[5]],Table26142567[[#This Row],[1]:[11]],0))-1)/(COUNTA(Table26142567[[#This Row],[1]:[11]])-COUNTBLANK(Table26142567[[#This Row],[1]:[11]])-1)))</f>
        <v>0</v>
      </c>
      <c r="AD22" s="30" t="str" cm="1">
        <f t="array" ref="AD22">IF(Table26142567[[#This Row],[6]]="","",Table26142567[[#This Row],[Weight]:[Weight]]-(Table26142567[[#This Row],[Weight]:[Weight]]*((_xlfn.XMATCH(Table26142567[[#This Row],[6]],Table26142567[[#This Row],[1]:[11]],0))-1)/(COUNTA(Table26142567[[#This Row],[1]:[11]])-COUNTBLANK(Table26142567[[#This Row],[1]:[11]])-1)))</f>
        <v/>
      </c>
      <c r="AE22" s="30" t="str" cm="1">
        <f t="array" ref="AE22">IF(Table26142567[[#This Row],[7]]="","",Table26142567[[#This Row],[Weight]:[Weight]]-(Table26142567[[#This Row],[Weight]:[Weight]]*((_xlfn.XMATCH(Table26142567[[#This Row],[7]],Table26142567[[#This Row],[1]:[11]],0))-1)/(COUNTA(Table26142567[[#This Row],[1]:[11]])-COUNTBLANK(Table26142567[[#This Row],[1]:[11]])-1)))</f>
        <v/>
      </c>
      <c r="AF22" s="30" t="str" cm="1">
        <f t="array" ref="AF22">IF(Table26142567[[#This Row],[8]]="","",Table26142567[[#This Row],[Weight]:[Weight]]-(Table26142567[[#This Row],[Weight]:[Weight]]*((_xlfn.XMATCH(Table26142567[[#This Row],[8]],Table26142567[[#This Row],[1]:[11]],0))-1)/(COUNTA(Table26142567[[#This Row],[1]:[11]])-COUNTBLANK(Table26142567[[#This Row],[1]:[11]])-1)))</f>
        <v/>
      </c>
      <c r="AG22" s="30" t="str" cm="1">
        <f t="array" ref="AG22">IF(Table26142567[[#This Row],[9]]="","",Table26142567[[#This Row],[Weight]:[Weight]]-(Table26142567[[#This Row],[Weight]:[Weight]]*((_xlfn.XMATCH(Table26142567[[#This Row],[9]],Table26142567[[#This Row],[1]:[11]],0))-1)/(COUNTA(Table26142567[[#This Row],[1]:[11]])-COUNTBLANK(Table26142567[[#This Row],[1]:[11]])-1)))</f>
        <v/>
      </c>
      <c r="AH22" s="30" t="str" cm="1">
        <f t="array" ref="AH22">IF(Table26142567[[#This Row],[10]]="","",Table26142567[[#This Row],[Weight]:[Weight]]-(Table26142567[[#This Row],[Weight]:[Weight]]*((_xlfn.XMATCH(Table26142567[[#This Row],[10]],Table26142567[[#This Row],[1]:[11]],0))-1)/(COUNTA(Table26142567[[#This Row],[1]:[11]])-COUNTBLANK(Table26142567[[#This Row],[1]:[11]])-1)))</f>
        <v/>
      </c>
      <c r="AI22" s="30" t="str" cm="1">
        <f t="array" ref="AI22">IF(Table26142567[[#This Row],[11]]="","",Table26142567[[#This Row],[Weight]:[Weight]]-(Table26142567[[#This Row],[Weight]:[Weight]]*((_xlfn.XMATCH(Table26142567[[#This Row],[11]],Table26142567[[#This Row],[1]:[11]],0))-1)/(COUNTA(Table26142567[[#This Row],[1]:[11]])-COUNTBLANK(Table26142567[[#This Row],[1]:[11]])-1)))</f>
        <v/>
      </c>
    </row>
    <row r="23" spans="1:35" ht="108" x14ac:dyDescent="0.2">
      <c r="A23" s="20">
        <v>11</v>
      </c>
      <c r="B23" s="90" t="s">
        <v>224</v>
      </c>
      <c r="C23" s="119" t="s">
        <v>215</v>
      </c>
      <c r="D23" s="146"/>
      <c r="E23" s="146"/>
      <c r="F23" s="120" t="s">
        <v>60</v>
      </c>
      <c r="G23" s="148" cm="1">
        <f t="array" ref="G23">_xlfn.IFS(F23="","",F23="No interest",0,F23="Nice to have",1,F23="Useful",2,F23="Important",3,F23="Very important",4,F23="Critical",5,F23="Show stopper",6)</f>
        <v>6</v>
      </c>
      <c r="H23" s="149">
        <f t="shared" si="1"/>
        <v>6.756756756756756E-4</v>
      </c>
      <c r="I23" s="150" t="s">
        <v>321</v>
      </c>
      <c r="J23" s="35" t="str" cm="1">
        <f t="array" ref="J23">_xlfn.TEXTJOIN(","&amp;CHAR(10),,TEXT(Table26142567[[#This Row],[12]:[22]],"0,00%"))</f>
        <v>0,00%,
0,00%,
0,00%,
0,00%,
0,00%</v>
      </c>
      <c r="K23" s="26"/>
      <c r="L23" s="27" t="e">
        <f>H23-(H23*((MATCH(Table26142567[[#This Row],[Evaluators Response (SELECT)]],Table26142567[[#This Row],[1]:[11]],0)-1)/(COUNTA(Table26142567[[#This Row],[1]:[11]])-COUNTBLANK(Table26142567[[#This Row],[1]:[11]])-1)))</f>
        <v>#N/A</v>
      </c>
      <c r="M23" s="28"/>
      <c r="N23" s="29" t="str" cm="1">
        <f t="array" ref="N23">IFERROR(INDEX(_xlfn.UNIQUE(TRIM(_xlfn.TEXTSPLIT(Table26142567[[#This Row],[Selection Options]:[Selection Options]],","))),,N$11),"")</f>
        <v>100%: Supported as delivered "out of the box"</v>
      </c>
      <c r="O23" s="29" t="str" cm="1">
        <f t="array" ref="O23">IFERROR(INDEX(_xlfn.UNIQUE(TRIM(_xlfn.TEXTSPLIT(Table26142567[[#This Row],[Selection Options]:[Selection Options]],","))),,O$11),"")</f>
        <v xml:space="preserve">
75%: Supported via modifications (config)</v>
      </c>
      <c r="P23" s="29" t="str" cm="1">
        <f t="array" ref="P23">IFERROR(INDEX(_xlfn.UNIQUE(TRIM(_xlfn.TEXTSPLIT(Table26142567[[#This Row],[Selection Options]:[Selection Options]],","))),,P$11),"")</f>
        <v xml:space="preserve">
50%: Supported via a third party solution</v>
      </c>
      <c r="Q23" s="29" t="str" cm="1">
        <f t="array" ref="Q23">IFERROR(INDEX(_xlfn.UNIQUE(TRIM(_xlfn.TEXTSPLIT(Table26142567[[#This Row],[Selection Options]:[Selection Options]],","))),,Q$11),"")</f>
        <v xml:space="preserve">
25%: Supported via customisation (source code changes)</v>
      </c>
      <c r="R23" s="29" t="str" cm="1">
        <f t="array" ref="R23">IFERROR(INDEX(_xlfn.UNIQUE(TRIM(_xlfn.TEXTSPLIT(Table26142567[[#This Row],[Selection Options]:[Selection Options]],","))),,R$11),"")</f>
        <v xml:space="preserve">
 0%: Not currently supported</v>
      </c>
      <c r="S23" s="29" t="str" cm="1">
        <f t="array" ref="S23">IFERROR(INDEX(_xlfn.UNIQUE(TRIM(_xlfn.TEXTSPLIT(Table26142567[[#This Row],[Selection Options]:[Selection Options]],","))),,S$11),"")</f>
        <v/>
      </c>
      <c r="T23" s="29" t="str" cm="1">
        <f t="array" ref="T23">IFERROR(INDEX(_xlfn.UNIQUE(TRIM(_xlfn.TEXTSPLIT(Table26142567[[#This Row],[Selection Options]:[Selection Options]],","))),,T$11),"")</f>
        <v/>
      </c>
      <c r="U23" s="29" t="str" cm="1">
        <f t="array" ref="U23">IFERROR(INDEX(_xlfn.UNIQUE(TRIM(_xlfn.TEXTSPLIT(Table26142567[[#This Row],[Selection Options]:[Selection Options]],","))),,U$11),"")</f>
        <v/>
      </c>
      <c r="V23" s="29" t="str" cm="1">
        <f t="array" ref="V23">IFERROR(INDEX(_xlfn.UNIQUE(TRIM(_xlfn.TEXTSPLIT(Table26142567[[#This Row],[Selection Options]:[Selection Options]],","))),,V$11),"")</f>
        <v/>
      </c>
      <c r="W23" s="29" t="str" cm="1">
        <f t="array" ref="W23">IFERROR(INDEX(_xlfn.UNIQUE(TRIM(_xlfn.TEXTSPLIT(Table26142567[[#This Row],[Selection Options]:[Selection Options]],","))),,W$11),"")</f>
        <v/>
      </c>
      <c r="X23" s="29" t="str" cm="1">
        <f t="array" ref="X23">IFERROR(INDEX(_xlfn.UNIQUE(TRIM(_xlfn.TEXTSPLIT(Table26142567[[#This Row],[Selection Options]:[Selection Options]],","))),,X$11),"")</f>
        <v/>
      </c>
      <c r="Y23" s="30" cm="1">
        <f t="array" ref="Y23">IF(Table26142567[[#This Row],[1]]="","",Table26142567[[#This Row],[Weight]:[Weight]]-(Table26142567[[#This Row],[Weight]:[Weight]]*((_xlfn.XMATCH(Table26142567[[#This Row],[1]],Table26142567[[#This Row],[1]:[11]],0))-1)/(COUNTA(Table26142567[[#This Row],[1]:[11]])-COUNTBLANK(Table26142567[[#This Row],[1]:[11]])-1)))</f>
        <v>6.756756756756756E-4</v>
      </c>
      <c r="Z23" s="30" cm="1">
        <f t="array" ref="Z23">IF(Table26142567[[#This Row],[2]]="","",Table26142567[[#This Row],[Weight]:[Weight]]-(Table26142567[[#This Row],[Weight]:[Weight]]*((_xlfn.XMATCH(Table26142567[[#This Row],[2]],Table26142567[[#This Row],[1]:[11]],0))-1)/(COUNTA(Table26142567[[#This Row],[1]:[11]])-COUNTBLANK(Table26142567[[#This Row],[1]:[11]])-1)))</f>
        <v>5.0675675675675668E-4</v>
      </c>
      <c r="AA23" s="30" cm="1">
        <f t="array" ref="AA23">IF(Table26142567[[#This Row],[3]]="","",Table26142567[[#This Row],[Weight]:[Weight]]-(Table26142567[[#This Row],[Weight]:[Weight]]*((_xlfn.XMATCH(Table26142567[[#This Row],[3]],Table26142567[[#This Row],[1]:[11]],0))-1)/(COUNTA(Table26142567[[#This Row],[1]:[11]])-COUNTBLANK(Table26142567[[#This Row],[1]:[11]])-1)))</f>
        <v>3.378378378378378E-4</v>
      </c>
      <c r="AB23" s="30" cm="1">
        <f t="array" ref="AB23">IF(Table26142567[[#This Row],[4]]="","",Table26142567[[#This Row],[Weight]:[Weight]]-(Table26142567[[#This Row],[Weight]:[Weight]]*((_xlfn.XMATCH(Table26142567[[#This Row],[4]],Table26142567[[#This Row],[1]:[11]],0))-1)/(COUNTA(Table26142567[[#This Row],[1]:[11]])-COUNTBLANK(Table26142567[[#This Row],[1]:[11]])-1)))</f>
        <v>1.6891891891891893E-4</v>
      </c>
      <c r="AC23" s="30" cm="1">
        <f t="array" ref="AC23">IF(Table26142567[[#This Row],[5]]="","",Table26142567[[#This Row],[Weight]:[Weight]]-(Table26142567[[#This Row],[Weight]:[Weight]]*((_xlfn.XMATCH(Table26142567[[#This Row],[5]],Table26142567[[#This Row],[1]:[11]],0))-1)/(COUNTA(Table26142567[[#This Row],[1]:[11]])-COUNTBLANK(Table26142567[[#This Row],[1]:[11]])-1)))</f>
        <v>0</v>
      </c>
      <c r="AD23" s="30" t="str" cm="1">
        <f t="array" ref="AD23">IF(Table26142567[[#This Row],[6]]="","",Table26142567[[#This Row],[Weight]:[Weight]]-(Table26142567[[#This Row],[Weight]:[Weight]]*((_xlfn.XMATCH(Table26142567[[#This Row],[6]],Table26142567[[#This Row],[1]:[11]],0))-1)/(COUNTA(Table26142567[[#This Row],[1]:[11]])-COUNTBLANK(Table26142567[[#This Row],[1]:[11]])-1)))</f>
        <v/>
      </c>
      <c r="AE23" s="30" t="str" cm="1">
        <f t="array" ref="AE23">IF(Table26142567[[#This Row],[7]]="","",Table26142567[[#This Row],[Weight]:[Weight]]-(Table26142567[[#This Row],[Weight]:[Weight]]*((_xlfn.XMATCH(Table26142567[[#This Row],[7]],Table26142567[[#This Row],[1]:[11]],0))-1)/(COUNTA(Table26142567[[#This Row],[1]:[11]])-COUNTBLANK(Table26142567[[#This Row],[1]:[11]])-1)))</f>
        <v/>
      </c>
      <c r="AF23" s="30" t="str" cm="1">
        <f t="array" ref="AF23">IF(Table26142567[[#This Row],[8]]="","",Table26142567[[#This Row],[Weight]:[Weight]]-(Table26142567[[#This Row],[Weight]:[Weight]]*((_xlfn.XMATCH(Table26142567[[#This Row],[8]],Table26142567[[#This Row],[1]:[11]],0))-1)/(COUNTA(Table26142567[[#This Row],[1]:[11]])-COUNTBLANK(Table26142567[[#This Row],[1]:[11]])-1)))</f>
        <v/>
      </c>
      <c r="AG23" s="30" t="str" cm="1">
        <f t="array" ref="AG23">IF(Table26142567[[#This Row],[9]]="","",Table26142567[[#This Row],[Weight]:[Weight]]-(Table26142567[[#This Row],[Weight]:[Weight]]*((_xlfn.XMATCH(Table26142567[[#This Row],[9]],Table26142567[[#This Row],[1]:[11]],0))-1)/(COUNTA(Table26142567[[#This Row],[1]:[11]])-COUNTBLANK(Table26142567[[#This Row],[1]:[11]])-1)))</f>
        <v/>
      </c>
      <c r="AH23" s="30" t="str" cm="1">
        <f t="array" ref="AH23">IF(Table26142567[[#This Row],[10]]="","",Table26142567[[#This Row],[Weight]:[Weight]]-(Table26142567[[#This Row],[Weight]:[Weight]]*((_xlfn.XMATCH(Table26142567[[#This Row],[10]],Table26142567[[#This Row],[1]:[11]],0))-1)/(COUNTA(Table26142567[[#This Row],[1]:[11]])-COUNTBLANK(Table26142567[[#This Row],[1]:[11]])-1)))</f>
        <v/>
      </c>
      <c r="AI23" s="30" t="str" cm="1">
        <f t="array" ref="AI23">IF(Table26142567[[#This Row],[11]]="","",Table26142567[[#This Row],[Weight]:[Weight]]-(Table26142567[[#This Row],[Weight]:[Weight]]*((_xlfn.XMATCH(Table26142567[[#This Row],[11]],Table26142567[[#This Row],[1]:[11]],0))-1)/(COUNTA(Table26142567[[#This Row],[1]:[11]])-COUNTBLANK(Table26142567[[#This Row],[1]:[11]])-1)))</f>
        <v/>
      </c>
    </row>
    <row r="24" spans="1:35" ht="108" x14ac:dyDescent="0.2">
      <c r="A24" s="20">
        <v>12</v>
      </c>
      <c r="B24" s="90" t="s">
        <v>405</v>
      </c>
      <c r="C24" s="119" t="s">
        <v>215</v>
      </c>
      <c r="D24" s="146"/>
      <c r="E24" s="146"/>
      <c r="F24" s="120" t="s">
        <v>60</v>
      </c>
      <c r="G24" s="148" cm="1">
        <f t="array" ref="G24">_xlfn.IFS(F24="","",F24="No interest",0,F24="Nice to have",1,F24="Useful",2,F24="Important",3,F24="Very important",4,F24="Critical",5,F24="Show stopper",6)</f>
        <v>6</v>
      </c>
      <c r="H24" s="149">
        <f t="shared" si="1"/>
        <v>6.756756756756756E-4</v>
      </c>
      <c r="I24" s="150" t="s">
        <v>321</v>
      </c>
      <c r="J24" s="35" t="str" cm="1">
        <f t="array" ref="J24">_xlfn.TEXTJOIN(","&amp;CHAR(10),,TEXT(Table26142567[[#This Row],[12]:[22]],"0,00%"))</f>
        <v>0,00%,
0,00%,
0,00%,
0,00%,
0,00%</v>
      </c>
      <c r="K24" s="26"/>
      <c r="L24" s="27" t="e">
        <f>H24-(H24*((MATCH(Table26142567[[#This Row],[Evaluators Response (SELECT)]],Table26142567[[#This Row],[1]:[11]],0)-1)/(COUNTA(Table26142567[[#This Row],[1]:[11]])-COUNTBLANK(Table26142567[[#This Row],[1]:[11]])-1)))</f>
        <v>#N/A</v>
      </c>
      <c r="M24" s="28"/>
      <c r="N24" s="29" t="str" cm="1">
        <f t="array" ref="N24">IFERROR(INDEX(_xlfn.UNIQUE(TRIM(_xlfn.TEXTSPLIT(Table26142567[[#This Row],[Selection Options]:[Selection Options]],","))),,N$11),"")</f>
        <v>100%: Supported as delivered "out of the box"</v>
      </c>
      <c r="O24" s="29" t="str" cm="1">
        <f t="array" ref="O24">IFERROR(INDEX(_xlfn.UNIQUE(TRIM(_xlfn.TEXTSPLIT(Table26142567[[#This Row],[Selection Options]:[Selection Options]],","))),,O$11),"")</f>
        <v xml:space="preserve">
75%: Supported via modifications (config)</v>
      </c>
      <c r="P24" s="29" t="str" cm="1">
        <f t="array" ref="P24">IFERROR(INDEX(_xlfn.UNIQUE(TRIM(_xlfn.TEXTSPLIT(Table26142567[[#This Row],[Selection Options]:[Selection Options]],","))),,P$11),"")</f>
        <v xml:space="preserve">
50%: Supported via a third party solution</v>
      </c>
      <c r="Q24" s="29" t="str" cm="1">
        <f t="array" ref="Q24">IFERROR(INDEX(_xlfn.UNIQUE(TRIM(_xlfn.TEXTSPLIT(Table26142567[[#This Row],[Selection Options]:[Selection Options]],","))),,Q$11),"")</f>
        <v xml:space="preserve">
25%: Supported via customisation (source code changes)</v>
      </c>
      <c r="R24" s="29" t="str" cm="1">
        <f t="array" ref="R24">IFERROR(INDEX(_xlfn.UNIQUE(TRIM(_xlfn.TEXTSPLIT(Table26142567[[#This Row],[Selection Options]:[Selection Options]],","))),,R$11),"")</f>
        <v xml:space="preserve">
 0%: Not currently supported</v>
      </c>
      <c r="S24" s="29" t="str" cm="1">
        <f t="array" ref="S24">IFERROR(INDEX(_xlfn.UNIQUE(TRIM(_xlfn.TEXTSPLIT(Table26142567[[#This Row],[Selection Options]:[Selection Options]],","))),,S$11),"")</f>
        <v/>
      </c>
      <c r="T24" s="29" t="str" cm="1">
        <f t="array" ref="T24">IFERROR(INDEX(_xlfn.UNIQUE(TRIM(_xlfn.TEXTSPLIT(Table26142567[[#This Row],[Selection Options]:[Selection Options]],","))),,T$11),"")</f>
        <v/>
      </c>
      <c r="U24" s="29" t="str" cm="1">
        <f t="array" ref="U24">IFERROR(INDEX(_xlfn.UNIQUE(TRIM(_xlfn.TEXTSPLIT(Table26142567[[#This Row],[Selection Options]:[Selection Options]],","))),,U$11),"")</f>
        <v/>
      </c>
      <c r="V24" s="29" t="str" cm="1">
        <f t="array" ref="V24">IFERROR(INDEX(_xlfn.UNIQUE(TRIM(_xlfn.TEXTSPLIT(Table26142567[[#This Row],[Selection Options]:[Selection Options]],","))),,V$11),"")</f>
        <v/>
      </c>
      <c r="W24" s="29" t="str" cm="1">
        <f t="array" ref="W24">IFERROR(INDEX(_xlfn.UNIQUE(TRIM(_xlfn.TEXTSPLIT(Table26142567[[#This Row],[Selection Options]:[Selection Options]],","))),,W$11),"")</f>
        <v/>
      </c>
      <c r="X24" s="29" t="str" cm="1">
        <f t="array" ref="X24">IFERROR(INDEX(_xlfn.UNIQUE(TRIM(_xlfn.TEXTSPLIT(Table26142567[[#This Row],[Selection Options]:[Selection Options]],","))),,X$11),"")</f>
        <v/>
      </c>
      <c r="Y24" s="30" cm="1">
        <f t="array" ref="Y24">IF(Table26142567[[#This Row],[1]]="","",Table26142567[[#This Row],[Weight]:[Weight]]-(Table26142567[[#This Row],[Weight]:[Weight]]*((_xlfn.XMATCH(Table26142567[[#This Row],[1]],Table26142567[[#This Row],[1]:[11]],0))-1)/(COUNTA(Table26142567[[#This Row],[1]:[11]])-COUNTBLANK(Table26142567[[#This Row],[1]:[11]])-1)))</f>
        <v>6.756756756756756E-4</v>
      </c>
      <c r="Z24" s="30" cm="1">
        <f t="array" ref="Z24">IF(Table26142567[[#This Row],[2]]="","",Table26142567[[#This Row],[Weight]:[Weight]]-(Table26142567[[#This Row],[Weight]:[Weight]]*((_xlfn.XMATCH(Table26142567[[#This Row],[2]],Table26142567[[#This Row],[1]:[11]],0))-1)/(COUNTA(Table26142567[[#This Row],[1]:[11]])-COUNTBLANK(Table26142567[[#This Row],[1]:[11]])-1)))</f>
        <v>5.0675675675675668E-4</v>
      </c>
      <c r="AA24" s="30" cm="1">
        <f t="array" ref="AA24">IF(Table26142567[[#This Row],[3]]="","",Table26142567[[#This Row],[Weight]:[Weight]]-(Table26142567[[#This Row],[Weight]:[Weight]]*((_xlfn.XMATCH(Table26142567[[#This Row],[3]],Table26142567[[#This Row],[1]:[11]],0))-1)/(COUNTA(Table26142567[[#This Row],[1]:[11]])-COUNTBLANK(Table26142567[[#This Row],[1]:[11]])-1)))</f>
        <v>3.378378378378378E-4</v>
      </c>
      <c r="AB24" s="30" cm="1">
        <f t="array" ref="AB24">IF(Table26142567[[#This Row],[4]]="","",Table26142567[[#This Row],[Weight]:[Weight]]-(Table26142567[[#This Row],[Weight]:[Weight]]*((_xlfn.XMATCH(Table26142567[[#This Row],[4]],Table26142567[[#This Row],[1]:[11]],0))-1)/(COUNTA(Table26142567[[#This Row],[1]:[11]])-COUNTBLANK(Table26142567[[#This Row],[1]:[11]])-1)))</f>
        <v>1.6891891891891893E-4</v>
      </c>
      <c r="AC24" s="30" cm="1">
        <f t="array" ref="AC24">IF(Table26142567[[#This Row],[5]]="","",Table26142567[[#This Row],[Weight]:[Weight]]-(Table26142567[[#This Row],[Weight]:[Weight]]*((_xlfn.XMATCH(Table26142567[[#This Row],[5]],Table26142567[[#This Row],[1]:[11]],0))-1)/(COUNTA(Table26142567[[#This Row],[1]:[11]])-COUNTBLANK(Table26142567[[#This Row],[1]:[11]])-1)))</f>
        <v>0</v>
      </c>
      <c r="AD24" s="30" t="str" cm="1">
        <f t="array" ref="AD24">IF(Table26142567[[#This Row],[6]]="","",Table26142567[[#This Row],[Weight]:[Weight]]-(Table26142567[[#This Row],[Weight]:[Weight]]*((_xlfn.XMATCH(Table26142567[[#This Row],[6]],Table26142567[[#This Row],[1]:[11]],0))-1)/(COUNTA(Table26142567[[#This Row],[1]:[11]])-COUNTBLANK(Table26142567[[#This Row],[1]:[11]])-1)))</f>
        <v/>
      </c>
      <c r="AE24" s="30" t="str" cm="1">
        <f t="array" ref="AE24">IF(Table26142567[[#This Row],[7]]="","",Table26142567[[#This Row],[Weight]:[Weight]]-(Table26142567[[#This Row],[Weight]:[Weight]]*((_xlfn.XMATCH(Table26142567[[#This Row],[7]],Table26142567[[#This Row],[1]:[11]],0))-1)/(COUNTA(Table26142567[[#This Row],[1]:[11]])-COUNTBLANK(Table26142567[[#This Row],[1]:[11]])-1)))</f>
        <v/>
      </c>
      <c r="AF24" s="30" t="str" cm="1">
        <f t="array" ref="AF24">IF(Table26142567[[#This Row],[8]]="","",Table26142567[[#This Row],[Weight]:[Weight]]-(Table26142567[[#This Row],[Weight]:[Weight]]*((_xlfn.XMATCH(Table26142567[[#This Row],[8]],Table26142567[[#This Row],[1]:[11]],0))-1)/(COUNTA(Table26142567[[#This Row],[1]:[11]])-COUNTBLANK(Table26142567[[#This Row],[1]:[11]])-1)))</f>
        <v/>
      </c>
      <c r="AG24" s="30" t="str" cm="1">
        <f t="array" ref="AG24">IF(Table26142567[[#This Row],[9]]="","",Table26142567[[#This Row],[Weight]:[Weight]]-(Table26142567[[#This Row],[Weight]:[Weight]]*((_xlfn.XMATCH(Table26142567[[#This Row],[9]],Table26142567[[#This Row],[1]:[11]],0))-1)/(COUNTA(Table26142567[[#This Row],[1]:[11]])-COUNTBLANK(Table26142567[[#This Row],[1]:[11]])-1)))</f>
        <v/>
      </c>
      <c r="AH24" s="30" t="str" cm="1">
        <f t="array" ref="AH24">IF(Table26142567[[#This Row],[10]]="","",Table26142567[[#This Row],[Weight]:[Weight]]-(Table26142567[[#This Row],[Weight]:[Weight]]*((_xlfn.XMATCH(Table26142567[[#This Row],[10]],Table26142567[[#This Row],[1]:[11]],0))-1)/(COUNTA(Table26142567[[#This Row],[1]:[11]])-COUNTBLANK(Table26142567[[#This Row],[1]:[11]])-1)))</f>
        <v/>
      </c>
      <c r="AI24" s="30" t="str" cm="1">
        <f t="array" ref="AI24">IF(Table26142567[[#This Row],[11]]="","",Table26142567[[#This Row],[Weight]:[Weight]]-(Table26142567[[#This Row],[Weight]:[Weight]]*((_xlfn.XMATCH(Table26142567[[#This Row],[11]],Table26142567[[#This Row],[1]:[11]],0))-1)/(COUNTA(Table26142567[[#This Row],[1]:[11]])-COUNTBLANK(Table26142567[[#This Row],[1]:[11]])-1)))</f>
        <v/>
      </c>
    </row>
    <row r="25" spans="1:35" ht="108" x14ac:dyDescent="0.2">
      <c r="A25" s="20">
        <v>13</v>
      </c>
      <c r="B25" s="90" t="s">
        <v>331</v>
      </c>
      <c r="C25" s="119" t="s">
        <v>215</v>
      </c>
      <c r="D25" s="146"/>
      <c r="E25" s="146"/>
      <c r="F25" s="121" t="s">
        <v>60</v>
      </c>
      <c r="G25" s="148" cm="1">
        <f t="array" ref="G25">_xlfn.IFS(F25="","",F25="No interest",0,F25="Nice to have",1,F25="Useful",2,F25="Important",3,F25="Very important",4,F25="Critical",5,F25="Show stopper",6)</f>
        <v>6</v>
      </c>
      <c r="H25" s="149">
        <f t="shared" si="1"/>
        <v>6.756756756756756E-4</v>
      </c>
      <c r="I25" s="150" t="s">
        <v>321</v>
      </c>
      <c r="J25" s="35" t="str" cm="1">
        <f t="array" ref="J25">_xlfn.TEXTJOIN(","&amp;CHAR(10),,TEXT(Table26142567[[#This Row],[12]:[22]],"0,00%"))</f>
        <v>0,00%,
0,00%,
0,00%,
0,00%,
0,00%</v>
      </c>
      <c r="K25" s="26"/>
      <c r="L25" s="27" t="e">
        <f>H25-(H25*((MATCH(Table26142567[[#This Row],[Evaluators Response (SELECT)]],Table26142567[[#This Row],[1]:[11]],0)-1)/(COUNTA(Table26142567[[#This Row],[1]:[11]])-COUNTBLANK(Table26142567[[#This Row],[1]:[11]])-1)))</f>
        <v>#N/A</v>
      </c>
      <c r="M25" s="28"/>
      <c r="N25" s="29" t="str" cm="1">
        <f t="array" ref="N25">IFERROR(INDEX(_xlfn.UNIQUE(TRIM(_xlfn.TEXTSPLIT(Table26142567[[#This Row],[Selection Options]:[Selection Options]],","))),,N$11),"")</f>
        <v>100%: Supported as delivered "out of the box"</v>
      </c>
      <c r="O25" s="29" t="str" cm="1">
        <f t="array" ref="O25">IFERROR(INDEX(_xlfn.UNIQUE(TRIM(_xlfn.TEXTSPLIT(Table26142567[[#This Row],[Selection Options]:[Selection Options]],","))),,O$11),"")</f>
        <v xml:space="preserve">
75%: Supported via modifications (config)</v>
      </c>
      <c r="P25" s="29" t="str" cm="1">
        <f t="array" ref="P25">IFERROR(INDEX(_xlfn.UNIQUE(TRIM(_xlfn.TEXTSPLIT(Table26142567[[#This Row],[Selection Options]:[Selection Options]],","))),,P$11),"")</f>
        <v xml:space="preserve">
50%: Supported via a third party solution</v>
      </c>
      <c r="Q25" s="29" t="str" cm="1">
        <f t="array" ref="Q25">IFERROR(INDEX(_xlfn.UNIQUE(TRIM(_xlfn.TEXTSPLIT(Table26142567[[#This Row],[Selection Options]:[Selection Options]],","))),,Q$11),"")</f>
        <v xml:space="preserve">
25%: Supported via customisation (source code changes)</v>
      </c>
      <c r="R25" s="29" t="str" cm="1">
        <f t="array" ref="R25">IFERROR(INDEX(_xlfn.UNIQUE(TRIM(_xlfn.TEXTSPLIT(Table26142567[[#This Row],[Selection Options]:[Selection Options]],","))),,R$11),"")</f>
        <v xml:space="preserve">
 0%: Not currently supported</v>
      </c>
      <c r="S25" s="29" t="str" cm="1">
        <f t="array" ref="S25">IFERROR(INDEX(_xlfn.UNIQUE(TRIM(_xlfn.TEXTSPLIT(Table26142567[[#This Row],[Selection Options]:[Selection Options]],","))),,S$11),"")</f>
        <v/>
      </c>
      <c r="T25" s="29" t="str" cm="1">
        <f t="array" ref="T25">IFERROR(INDEX(_xlfn.UNIQUE(TRIM(_xlfn.TEXTSPLIT(Table26142567[[#This Row],[Selection Options]:[Selection Options]],","))),,T$11),"")</f>
        <v/>
      </c>
      <c r="U25" s="29" t="str" cm="1">
        <f t="array" ref="U25">IFERROR(INDEX(_xlfn.UNIQUE(TRIM(_xlfn.TEXTSPLIT(Table26142567[[#This Row],[Selection Options]:[Selection Options]],","))),,U$11),"")</f>
        <v/>
      </c>
      <c r="V25" s="29" t="str" cm="1">
        <f t="array" ref="V25">IFERROR(INDEX(_xlfn.UNIQUE(TRIM(_xlfn.TEXTSPLIT(Table26142567[[#This Row],[Selection Options]:[Selection Options]],","))),,V$11),"")</f>
        <v/>
      </c>
      <c r="W25" s="29" t="str" cm="1">
        <f t="array" ref="W25">IFERROR(INDEX(_xlfn.UNIQUE(TRIM(_xlfn.TEXTSPLIT(Table26142567[[#This Row],[Selection Options]:[Selection Options]],","))),,W$11),"")</f>
        <v/>
      </c>
      <c r="X25" s="29" t="str" cm="1">
        <f t="array" ref="X25">IFERROR(INDEX(_xlfn.UNIQUE(TRIM(_xlfn.TEXTSPLIT(Table26142567[[#This Row],[Selection Options]:[Selection Options]],","))),,X$11),"")</f>
        <v/>
      </c>
      <c r="Y25" s="30" cm="1">
        <f t="array" ref="Y25">IF(Table26142567[[#This Row],[1]]="","",Table26142567[[#This Row],[Weight]:[Weight]]-(Table26142567[[#This Row],[Weight]:[Weight]]*((_xlfn.XMATCH(Table26142567[[#This Row],[1]],Table26142567[[#This Row],[1]:[11]],0))-1)/(COUNTA(Table26142567[[#This Row],[1]:[11]])-COUNTBLANK(Table26142567[[#This Row],[1]:[11]])-1)))</f>
        <v>6.756756756756756E-4</v>
      </c>
      <c r="Z25" s="30" cm="1">
        <f t="array" ref="Z25">IF(Table26142567[[#This Row],[2]]="","",Table26142567[[#This Row],[Weight]:[Weight]]-(Table26142567[[#This Row],[Weight]:[Weight]]*((_xlfn.XMATCH(Table26142567[[#This Row],[2]],Table26142567[[#This Row],[1]:[11]],0))-1)/(COUNTA(Table26142567[[#This Row],[1]:[11]])-COUNTBLANK(Table26142567[[#This Row],[1]:[11]])-1)))</f>
        <v>5.0675675675675668E-4</v>
      </c>
      <c r="AA25" s="30" cm="1">
        <f t="array" ref="AA25">IF(Table26142567[[#This Row],[3]]="","",Table26142567[[#This Row],[Weight]:[Weight]]-(Table26142567[[#This Row],[Weight]:[Weight]]*((_xlfn.XMATCH(Table26142567[[#This Row],[3]],Table26142567[[#This Row],[1]:[11]],0))-1)/(COUNTA(Table26142567[[#This Row],[1]:[11]])-COUNTBLANK(Table26142567[[#This Row],[1]:[11]])-1)))</f>
        <v>3.378378378378378E-4</v>
      </c>
      <c r="AB25" s="30" cm="1">
        <f t="array" ref="AB25">IF(Table26142567[[#This Row],[4]]="","",Table26142567[[#This Row],[Weight]:[Weight]]-(Table26142567[[#This Row],[Weight]:[Weight]]*((_xlfn.XMATCH(Table26142567[[#This Row],[4]],Table26142567[[#This Row],[1]:[11]],0))-1)/(COUNTA(Table26142567[[#This Row],[1]:[11]])-COUNTBLANK(Table26142567[[#This Row],[1]:[11]])-1)))</f>
        <v>1.6891891891891893E-4</v>
      </c>
      <c r="AC25" s="30" cm="1">
        <f t="array" ref="AC25">IF(Table26142567[[#This Row],[5]]="","",Table26142567[[#This Row],[Weight]:[Weight]]-(Table26142567[[#This Row],[Weight]:[Weight]]*((_xlfn.XMATCH(Table26142567[[#This Row],[5]],Table26142567[[#This Row],[1]:[11]],0))-1)/(COUNTA(Table26142567[[#This Row],[1]:[11]])-COUNTBLANK(Table26142567[[#This Row],[1]:[11]])-1)))</f>
        <v>0</v>
      </c>
      <c r="AD25" s="30" t="str" cm="1">
        <f t="array" ref="AD25">IF(Table26142567[[#This Row],[6]]="","",Table26142567[[#This Row],[Weight]:[Weight]]-(Table26142567[[#This Row],[Weight]:[Weight]]*((_xlfn.XMATCH(Table26142567[[#This Row],[6]],Table26142567[[#This Row],[1]:[11]],0))-1)/(COUNTA(Table26142567[[#This Row],[1]:[11]])-COUNTBLANK(Table26142567[[#This Row],[1]:[11]])-1)))</f>
        <v/>
      </c>
      <c r="AE25" s="30" t="str" cm="1">
        <f t="array" ref="AE25">IF(Table26142567[[#This Row],[7]]="","",Table26142567[[#This Row],[Weight]:[Weight]]-(Table26142567[[#This Row],[Weight]:[Weight]]*((_xlfn.XMATCH(Table26142567[[#This Row],[7]],Table26142567[[#This Row],[1]:[11]],0))-1)/(COUNTA(Table26142567[[#This Row],[1]:[11]])-COUNTBLANK(Table26142567[[#This Row],[1]:[11]])-1)))</f>
        <v/>
      </c>
      <c r="AF25" s="30" t="str" cm="1">
        <f t="array" ref="AF25">IF(Table26142567[[#This Row],[8]]="","",Table26142567[[#This Row],[Weight]:[Weight]]-(Table26142567[[#This Row],[Weight]:[Weight]]*((_xlfn.XMATCH(Table26142567[[#This Row],[8]],Table26142567[[#This Row],[1]:[11]],0))-1)/(COUNTA(Table26142567[[#This Row],[1]:[11]])-COUNTBLANK(Table26142567[[#This Row],[1]:[11]])-1)))</f>
        <v/>
      </c>
      <c r="AG25" s="30" t="str" cm="1">
        <f t="array" ref="AG25">IF(Table26142567[[#This Row],[9]]="","",Table26142567[[#This Row],[Weight]:[Weight]]-(Table26142567[[#This Row],[Weight]:[Weight]]*((_xlfn.XMATCH(Table26142567[[#This Row],[9]],Table26142567[[#This Row],[1]:[11]],0))-1)/(COUNTA(Table26142567[[#This Row],[1]:[11]])-COUNTBLANK(Table26142567[[#This Row],[1]:[11]])-1)))</f>
        <v/>
      </c>
      <c r="AH25" s="30" t="str" cm="1">
        <f t="array" ref="AH25">IF(Table26142567[[#This Row],[10]]="","",Table26142567[[#This Row],[Weight]:[Weight]]-(Table26142567[[#This Row],[Weight]:[Weight]]*((_xlfn.XMATCH(Table26142567[[#This Row],[10]],Table26142567[[#This Row],[1]:[11]],0))-1)/(COUNTA(Table26142567[[#This Row],[1]:[11]])-COUNTBLANK(Table26142567[[#This Row],[1]:[11]])-1)))</f>
        <v/>
      </c>
      <c r="AI25" s="30" t="str" cm="1">
        <f t="array" ref="AI25">IF(Table26142567[[#This Row],[11]]="","",Table26142567[[#This Row],[Weight]:[Weight]]-(Table26142567[[#This Row],[Weight]:[Weight]]*((_xlfn.XMATCH(Table26142567[[#This Row],[11]],Table26142567[[#This Row],[1]:[11]],0))-1)/(COUNTA(Table26142567[[#This Row],[1]:[11]])-COUNTBLANK(Table26142567[[#This Row],[1]:[11]])-1)))</f>
        <v/>
      </c>
    </row>
    <row r="26" spans="1:35" ht="144" x14ac:dyDescent="0.2">
      <c r="A26" s="20">
        <v>14</v>
      </c>
      <c r="B26" s="90" t="s">
        <v>406</v>
      </c>
      <c r="C26" s="119" t="s">
        <v>215</v>
      </c>
      <c r="D26" s="146"/>
      <c r="E26" s="146"/>
      <c r="F26" s="121" t="s">
        <v>60</v>
      </c>
      <c r="G26" s="148" cm="1">
        <f t="array" ref="G26">_xlfn.IFS(F26="","",F26="No interest",0,F26="Nice to have",1,F26="Useful",2,F26="Important",3,F26="Very important",4,F26="Critical",5,F26="Show stopper",6)</f>
        <v>6</v>
      </c>
      <c r="H26" s="149">
        <f t="shared" si="1"/>
        <v>6.756756756756756E-4</v>
      </c>
      <c r="I26" s="150" t="s">
        <v>321</v>
      </c>
      <c r="J26" s="35" t="str" cm="1">
        <f t="array" ref="J26">_xlfn.TEXTJOIN(","&amp;CHAR(10),,TEXT(Table26142567[[#This Row],[12]:[22]],"0,00%"))</f>
        <v>0,00%,
0,00%,
0,00%,
0,00%,
0,00%</v>
      </c>
      <c r="K26" s="26"/>
      <c r="L26" s="27" t="e">
        <f>H26-(H26*((MATCH(Table26142567[[#This Row],[Evaluators Response (SELECT)]],Table26142567[[#This Row],[1]:[11]],0)-1)/(COUNTA(Table26142567[[#This Row],[1]:[11]])-COUNTBLANK(Table26142567[[#This Row],[1]:[11]])-1)))</f>
        <v>#N/A</v>
      </c>
      <c r="M26" s="28"/>
      <c r="N26" s="29" t="str" cm="1">
        <f t="array" ref="N26">IFERROR(INDEX(_xlfn.UNIQUE(TRIM(_xlfn.TEXTSPLIT(Table26142567[[#This Row],[Selection Options]:[Selection Options]],","))),,N$11),"")</f>
        <v>100%: Supported as delivered "out of the box"</v>
      </c>
      <c r="O26" s="29" t="str" cm="1">
        <f t="array" ref="O26">IFERROR(INDEX(_xlfn.UNIQUE(TRIM(_xlfn.TEXTSPLIT(Table26142567[[#This Row],[Selection Options]:[Selection Options]],","))),,O$11),"")</f>
        <v xml:space="preserve">
75%: Supported via modifications (config)</v>
      </c>
      <c r="P26" s="29" t="str" cm="1">
        <f t="array" ref="P26">IFERROR(INDEX(_xlfn.UNIQUE(TRIM(_xlfn.TEXTSPLIT(Table26142567[[#This Row],[Selection Options]:[Selection Options]],","))),,P$11),"")</f>
        <v xml:space="preserve">
50%: Supported via a third party solution</v>
      </c>
      <c r="Q26" s="29" t="str" cm="1">
        <f t="array" ref="Q26">IFERROR(INDEX(_xlfn.UNIQUE(TRIM(_xlfn.TEXTSPLIT(Table26142567[[#This Row],[Selection Options]:[Selection Options]],","))),,Q$11),"")</f>
        <v xml:space="preserve">
25%: Supported via customisation (source code changes)</v>
      </c>
      <c r="R26" s="29" t="str" cm="1">
        <f t="array" ref="R26">IFERROR(INDEX(_xlfn.UNIQUE(TRIM(_xlfn.TEXTSPLIT(Table26142567[[#This Row],[Selection Options]:[Selection Options]],","))),,R$11),"")</f>
        <v xml:space="preserve">
 0%: Not currently supported</v>
      </c>
      <c r="S26" s="29" t="str" cm="1">
        <f t="array" ref="S26">IFERROR(INDEX(_xlfn.UNIQUE(TRIM(_xlfn.TEXTSPLIT(Table26142567[[#This Row],[Selection Options]:[Selection Options]],","))),,S$11),"")</f>
        <v/>
      </c>
      <c r="T26" s="29" t="str" cm="1">
        <f t="array" ref="T26">IFERROR(INDEX(_xlfn.UNIQUE(TRIM(_xlfn.TEXTSPLIT(Table26142567[[#This Row],[Selection Options]:[Selection Options]],","))),,T$11),"")</f>
        <v/>
      </c>
      <c r="U26" s="29" t="str" cm="1">
        <f t="array" ref="U26">IFERROR(INDEX(_xlfn.UNIQUE(TRIM(_xlfn.TEXTSPLIT(Table26142567[[#This Row],[Selection Options]:[Selection Options]],","))),,U$11),"")</f>
        <v/>
      </c>
      <c r="V26" s="29" t="str" cm="1">
        <f t="array" ref="V26">IFERROR(INDEX(_xlfn.UNIQUE(TRIM(_xlfn.TEXTSPLIT(Table26142567[[#This Row],[Selection Options]:[Selection Options]],","))),,V$11),"")</f>
        <v/>
      </c>
      <c r="W26" s="29" t="str" cm="1">
        <f t="array" ref="W26">IFERROR(INDEX(_xlfn.UNIQUE(TRIM(_xlfn.TEXTSPLIT(Table26142567[[#This Row],[Selection Options]:[Selection Options]],","))),,W$11),"")</f>
        <v/>
      </c>
      <c r="X26" s="29" t="str" cm="1">
        <f t="array" ref="X26">IFERROR(INDEX(_xlfn.UNIQUE(TRIM(_xlfn.TEXTSPLIT(Table26142567[[#This Row],[Selection Options]:[Selection Options]],","))),,X$11),"")</f>
        <v/>
      </c>
      <c r="Y26" s="30" cm="1">
        <f t="array" ref="Y26">IF(Table26142567[[#This Row],[1]]="","",Table26142567[[#This Row],[Weight]:[Weight]]-(Table26142567[[#This Row],[Weight]:[Weight]]*((_xlfn.XMATCH(Table26142567[[#This Row],[1]],Table26142567[[#This Row],[1]:[11]],0))-1)/(COUNTA(Table26142567[[#This Row],[1]:[11]])-COUNTBLANK(Table26142567[[#This Row],[1]:[11]])-1)))</f>
        <v>6.756756756756756E-4</v>
      </c>
      <c r="Z26" s="30" cm="1">
        <f t="array" ref="Z26">IF(Table26142567[[#This Row],[2]]="","",Table26142567[[#This Row],[Weight]:[Weight]]-(Table26142567[[#This Row],[Weight]:[Weight]]*((_xlfn.XMATCH(Table26142567[[#This Row],[2]],Table26142567[[#This Row],[1]:[11]],0))-1)/(COUNTA(Table26142567[[#This Row],[1]:[11]])-COUNTBLANK(Table26142567[[#This Row],[1]:[11]])-1)))</f>
        <v>5.0675675675675668E-4</v>
      </c>
      <c r="AA26" s="30" cm="1">
        <f t="array" ref="AA26">IF(Table26142567[[#This Row],[3]]="","",Table26142567[[#This Row],[Weight]:[Weight]]-(Table26142567[[#This Row],[Weight]:[Weight]]*((_xlfn.XMATCH(Table26142567[[#This Row],[3]],Table26142567[[#This Row],[1]:[11]],0))-1)/(COUNTA(Table26142567[[#This Row],[1]:[11]])-COUNTBLANK(Table26142567[[#This Row],[1]:[11]])-1)))</f>
        <v>3.378378378378378E-4</v>
      </c>
      <c r="AB26" s="30" cm="1">
        <f t="array" ref="AB26">IF(Table26142567[[#This Row],[4]]="","",Table26142567[[#This Row],[Weight]:[Weight]]-(Table26142567[[#This Row],[Weight]:[Weight]]*((_xlfn.XMATCH(Table26142567[[#This Row],[4]],Table26142567[[#This Row],[1]:[11]],0))-1)/(COUNTA(Table26142567[[#This Row],[1]:[11]])-COUNTBLANK(Table26142567[[#This Row],[1]:[11]])-1)))</f>
        <v>1.6891891891891893E-4</v>
      </c>
      <c r="AC26" s="30" cm="1">
        <f t="array" ref="AC26">IF(Table26142567[[#This Row],[5]]="","",Table26142567[[#This Row],[Weight]:[Weight]]-(Table26142567[[#This Row],[Weight]:[Weight]]*((_xlfn.XMATCH(Table26142567[[#This Row],[5]],Table26142567[[#This Row],[1]:[11]],0))-1)/(COUNTA(Table26142567[[#This Row],[1]:[11]])-COUNTBLANK(Table26142567[[#This Row],[1]:[11]])-1)))</f>
        <v>0</v>
      </c>
      <c r="AD26" s="30" t="str" cm="1">
        <f t="array" ref="AD26">IF(Table26142567[[#This Row],[6]]="","",Table26142567[[#This Row],[Weight]:[Weight]]-(Table26142567[[#This Row],[Weight]:[Weight]]*((_xlfn.XMATCH(Table26142567[[#This Row],[6]],Table26142567[[#This Row],[1]:[11]],0))-1)/(COUNTA(Table26142567[[#This Row],[1]:[11]])-COUNTBLANK(Table26142567[[#This Row],[1]:[11]])-1)))</f>
        <v/>
      </c>
      <c r="AE26" s="30" t="str" cm="1">
        <f t="array" ref="AE26">IF(Table26142567[[#This Row],[7]]="","",Table26142567[[#This Row],[Weight]:[Weight]]-(Table26142567[[#This Row],[Weight]:[Weight]]*((_xlfn.XMATCH(Table26142567[[#This Row],[7]],Table26142567[[#This Row],[1]:[11]],0))-1)/(COUNTA(Table26142567[[#This Row],[1]:[11]])-COUNTBLANK(Table26142567[[#This Row],[1]:[11]])-1)))</f>
        <v/>
      </c>
      <c r="AF26" s="30" t="str" cm="1">
        <f t="array" ref="AF26">IF(Table26142567[[#This Row],[8]]="","",Table26142567[[#This Row],[Weight]:[Weight]]-(Table26142567[[#This Row],[Weight]:[Weight]]*((_xlfn.XMATCH(Table26142567[[#This Row],[8]],Table26142567[[#This Row],[1]:[11]],0))-1)/(COUNTA(Table26142567[[#This Row],[1]:[11]])-COUNTBLANK(Table26142567[[#This Row],[1]:[11]])-1)))</f>
        <v/>
      </c>
      <c r="AG26" s="30" t="str" cm="1">
        <f t="array" ref="AG26">IF(Table26142567[[#This Row],[9]]="","",Table26142567[[#This Row],[Weight]:[Weight]]-(Table26142567[[#This Row],[Weight]:[Weight]]*((_xlfn.XMATCH(Table26142567[[#This Row],[9]],Table26142567[[#This Row],[1]:[11]],0))-1)/(COUNTA(Table26142567[[#This Row],[1]:[11]])-COUNTBLANK(Table26142567[[#This Row],[1]:[11]])-1)))</f>
        <v/>
      </c>
      <c r="AH26" s="30" t="str" cm="1">
        <f t="array" ref="AH26">IF(Table26142567[[#This Row],[10]]="","",Table26142567[[#This Row],[Weight]:[Weight]]-(Table26142567[[#This Row],[Weight]:[Weight]]*((_xlfn.XMATCH(Table26142567[[#This Row],[10]],Table26142567[[#This Row],[1]:[11]],0))-1)/(COUNTA(Table26142567[[#This Row],[1]:[11]])-COUNTBLANK(Table26142567[[#This Row],[1]:[11]])-1)))</f>
        <v/>
      </c>
      <c r="AI26" s="30" t="str" cm="1">
        <f t="array" ref="AI26">IF(Table26142567[[#This Row],[11]]="","",Table26142567[[#This Row],[Weight]:[Weight]]-(Table26142567[[#This Row],[Weight]:[Weight]]*((_xlfn.XMATCH(Table26142567[[#This Row],[11]],Table26142567[[#This Row],[1]:[11]],0))-1)/(COUNTA(Table26142567[[#This Row],[1]:[11]])-COUNTBLANK(Table26142567[[#This Row],[1]:[11]])-1)))</f>
        <v/>
      </c>
    </row>
    <row r="27" spans="1:35" ht="108" x14ac:dyDescent="0.2">
      <c r="A27" s="20">
        <v>15</v>
      </c>
      <c r="B27" s="90" t="s">
        <v>407</v>
      </c>
      <c r="C27" s="119" t="s">
        <v>215</v>
      </c>
      <c r="D27" s="153"/>
      <c r="E27" s="153"/>
      <c r="F27" s="121" t="s">
        <v>60</v>
      </c>
      <c r="G27" s="148" cm="1">
        <f t="array" ref="G27">_xlfn.IFS(F27="","",F27="No interest",0,F27="Nice to have",1,F27="Useful",2,F27="Important",3,F27="Very important",4,F27="Critical",5,F27="Show stopper",6)</f>
        <v>6</v>
      </c>
      <c r="H27" s="149">
        <f t="shared" si="1"/>
        <v>6.756756756756756E-4</v>
      </c>
      <c r="I27" s="150" t="s">
        <v>321</v>
      </c>
      <c r="J27" s="35" t="str" cm="1">
        <f t="array" ref="J27">_xlfn.TEXTJOIN(","&amp;CHAR(10),,TEXT(Table26142567[[#This Row],[12]:[22]],"0,00%"))</f>
        <v>0,00%,
0,00%,
0,00%,
0,00%,
0,00%</v>
      </c>
      <c r="K27" s="26"/>
      <c r="L27" s="27" t="e">
        <f>H27-(H27*((MATCH(Table26142567[[#This Row],[Evaluators Response (SELECT)]],Table26142567[[#This Row],[1]:[11]],0)-1)/(COUNTA(Table26142567[[#This Row],[1]:[11]])-COUNTBLANK(Table26142567[[#This Row],[1]:[11]])-1)))</f>
        <v>#N/A</v>
      </c>
      <c r="M27" s="28"/>
      <c r="N27" s="29" t="str" cm="1">
        <f t="array" ref="N27">IFERROR(INDEX(_xlfn.UNIQUE(TRIM(_xlfn.TEXTSPLIT(Table26142567[[#This Row],[Selection Options]:[Selection Options]],","))),,N$11),"")</f>
        <v>100%: Supported as delivered "out of the box"</v>
      </c>
      <c r="O27" s="29" t="str" cm="1">
        <f t="array" ref="O27">IFERROR(INDEX(_xlfn.UNIQUE(TRIM(_xlfn.TEXTSPLIT(Table26142567[[#This Row],[Selection Options]:[Selection Options]],","))),,O$11),"")</f>
        <v xml:space="preserve">
75%: Supported via modifications (config)</v>
      </c>
      <c r="P27" s="29" t="str" cm="1">
        <f t="array" ref="P27">IFERROR(INDEX(_xlfn.UNIQUE(TRIM(_xlfn.TEXTSPLIT(Table26142567[[#This Row],[Selection Options]:[Selection Options]],","))),,P$11),"")</f>
        <v xml:space="preserve">
50%: Supported via a third party solution</v>
      </c>
      <c r="Q27" s="29" t="str" cm="1">
        <f t="array" ref="Q27">IFERROR(INDEX(_xlfn.UNIQUE(TRIM(_xlfn.TEXTSPLIT(Table26142567[[#This Row],[Selection Options]:[Selection Options]],","))),,Q$11),"")</f>
        <v xml:space="preserve">
25%: Supported via customisation (source code changes)</v>
      </c>
      <c r="R27" s="29" t="str" cm="1">
        <f t="array" ref="R27">IFERROR(INDEX(_xlfn.UNIQUE(TRIM(_xlfn.TEXTSPLIT(Table26142567[[#This Row],[Selection Options]:[Selection Options]],","))),,R$11),"")</f>
        <v xml:space="preserve">
 0%: Not currently supported</v>
      </c>
      <c r="S27" s="29" t="str" cm="1">
        <f t="array" ref="S27">IFERROR(INDEX(_xlfn.UNIQUE(TRIM(_xlfn.TEXTSPLIT(Table26142567[[#This Row],[Selection Options]:[Selection Options]],","))),,S$11),"")</f>
        <v/>
      </c>
      <c r="T27" s="29" t="str" cm="1">
        <f t="array" ref="T27">IFERROR(INDEX(_xlfn.UNIQUE(TRIM(_xlfn.TEXTSPLIT(Table26142567[[#This Row],[Selection Options]:[Selection Options]],","))),,T$11),"")</f>
        <v/>
      </c>
      <c r="U27" s="29" t="str" cm="1">
        <f t="array" ref="U27">IFERROR(INDEX(_xlfn.UNIQUE(TRIM(_xlfn.TEXTSPLIT(Table26142567[[#This Row],[Selection Options]:[Selection Options]],","))),,U$11),"")</f>
        <v/>
      </c>
      <c r="V27" s="29" t="str" cm="1">
        <f t="array" ref="V27">IFERROR(INDEX(_xlfn.UNIQUE(TRIM(_xlfn.TEXTSPLIT(Table26142567[[#This Row],[Selection Options]:[Selection Options]],","))),,V$11),"")</f>
        <v/>
      </c>
      <c r="W27" s="29" t="str" cm="1">
        <f t="array" ref="W27">IFERROR(INDEX(_xlfn.UNIQUE(TRIM(_xlfn.TEXTSPLIT(Table26142567[[#This Row],[Selection Options]:[Selection Options]],","))),,W$11),"")</f>
        <v/>
      </c>
      <c r="X27" s="29" t="str" cm="1">
        <f t="array" ref="X27">IFERROR(INDEX(_xlfn.UNIQUE(TRIM(_xlfn.TEXTSPLIT(Table26142567[[#This Row],[Selection Options]:[Selection Options]],","))),,X$11),"")</f>
        <v/>
      </c>
      <c r="Y27" s="30" cm="1">
        <f t="array" ref="Y27">IF(Table26142567[[#This Row],[1]]="","",Table26142567[[#This Row],[Weight]:[Weight]]-(Table26142567[[#This Row],[Weight]:[Weight]]*((_xlfn.XMATCH(Table26142567[[#This Row],[1]],Table26142567[[#This Row],[1]:[11]],0))-1)/(COUNTA(Table26142567[[#This Row],[1]:[11]])-COUNTBLANK(Table26142567[[#This Row],[1]:[11]])-1)))</f>
        <v>6.756756756756756E-4</v>
      </c>
      <c r="Z27" s="30" cm="1">
        <f t="array" ref="Z27">IF(Table26142567[[#This Row],[2]]="","",Table26142567[[#This Row],[Weight]:[Weight]]-(Table26142567[[#This Row],[Weight]:[Weight]]*((_xlfn.XMATCH(Table26142567[[#This Row],[2]],Table26142567[[#This Row],[1]:[11]],0))-1)/(COUNTA(Table26142567[[#This Row],[1]:[11]])-COUNTBLANK(Table26142567[[#This Row],[1]:[11]])-1)))</f>
        <v>5.0675675675675668E-4</v>
      </c>
      <c r="AA27" s="30" cm="1">
        <f t="array" ref="AA27">IF(Table26142567[[#This Row],[3]]="","",Table26142567[[#This Row],[Weight]:[Weight]]-(Table26142567[[#This Row],[Weight]:[Weight]]*((_xlfn.XMATCH(Table26142567[[#This Row],[3]],Table26142567[[#This Row],[1]:[11]],0))-1)/(COUNTA(Table26142567[[#This Row],[1]:[11]])-COUNTBLANK(Table26142567[[#This Row],[1]:[11]])-1)))</f>
        <v>3.378378378378378E-4</v>
      </c>
      <c r="AB27" s="30" cm="1">
        <f t="array" ref="AB27">IF(Table26142567[[#This Row],[4]]="","",Table26142567[[#This Row],[Weight]:[Weight]]-(Table26142567[[#This Row],[Weight]:[Weight]]*((_xlfn.XMATCH(Table26142567[[#This Row],[4]],Table26142567[[#This Row],[1]:[11]],0))-1)/(COUNTA(Table26142567[[#This Row],[1]:[11]])-COUNTBLANK(Table26142567[[#This Row],[1]:[11]])-1)))</f>
        <v>1.6891891891891893E-4</v>
      </c>
      <c r="AC27" s="30" cm="1">
        <f t="array" ref="AC27">IF(Table26142567[[#This Row],[5]]="","",Table26142567[[#This Row],[Weight]:[Weight]]-(Table26142567[[#This Row],[Weight]:[Weight]]*((_xlfn.XMATCH(Table26142567[[#This Row],[5]],Table26142567[[#This Row],[1]:[11]],0))-1)/(COUNTA(Table26142567[[#This Row],[1]:[11]])-COUNTBLANK(Table26142567[[#This Row],[1]:[11]])-1)))</f>
        <v>0</v>
      </c>
      <c r="AD27" s="30" t="str" cm="1">
        <f t="array" ref="AD27">IF(Table26142567[[#This Row],[6]]="","",Table26142567[[#This Row],[Weight]:[Weight]]-(Table26142567[[#This Row],[Weight]:[Weight]]*((_xlfn.XMATCH(Table26142567[[#This Row],[6]],Table26142567[[#This Row],[1]:[11]],0))-1)/(COUNTA(Table26142567[[#This Row],[1]:[11]])-COUNTBLANK(Table26142567[[#This Row],[1]:[11]])-1)))</f>
        <v/>
      </c>
      <c r="AE27" s="30" t="str" cm="1">
        <f t="array" ref="AE27">IF(Table26142567[[#This Row],[7]]="","",Table26142567[[#This Row],[Weight]:[Weight]]-(Table26142567[[#This Row],[Weight]:[Weight]]*((_xlfn.XMATCH(Table26142567[[#This Row],[7]],Table26142567[[#This Row],[1]:[11]],0))-1)/(COUNTA(Table26142567[[#This Row],[1]:[11]])-COUNTBLANK(Table26142567[[#This Row],[1]:[11]])-1)))</f>
        <v/>
      </c>
      <c r="AF27" s="30" t="str" cm="1">
        <f t="array" ref="AF27">IF(Table26142567[[#This Row],[8]]="","",Table26142567[[#This Row],[Weight]:[Weight]]-(Table26142567[[#This Row],[Weight]:[Weight]]*((_xlfn.XMATCH(Table26142567[[#This Row],[8]],Table26142567[[#This Row],[1]:[11]],0))-1)/(COUNTA(Table26142567[[#This Row],[1]:[11]])-COUNTBLANK(Table26142567[[#This Row],[1]:[11]])-1)))</f>
        <v/>
      </c>
      <c r="AG27" s="30" t="str" cm="1">
        <f t="array" ref="AG27">IF(Table26142567[[#This Row],[9]]="","",Table26142567[[#This Row],[Weight]:[Weight]]-(Table26142567[[#This Row],[Weight]:[Weight]]*((_xlfn.XMATCH(Table26142567[[#This Row],[9]],Table26142567[[#This Row],[1]:[11]],0))-1)/(COUNTA(Table26142567[[#This Row],[1]:[11]])-COUNTBLANK(Table26142567[[#This Row],[1]:[11]])-1)))</f>
        <v/>
      </c>
      <c r="AH27" s="30" t="str" cm="1">
        <f t="array" ref="AH27">IF(Table26142567[[#This Row],[10]]="","",Table26142567[[#This Row],[Weight]:[Weight]]-(Table26142567[[#This Row],[Weight]:[Weight]]*((_xlfn.XMATCH(Table26142567[[#This Row],[10]],Table26142567[[#This Row],[1]:[11]],0))-1)/(COUNTA(Table26142567[[#This Row],[1]:[11]])-COUNTBLANK(Table26142567[[#This Row],[1]:[11]])-1)))</f>
        <v/>
      </c>
      <c r="AI27" s="30" t="str" cm="1">
        <f t="array" ref="AI27">IF(Table26142567[[#This Row],[11]]="","",Table26142567[[#This Row],[Weight]:[Weight]]-(Table26142567[[#This Row],[Weight]:[Weight]]*((_xlfn.XMATCH(Table26142567[[#This Row],[11]],Table26142567[[#This Row],[1]:[11]],0))-1)/(COUNTA(Table26142567[[#This Row],[1]:[11]])-COUNTBLANK(Table26142567[[#This Row],[1]:[11]])-1)))</f>
        <v/>
      </c>
    </row>
    <row r="28" spans="1:35" ht="108" x14ac:dyDescent="0.2">
      <c r="A28" s="20">
        <v>16</v>
      </c>
      <c r="B28" s="90" t="s">
        <v>408</v>
      </c>
      <c r="C28" s="119" t="s">
        <v>215</v>
      </c>
      <c r="D28" s="153"/>
      <c r="E28" s="153"/>
      <c r="F28" s="121" t="s">
        <v>60</v>
      </c>
      <c r="G28" s="148" cm="1">
        <f t="array" ref="G28">_xlfn.IFS(F28="","",F28="No interest",0,F28="Nice to have",1,F28="Useful",2,F28="Important",3,F28="Very important",4,F28="Critical",5,F28="Show stopper",6)</f>
        <v>6</v>
      </c>
      <c r="H28" s="149">
        <f t="shared" si="1"/>
        <v>6.756756756756756E-4</v>
      </c>
      <c r="I28" s="150" t="s">
        <v>321</v>
      </c>
      <c r="J28" s="35" t="str" cm="1">
        <f t="array" ref="J28">_xlfn.TEXTJOIN(","&amp;CHAR(10),,TEXT(Table26142567[[#This Row],[12]:[22]],"0,00%"))</f>
        <v>0,00%,
0,00%,
0,00%,
0,00%,
0,00%</v>
      </c>
      <c r="K28" s="26"/>
      <c r="L28" s="27" t="e">
        <f>H28-(H28*((MATCH(Table26142567[[#This Row],[Evaluators Response (SELECT)]],Table26142567[[#This Row],[1]:[11]],0)-1)/(COUNTA(Table26142567[[#This Row],[1]:[11]])-COUNTBLANK(Table26142567[[#This Row],[1]:[11]])-1)))</f>
        <v>#N/A</v>
      </c>
      <c r="M28" s="28"/>
      <c r="N28" s="29" t="str" cm="1">
        <f t="array" ref="N28">IFERROR(INDEX(_xlfn.UNIQUE(TRIM(_xlfn.TEXTSPLIT(Table26142567[[#This Row],[Selection Options]:[Selection Options]],","))),,N$11),"")</f>
        <v>100%: Supported as delivered "out of the box"</v>
      </c>
      <c r="O28" s="29" t="str" cm="1">
        <f t="array" ref="O28">IFERROR(INDEX(_xlfn.UNIQUE(TRIM(_xlfn.TEXTSPLIT(Table26142567[[#This Row],[Selection Options]:[Selection Options]],","))),,O$11),"")</f>
        <v xml:space="preserve">
75%: Supported via modifications (config)</v>
      </c>
      <c r="P28" s="29" t="str" cm="1">
        <f t="array" ref="P28">IFERROR(INDEX(_xlfn.UNIQUE(TRIM(_xlfn.TEXTSPLIT(Table26142567[[#This Row],[Selection Options]:[Selection Options]],","))),,P$11),"")</f>
        <v xml:space="preserve">
50%: Supported via a third party solution</v>
      </c>
      <c r="Q28" s="29" t="str" cm="1">
        <f t="array" ref="Q28">IFERROR(INDEX(_xlfn.UNIQUE(TRIM(_xlfn.TEXTSPLIT(Table26142567[[#This Row],[Selection Options]:[Selection Options]],","))),,Q$11),"")</f>
        <v xml:space="preserve">
25%: Supported via customisation (source code changes)</v>
      </c>
      <c r="R28" s="29" t="str" cm="1">
        <f t="array" ref="R28">IFERROR(INDEX(_xlfn.UNIQUE(TRIM(_xlfn.TEXTSPLIT(Table26142567[[#This Row],[Selection Options]:[Selection Options]],","))),,R$11),"")</f>
        <v xml:space="preserve">
 0%: Not currently supported</v>
      </c>
      <c r="S28" s="29" t="str" cm="1">
        <f t="array" ref="S28">IFERROR(INDEX(_xlfn.UNIQUE(TRIM(_xlfn.TEXTSPLIT(Table26142567[[#This Row],[Selection Options]:[Selection Options]],","))),,S$11),"")</f>
        <v/>
      </c>
      <c r="T28" s="29" t="str" cm="1">
        <f t="array" ref="T28">IFERROR(INDEX(_xlfn.UNIQUE(TRIM(_xlfn.TEXTSPLIT(Table26142567[[#This Row],[Selection Options]:[Selection Options]],","))),,T$11),"")</f>
        <v/>
      </c>
      <c r="U28" s="29" t="str" cm="1">
        <f t="array" ref="U28">IFERROR(INDEX(_xlfn.UNIQUE(TRIM(_xlfn.TEXTSPLIT(Table26142567[[#This Row],[Selection Options]:[Selection Options]],","))),,U$11),"")</f>
        <v/>
      </c>
      <c r="V28" s="29" t="str" cm="1">
        <f t="array" ref="V28">IFERROR(INDEX(_xlfn.UNIQUE(TRIM(_xlfn.TEXTSPLIT(Table26142567[[#This Row],[Selection Options]:[Selection Options]],","))),,V$11),"")</f>
        <v/>
      </c>
      <c r="W28" s="29" t="str" cm="1">
        <f t="array" ref="W28">IFERROR(INDEX(_xlfn.UNIQUE(TRIM(_xlfn.TEXTSPLIT(Table26142567[[#This Row],[Selection Options]:[Selection Options]],","))),,W$11),"")</f>
        <v/>
      </c>
      <c r="X28" s="29" t="str" cm="1">
        <f t="array" ref="X28">IFERROR(INDEX(_xlfn.UNIQUE(TRIM(_xlfn.TEXTSPLIT(Table26142567[[#This Row],[Selection Options]:[Selection Options]],","))),,X$11),"")</f>
        <v/>
      </c>
      <c r="Y28" s="30" cm="1">
        <f t="array" ref="Y28">IF(Table26142567[[#This Row],[1]]="","",Table26142567[[#This Row],[Weight]:[Weight]]-(Table26142567[[#This Row],[Weight]:[Weight]]*((_xlfn.XMATCH(Table26142567[[#This Row],[1]],Table26142567[[#This Row],[1]:[11]],0))-1)/(COUNTA(Table26142567[[#This Row],[1]:[11]])-COUNTBLANK(Table26142567[[#This Row],[1]:[11]])-1)))</f>
        <v>6.756756756756756E-4</v>
      </c>
      <c r="Z28" s="30" cm="1">
        <f t="array" ref="Z28">IF(Table26142567[[#This Row],[2]]="","",Table26142567[[#This Row],[Weight]:[Weight]]-(Table26142567[[#This Row],[Weight]:[Weight]]*((_xlfn.XMATCH(Table26142567[[#This Row],[2]],Table26142567[[#This Row],[1]:[11]],0))-1)/(COUNTA(Table26142567[[#This Row],[1]:[11]])-COUNTBLANK(Table26142567[[#This Row],[1]:[11]])-1)))</f>
        <v>5.0675675675675668E-4</v>
      </c>
      <c r="AA28" s="30" cm="1">
        <f t="array" ref="AA28">IF(Table26142567[[#This Row],[3]]="","",Table26142567[[#This Row],[Weight]:[Weight]]-(Table26142567[[#This Row],[Weight]:[Weight]]*((_xlfn.XMATCH(Table26142567[[#This Row],[3]],Table26142567[[#This Row],[1]:[11]],0))-1)/(COUNTA(Table26142567[[#This Row],[1]:[11]])-COUNTBLANK(Table26142567[[#This Row],[1]:[11]])-1)))</f>
        <v>3.378378378378378E-4</v>
      </c>
      <c r="AB28" s="30" cm="1">
        <f t="array" ref="AB28">IF(Table26142567[[#This Row],[4]]="","",Table26142567[[#This Row],[Weight]:[Weight]]-(Table26142567[[#This Row],[Weight]:[Weight]]*((_xlfn.XMATCH(Table26142567[[#This Row],[4]],Table26142567[[#This Row],[1]:[11]],0))-1)/(COUNTA(Table26142567[[#This Row],[1]:[11]])-COUNTBLANK(Table26142567[[#This Row],[1]:[11]])-1)))</f>
        <v>1.6891891891891893E-4</v>
      </c>
      <c r="AC28" s="30" cm="1">
        <f t="array" ref="AC28">IF(Table26142567[[#This Row],[5]]="","",Table26142567[[#This Row],[Weight]:[Weight]]-(Table26142567[[#This Row],[Weight]:[Weight]]*((_xlfn.XMATCH(Table26142567[[#This Row],[5]],Table26142567[[#This Row],[1]:[11]],0))-1)/(COUNTA(Table26142567[[#This Row],[1]:[11]])-COUNTBLANK(Table26142567[[#This Row],[1]:[11]])-1)))</f>
        <v>0</v>
      </c>
      <c r="AD28" s="30" t="str" cm="1">
        <f t="array" ref="AD28">IF(Table26142567[[#This Row],[6]]="","",Table26142567[[#This Row],[Weight]:[Weight]]-(Table26142567[[#This Row],[Weight]:[Weight]]*((_xlfn.XMATCH(Table26142567[[#This Row],[6]],Table26142567[[#This Row],[1]:[11]],0))-1)/(COUNTA(Table26142567[[#This Row],[1]:[11]])-COUNTBLANK(Table26142567[[#This Row],[1]:[11]])-1)))</f>
        <v/>
      </c>
      <c r="AE28" s="30" t="str" cm="1">
        <f t="array" ref="AE28">IF(Table26142567[[#This Row],[7]]="","",Table26142567[[#This Row],[Weight]:[Weight]]-(Table26142567[[#This Row],[Weight]:[Weight]]*((_xlfn.XMATCH(Table26142567[[#This Row],[7]],Table26142567[[#This Row],[1]:[11]],0))-1)/(COUNTA(Table26142567[[#This Row],[1]:[11]])-COUNTBLANK(Table26142567[[#This Row],[1]:[11]])-1)))</f>
        <v/>
      </c>
      <c r="AF28" s="30" t="str" cm="1">
        <f t="array" ref="AF28">IF(Table26142567[[#This Row],[8]]="","",Table26142567[[#This Row],[Weight]:[Weight]]-(Table26142567[[#This Row],[Weight]:[Weight]]*((_xlfn.XMATCH(Table26142567[[#This Row],[8]],Table26142567[[#This Row],[1]:[11]],0))-1)/(COUNTA(Table26142567[[#This Row],[1]:[11]])-COUNTBLANK(Table26142567[[#This Row],[1]:[11]])-1)))</f>
        <v/>
      </c>
      <c r="AG28" s="30" t="str" cm="1">
        <f t="array" ref="AG28">IF(Table26142567[[#This Row],[9]]="","",Table26142567[[#This Row],[Weight]:[Weight]]-(Table26142567[[#This Row],[Weight]:[Weight]]*((_xlfn.XMATCH(Table26142567[[#This Row],[9]],Table26142567[[#This Row],[1]:[11]],0))-1)/(COUNTA(Table26142567[[#This Row],[1]:[11]])-COUNTBLANK(Table26142567[[#This Row],[1]:[11]])-1)))</f>
        <v/>
      </c>
      <c r="AH28" s="30" t="str" cm="1">
        <f t="array" ref="AH28">IF(Table26142567[[#This Row],[10]]="","",Table26142567[[#This Row],[Weight]:[Weight]]-(Table26142567[[#This Row],[Weight]:[Weight]]*((_xlfn.XMATCH(Table26142567[[#This Row],[10]],Table26142567[[#This Row],[1]:[11]],0))-1)/(COUNTA(Table26142567[[#This Row],[1]:[11]])-COUNTBLANK(Table26142567[[#This Row],[1]:[11]])-1)))</f>
        <v/>
      </c>
      <c r="AI28" s="30" t="str" cm="1">
        <f t="array" ref="AI28">IF(Table26142567[[#This Row],[11]]="","",Table26142567[[#This Row],[Weight]:[Weight]]-(Table26142567[[#This Row],[Weight]:[Weight]]*((_xlfn.XMATCH(Table26142567[[#This Row],[11]],Table26142567[[#This Row],[1]:[11]],0))-1)/(COUNTA(Table26142567[[#This Row],[1]:[11]])-COUNTBLANK(Table26142567[[#This Row],[1]:[11]])-1)))</f>
        <v/>
      </c>
    </row>
    <row r="29" spans="1:35" ht="108" x14ac:dyDescent="0.2">
      <c r="A29" s="20">
        <v>17</v>
      </c>
      <c r="B29" s="90" t="s">
        <v>409</v>
      </c>
      <c r="C29" s="119" t="s">
        <v>215</v>
      </c>
      <c r="D29" s="153"/>
      <c r="E29" s="153"/>
      <c r="F29" s="121" t="s">
        <v>60</v>
      </c>
      <c r="G29" s="148" cm="1">
        <f t="array" ref="G29">_xlfn.IFS(F29="","",F29="No interest",0,F29="Nice to have",1,F29="Useful",2,F29="Important",3,F29="Very important",4,F29="Critical",5,F29="Show stopper",6)</f>
        <v>6</v>
      </c>
      <c r="H29" s="149">
        <f t="shared" si="1"/>
        <v>6.756756756756756E-4</v>
      </c>
      <c r="I29" s="150" t="s">
        <v>321</v>
      </c>
      <c r="J29" s="35" t="str" cm="1">
        <f t="array" ref="J29">_xlfn.TEXTJOIN(","&amp;CHAR(10),,TEXT(Table26142567[[#This Row],[12]:[22]],"0,00%"))</f>
        <v>0,00%,
0,00%,
0,00%,
0,00%,
0,00%</v>
      </c>
      <c r="K29" s="26"/>
      <c r="L29" s="27" t="e">
        <f>H29-(H29*((MATCH(Table26142567[[#This Row],[Evaluators Response (SELECT)]],Table26142567[[#This Row],[1]:[11]],0)-1)/(COUNTA(Table26142567[[#This Row],[1]:[11]])-COUNTBLANK(Table26142567[[#This Row],[1]:[11]])-1)))</f>
        <v>#N/A</v>
      </c>
      <c r="M29" s="28"/>
      <c r="N29" s="29" t="str" cm="1">
        <f t="array" ref="N29">IFERROR(INDEX(_xlfn.UNIQUE(TRIM(_xlfn.TEXTSPLIT(Table26142567[[#This Row],[Selection Options]:[Selection Options]],","))),,N$11),"")</f>
        <v>100%: Supported as delivered "out of the box"</v>
      </c>
      <c r="O29" s="29" t="str" cm="1">
        <f t="array" ref="O29">IFERROR(INDEX(_xlfn.UNIQUE(TRIM(_xlfn.TEXTSPLIT(Table26142567[[#This Row],[Selection Options]:[Selection Options]],","))),,O$11),"")</f>
        <v xml:space="preserve">
75%: Supported via modifications (config)</v>
      </c>
      <c r="P29" s="29" t="str" cm="1">
        <f t="array" ref="P29">IFERROR(INDEX(_xlfn.UNIQUE(TRIM(_xlfn.TEXTSPLIT(Table26142567[[#This Row],[Selection Options]:[Selection Options]],","))),,P$11),"")</f>
        <v xml:space="preserve">
50%: Supported via a third party solution</v>
      </c>
      <c r="Q29" s="29" t="str" cm="1">
        <f t="array" ref="Q29">IFERROR(INDEX(_xlfn.UNIQUE(TRIM(_xlfn.TEXTSPLIT(Table26142567[[#This Row],[Selection Options]:[Selection Options]],","))),,Q$11),"")</f>
        <v xml:space="preserve">
25%: Supported via customisation (source code changes)</v>
      </c>
      <c r="R29" s="29" t="str" cm="1">
        <f t="array" ref="R29">IFERROR(INDEX(_xlfn.UNIQUE(TRIM(_xlfn.TEXTSPLIT(Table26142567[[#This Row],[Selection Options]:[Selection Options]],","))),,R$11),"")</f>
        <v xml:space="preserve">
 0%: Not currently supported</v>
      </c>
      <c r="S29" s="29" t="str" cm="1">
        <f t="array" ref="S29">IFERROR(INDEX(_xlfn.UNIQUE(TRIM(_xlfn.TEXTSPLIT(Table26142567[[#This Row],[Selection Options]:[Selection Options]],","))),,S$11),"")</f>
        <v/>
      </c>
      <c r="T29" s="29" t="str" cm="1">
        <f t="array" ref="T29">IFERROR(INDEX(_xlfn.UNIQUE(TRIM(_xlfn.TEXTSPLIT(Table26142567[[#This Row],[Selection Options]:[Selection Options]],","))),,T$11),"")</f>
        <v/>
      </c>
      <c r="U29" s="29" t="str" cm="1">
        <f t="array" ref="U29">IFERROR(INDEX(_xlfn.UNIQUE(TRIM(_xlfn.TEXTSPLIT(Table26142567[[#This Row],[Selection Options]:[Selection Options]],","))),,U$11),"")</f>
        <v/>
      </c>
      <c r="V29" s="29" t="str" cm="1">
        <f t="array" ref="V29">IFERROR(INDEX(_xlfn.UNIQUE(TRIM(_xlfn.TEXTSPLIT(Table26142567[[#This Row],[Selection Options]:[Selection Options]],","))),,V$11),"")</f>
        <v/>
      </c>
      <c r="W29" s="29" t="str" cm="1">
        <f t="array" ref="W29">IFERROR(INDEX(_xlfn.UNIQUE(TRIM(_xlfn.TEXTSPLIT(Table26142567[[#This Row],[Selection Options]:[Selection Options]],","))),,W$11),"")</f>
        <v/>
      </c>
      <c r="X29" s="29" t="str" cm="1">
        <f t="array" ref="X29">IFERROR(INDEX(_xlfn.UNIQUE(TRIM(_xlfn.TEXTSPLIT(Table26142567[[#This Row],[Selection Options]:[Selection Options]],","))),,X$11),"")</f>
        <v/>
      </c>
      <c r="Y29" s="30" cm="1">
        <f t="array" ref="Y29">IF(Table26142567[[#This Row],[1]]="","",Table26142567[[#This Row],[Weight]:[Weight]]-(Table26142567[[#This Row],[Weight]:[Weight]]*((_xlfn.XMATCH(Table26142567[[#This Row],[1]],Table26142567[[#This Row],[1]:[11]],0))-1)/(COUNTA(Table26142567[[#This Row],[1]:[11]])-COUNTBLANK(Table26142567[[#This Row],[1]:[11]])-1)))</f>
        <v>6.756756756756756E-4</v>
      </c>
      <c r="Z29" s="30" cm="1">
        <f t="array" ref="Z29">IF(Table26142567[[#This Row],[2]]="","",Table26142567[[#This Row],[Weight]:[Weight]]-(Table26142567[[#This Row],[Weight]:[Weight]]*((_xlfn.XMATCH(Table26142567[[#This Row],[2]],Table26142567[[#This Row],[1]:[11]],0))-1)/(COUNTA(Table26142567[[#This Row],[1]:[11]])-COUNTBLANK(Table26142567[[#This Row],[1]:[11]])-1)))</f>
        <v>5.0675675675675668E-4</v>
      </c>
      <c r="AA29" s="30" cm="1">
        <f t="array" ref="AA29">IF(Table26142567[[#This Row],[3]]="","",Table26142567[[#This Row],[Weight]:[Weight]]-(Table26142567[[#This Row],[Weight]:[Weight]]*((_xlfn.XMATCH(Table26142567[[#This Row],[3]],Table26142567[[#This Row],[1]:[11]],0))-1)/(COUNTA(Table26142567[[#This Row],[1]:[11]])-COUNTBLANK(Table26142567[[#This Row],[1]:[11]])-1)))</f>
        <v>3.378378378378378E-4</v>
      </c>
      <c r="AB29" s="30" cm="1">
        <f t="array" ref="AB29">IF(Table26142567[[#This Row],[4]]="","",Table26142567[[#This Row],[Weight]:[Weight]]-(Table26142567[[#This Row],[Weight]:[Weight]]*((_xlfn.XMATCH(Table26142567[[#This Row],[4]],Table26142567[[#This Row],[1]:[11]],0))-1)/(COUNTA(Table26142567[[#This Row],[1]:[11]])-COUNTBLANK(Table26142567[[#This Row],[1]:[11]])-1)))</f>
        <v>1.6891891891891893E-4</v>
      </c>
      <c r="AC29" s="30" cm="1">
        <f t="array" ref="AC29">IF(Table26142567[[#This Row],[5]]="","",Table26142567[[#This Row],[Weight]:[Weight]]-(Table26142567[[#This Row],[Weight]:[Weight]]*((_xlfn.XMATCH(Table26142567[[#This Row],[5]],Table26142567[[#This Row],[1]:[11]],0))-1)/(COUNTA(Table26142567[[#This Row],[1]:[11]])-COUNTBLANK(Table26142567[[#This Row],[1]:[11]])-1)))</f>
        <v>0</v>
      </c>
      <c r="AD29" s="30" t="str" cm="1">
        <f t="array" ref="AD29">IF(Table26142567[[#This Row],[6]]="","",Table26142567[[#This Row],[Weight]:[Weight]]-(Table26142567[[#This Row],[Weight]:[Weight]]*((_xlfn.XMATCH(Table26142567[[#This Row],[6]],Table26142567[[#This Row],[1]:[11]],0))-1)/(COUNTA(Table26142567[[#This Row],[1]:[11]])-COUNTBLANK(Table26142567[[#This Row],[1]:[11]])-1)))</f>
        <v/>
      </c>
      <c r="AE29" s="30" t="str" cm="1">
        <f t="array" ref="AE29">IF(Table26142567[[#This Row],[7]]="","",Table26142567[[#This Row],[Weight]:[Weight]]-(Table26142567[[#This Row],[Weight]:[Weight]]*((_xlfn.XMATCH(Table26142567[[#This Row],[7]],Table26142567[[#This Row],[1]:[11]],0))-1)/(COUNTA(Table26142567[[#This Row],[1]:[11]])-COUNTBLANK(Table26142567[[#This Row],[1]:[11]])-1)))</f>
        <v/>
      </c>
      <c r="AF29" s="30" t="str" cm="1">
        <f t="array" ref="AF29">IF(Table26142567[[#This Row],[8]]="","",Table26142567[[#This Row],[Weight]:[Weight]]-(Table26142567[[#This Row],[Weight]:[Weight]]*((_xlfn.XMATCH(Table26142567[[#This Row],[8]],Table26142567[[#This Row],[1]:[11]],0))-1)/(COUNTA(Table26142567[[#This Row],[1]:[11]])-COUNTBLANK(Table26142567[[#This Row],[1]:[11]])-1)))</f>
        <v/>
      </c>
      <c r="AG29" s="30" t="str" cm="1">
        <f t="array" ref="AG29">IF(Table26142567[[#This Row],[9]]="","",Table26142567[[#This Row],[Weight]:[Weight]]-(Table26142567[[#This Row],[Weight]:[Weight]]*((_xlfn.XMATCH(Table26142567[[#This Row],[9]],Table26142567[[#This Row],[1]:[11]],0))-1)/(COUNTA(Table26142567[[#This Row],[1]:[11]])-COUNTBLANK(Table26142567[[#This Row],[1]:[11]])-1)))</f>
        <v/>
      </c>
      <c r="AH29" s="30" t="str" cm="1">
        <f t="array" ref="AH29">IF(Table26142567[[#This Row],[10]]="","",Table26142567[[#This Row],[Weight]:[Weight]]-(Table26142567[[#This Row],[Weight]:[Weight]]*((_xlfn.XMATCH(Table26142567[[#This Row],[10]],Table26142567[[#This Row],[1]:[11]],0))-1)/(COUNTA(Table26142567[[#This Row],[1]:[11]])-COUNTBLANK(Table26142567[[#This Row],[1]:[11]])-1)))</f>
        <v/>
      </c>
      <c r="AI29" s="30" t="str" cm="1">
        <f t="array" ref="AI29">IF(Table26142567[[#This Row],[11]]="","",Table26142567[[#This Row],[Weight]:[Weight]]-(Table26142567[[#This Row],[Weight]:[Weight]]*((_xlfn.XMATCH(Table26142567[[#This Row],[11]],Table26142567[[#This Row],[1]:[11]],0))-1)/(COUNTA(Table26142567[[#This Row],[1]:[11]])-COUNTBLANK(Table26142567[[#This Row],[1]:[11]])-1)))</f>
        <v/>
      </c>
    </row>
    <row r="30" spans="1:35" ht="108" x14ac:dyDescent="0.2">
      <c r="A30" s="20">
        <v>18</v>
      </c>
      <c r="B30" s="90" t="s">
        <v>410</v>
      </c>
      <c r="C30" s="119" t="s">
        <v>215</v>
      </c>
      <c r="D30" s="153"/>
      <c r="E30" s="153"/>
      <c r="F30" s="121" t="s">
        <v>60</v>
      </c>
      <c r="G30" s="148" cm="1">
        <f t="array" ref="G30">_xlfn.IFS(F30="","",F30="No interest",0,F30="Nice to have",1,F30="Useful",2,F30="Important",3,F30="Very important",4,F30="Critical",5,F30="Show stopper",6)</f>
        <v>6</v>
      </c>
      <c r="H30" s="149">
        <f t="shared" si="1"/>
        <v>6.756756756756756E-4</v>
      </c>
      <c r="I30" s="150" t="s">
        <v>321</v>
      </c>
      <c r="J30" s="35" t="str" cm="1">
        <f t="array" ref="J30">_xlfn.TEXTJOIN(","&amp;CHAR(10),,TEXT(Table26142567[[#This Row],[12]:[22]],"0,00%"))</f>
        <v>0,00%,
0,00%,
0,00%,
0,00%,
0,00%</v>
      </c>
      <c r="K30" s="26"/>
      <c r="L30" s="27" t="e">
        <f>H30-(H30*((MATCH(Table26142567[[#This Row],[Evaluators Response (SELECT)]],Table26142567[[#This Row],[1]:[11]],0)-1)/(COUNTA(Table26142567[[#This Row],[1]:[11]])-COUNTBLANK(Table26142567[[#This Row],[1]:[11]])-1)))</f>
        <v>#N/A</v>
      </c>
      <c r="M30" s="28"/>
      <c r="N30" s="29" t="str" cm="1">
        <f t="array" ref="N30">IFERROR(INDEX(_xlfn.UNIQUE(TRIM(_xlfn.TEXTSPLIT(Table26142567[[#This Row],[Selection Options]:[Selection Options]],","))),,N$11),"")</f>
        <v>100%: Supported as delivered "out of the box"</v>
      </c>
      <c r="O30" s="29" t="str" cm="1">
        <f t="array" ref="O30">IFERROR(INDEX(_xlfn.UNIQUE(TRIM(_xlfn.TEXTSPLIT(Table26142567[[#This Row],[Selection Options]:[Selection Options]],","))),,O$11),"")</f>
        <v xml:space="preserve">
75%: Supported via modifications (config)</v>
      </c>
      <c r="P30" s="29" t="str" cm="1">
        <f t="array" ref="P30">IFERROR(INDEX(_xlfn.UNIQUE(TRIM(_xlfn.TEXTSPLIT(Table26142567[[#This Row],[Selection Options]:[Selection Options]],","))),,P$11),"")</f>
        <v xml:space="preserve">
50%: Supported via a third party solution</v>
      </c>
      <c r="Q30" s="29" t="str" cm="1">
        <f t="array" ref="Q30">IFERROR(INDEX(_xlfn.UNIQUE(TRIM(_xlfn.TEXTSPLIT(Table26142567[[#This Row],[Selection Options]:[Selection Options]],","))),,Q$11),"")</f>
        <v xml:space="preserve">
25%: Supported via customisation (source code changes)</v>
      </c>
      <c r="R30" s="29" t="str" cm="1">
        <f t="array" ref="R30">IFERROR(INDEX(_xlfn.UNIQUE(TRIM(_xlfn.TEXTSPLIT(Table26142567[[#This Row],[Selection Options]:[Selection Options]],","))),,R$11),"")</f>
        <v xml:space="preserve">
 0%: Not currently supported</v>
      </c>
      <c r="S30" s="29" t="str" cm="1">
        <f t="array" ref="S30">IFERROR(INDEX(_xlfn.UNIQUE(TRIM(_xlfn.TEXTSPLIT(Table26142567[[#This Row],[Selection Options]:[Selection Options]],","))),,S$11),"")</f>
        <v/>
      </c>
      <c r="T30" s="29" t="str" cm="1">
        <f t="array" ref="T30">IFERROR(INDEX(_xlfn.UNIQUE(TRIM(_xlfn.TEXTSPLIT(Table26142567[[#This Row],[Selection Options]:[Selection Options]],","))),,T$11),"")</f>
        <v/>
      </c>
      <c r="U30" s="29" t="str" cm="1">
        <f t="array" ref="U30">IFERROR(INDEX(_xlfn.UNIQUE(TRIM(_xlfn.TEXTSPLIT(Table26142567[[#This Row],[Selection Options]:[Selection Options]],","))),,U$11),"")</f>
        <v/>
      </c>
      <c r="V30" s="29" t="str" cm="1">
        <f t="array" ref="V30">IFERROR(INDEX(_xlfn.UNIQUE(TRIM(_xlfn.TEXTSPLIT(Table26142567[[#This Row],[Selection Options]:[Selection Options]],","))),,V$11),"")</f>
        <v/>
      </c>
      <c r="W30" s="29" t="str" cm="1">
        <f t="array" ref="W30">IFERROR(INDEX(_xlfn.UNIQUE(TRIM(_xlfn.TEXTSPLIT(Table26142567[[#This Row],[Selection Options]:[Selection Options]],","))),,W$11),"")</f>
        <v/>
      </c>
      <c r="X30" s="29" t="str" cm="1">
        <f t="array" ref="X30">IFERROR(INDEX(_xlfn.UNIQUE(TRIM(_xlfn.TEXTSPLIT(Table26142567[[#This Row],[Selection Options]:[Selection Options]],","))),,X$11),"")</f>
        <v/>
      </c>
      <c r="Y30" s="30" cm="1">
        <f t="array" ref="Y30">IF(Table26142567[[#This Row],[1]]="","",Table26142567[[#This Row],[Weight]:[Weight]]-(Table26142567[[#This Row],[Weight]:[Weight]]*((_xlfn.XMATCH(Table26142567[[#This Row],[1]],Table26142567[[#This Row],[1]:[11]],0))-1)/(COUNTA(Table26142567[[#This Row],[1]:[11]])-COUNTBLANK(Table26142567[[#This Row],[1]:[11]])-1)))</f>
        <v>6.756756756756756E-4</v>
      </c>
      <c r="Z30" s="30" cm="1">
        <f t="array" ref="Z30">IF(Table26142567[[#This Row],[2]]="","",Table26142567[[#This Row],[Weight]:[Weight]]-(Table26142567[[#This Row],[Weight]:[Weight]]*((_xlfn.XMATCH(Table26142567[[#This Row],[2]],Table26142567[[#This Row],[1]:[11]],0))-1)/(COUNTA(Table26142567[[#This Row],[1]:[11]])-COUNTBLANK(Table26142567[[#This Row],[1]:[11]])-1)))</f>
        <v>5.0675675675675668E-4</v>
      </c>
      <c r="AA30" s="30" cm="1">
        <f t="array" ref="AA30">IF(Table26142567[[#This Row],[3]]="","",Table26142567[[#This Row],[Weight]:[Weight]]-(Table26142567[[#This Row],[Weight]:[Weight]]*((_xlfn.XMATCH(Table26142567[[#This Row],[3]],Table26142567[[#This Row],[1]:[11]],0))-1)/(COUNTA(Table26142567[[#This Row],[1]:[11]])-COUNTBLANK(Table26142567[[#This Row],[1]:[11]])-1)))</f>
        <v>3.378378378378378E-4</v>
      </c>
      <c r="AB30" s="30" cm="1">
        <f t="array" ref="AB30">IF(Table26142567[[#This Row],[4]]="","",Table26142567[[#This Row],[Weight]:[Weight]]-(Table26142567[[#This Row],[Weight]:[Weight]]*((_xlfn.XMATCH(Table26142567[[#This Row],[4]],Table26142567[[#This Row],[1]:[11]],0))-1)/(COUNTA(Table26142567[[#This Row],[1]:[11]])-COUNTBLANK(Table26142567[[#This Row],[1]:[11]])-1)))</f>
        <v>1.6891891891891893E-4</v>
      </c>
      <c r="AC30" s="30" cm="1">
        <f t="array" ref="AC30">IF(Table26142567[[#This Row],[5]]="","",Table26142567[[#This Row],[Weight]:[Weight]]-(Table26142567[[#This Row],[Weight]:[Weight]]*((_xlfn.XMATCH(Table26142567[[#This Row],[5]],Table26142567[[#This Row],[1]:[11]],0))-1)/(COUNTA(Table26142567[[#This Row],[1]:[11]])-COUNTBLANK(Table26142567[[#This Row],[1]:[11]])-1)))</f>
        <v>0</v>
      </c>
      <c r="AD30" s="30" t="str" cm="1">
        <f t="array" ref="AD30">IF(Table26142567[[#This Row],[6]]="","",Table26142567[[#This Row],[Weight]:[Weight]]-(Table26142567[[#This Row],[Weight]:[Weight]]*((_xlfn.XMATCH(Table26142567[[#This Row],[6]],Table26142567[[#This Row],[1]:[11]],0))-1)/(COUNTA(Table26142567[[#This Row],[1]:[11]])-COUNTBLANK(Table26142567[[#This Row],[1]:[11]])-1)))</f>
        <v/>
      </c>
      <c r="AE30" s="30" t="str" cm="1">
        <f t="array" ref="AE30">IF(Table26142567[[#This Row],[7]]="","",Table26142567[[#This Row],[Weight]:[Weight]]-(Table26142567[[#This Row],[Weight]:[Weight]]*((_xlfn.XMATCH(Table26142567[[#This Row],[7]],Table26142567[[#This Row],[1]:[11]],0))-1)/(COUNTA(Table26142567[[#This Row],[1]:[11]])-COUNTBLANK(Table26142567[[#This Row],[1]:[11]])-1)))</f>
        <v/>
      </c>
      <c r="AF30" s="30" t="str" cm="1">
        <f t="array" ref="AF30">IF(Table26142567[[#This Row],[8]]="","",Table26142567[[#This Row],[Weight]:[Weight]]-(Table26142567[[#This Row],[Weight]:[Weight]]*((_xlfn.XMATCH(Table26142567[[#This Row],[8]],Table26142567[[#This Row],[1]:[11]],0))-1)/(COUNTA(Table26142567[[#This Row],[1]:[11]])-COUNTBLANK(Table26142567[[#This Row],[1]:[11]])-1)))</f>
        <v/>
      </c>
      <c r="AG30" s="30" t="str" cm="1">
        <f t="array" ref="AG30">IF(Table26142567[[#This Row],[9]]="","",Table26142567[[#This Row],[Weight]:[Weight]]-(Table26142567[[#This Row],[Weight]:[Weight]]*((_xlfn.XMATCH(Table26142567[[#This Row],[9]],Table26142567[[#This Row],[1]:[11]],0))-1)/(COUNTA(Table26142567[[#This Row],[1]:[11]])-COUNTBLANK(Table26142567[[#This Row],[1]:[11]])-1)))</f>
        <v/>
      </c>
      <c r="AH30" s="30" t="str" cm="1">
        <f t="array" ref="AH30">IF(Table26142567[[#This Row],[10]]="","",Table26142567[[#This Row],[Weight]:[Weight]]-(Table26142567[[#This Row],[Weight]:[Weight]]*((_xlfn.XMATCH(Table26142567[[#This Row],[10]],Table26142567[[#This Row],[1]:[11]],0))-1)/(COUNTA(Table26142567[[#This Row],[1]:[11]])-COUNTBLANK(Table26142567[[#This Row],[1]:[11]])-1)))</f>
        <v/>
      </c>
      <c r="AI30" s="30" t="str" cm="1">
        <f t="array" ref="AI30">IF(Table26142567[[#This Row],[11]]="","",Table26142567[[#This Row],[Weight]:[Weight]]-(Table26142567[[#This Row],[Weight]:[Weight]]*((_xlfn.XMATCH(Table26142567[[#This Row],[11]],Table26142567[[#This Row],[1]:[11]],0))-1)/(COUNTA(Table26142567[[#This Row],[1]:[11]])-COUNTBLANK(Table26142567[[#This Row],[1]:[11]])-1)))</f>
        <v/>
      </c>
    </row>
    <row r="31" spans="1:35" ht="108" x14ac:dyDescent="0.2">
      <c r="A31" s="20">
        <v>19</v>
      </c>
      <c r="B31" s="90" t="s">
        <v>411</v>
      </c>
      <c r="C31" s="119" t="s">
        <v>215</v>
      </c>
      <c r="D31" s="153"/>
      <c r="E31" s="153"/>
      <c r="F31" s="121" t="s">
        <v>60</v>
      </c>
      <c r="G31" s="148" cm="1">
        <f t="array" ref="G31">_xlfn.IFS(F31="","",F31="No interest",0,F31="Nice to have",1,F31="Useful",2,F31="Important",3,F31="Very important",4,F31="Critical",5,F31="Show stopper",6)</f>
        <v>6</v>
      </c>
      <c r="H31" s="149">
        <f t="shared" si="1"/>
        <v>6.756756756756756E-4</v>
      </c>
      <c r="I31" s="150" t="s">
        <v>321</v>
      </c>
      <c r="J31" s="35" t="str" cm="1">
        <f t="array" ref="J31">_xlfn.TEXTJOIN(","&amp;CHAR(10),,TEXT(Table26142567[[#This Row],[12]:[22]],"0,00%"))</f>
        <v>0,00%,
0,00%,
0,00%,
0,00%,
0,00%</v>
      </c>
      <c r="K31" s="26"/>
      <c r="L31" s="27" t="e">
        <f>H31-(H31*((MATCH(Table26142567[[#This Row],[Evaluators Response (SELECT)]],Table26142567[[#This Row],[1]:[11]],0)-1)/(COUNTA(Table26142567[[#This Row],[1]:[11]])-COUNTBLANK(Table26142567[[#This Row],[1]:[11]])-1)))</f>
        <v>#N/A</v>
      </c>
      <c r="M31" s="28"/>
      <c r="N31" s="29" t="str" cm="1">
        <f t="array" ref="N31">IFERROR(INDEX(_xlfn.UNIQUE(TRIM(_xlfn.TEXTSPLIT(Table26142567[[#This Row],[Selection Options]:[Selection Options]],","))),,N$11),"")</f>
        <v>100%: Supported as delivered "out of the box"</v>
      </c>
      <c r="O31" s="29" t="str" cm="1">
        <f t="array" ref="O31">IFERROR(INDEX(_xlfn.UNIQUE(TRIM(_xlfn.TEXTSPLIT(Table26142567[[#This Row],[Selection Options]:[Selection Options]],","))),,O$11),"")</f>
        <v xml:space="preserve">
75%: Supported via modifications (config)</v>
      </c>
      <c r="P31" s="29" t="str" cm="1">
        <f t="array" ref="P31">IFERROR(INDEX(_xlfn.UNIQUE(TRIM(_xlfn.TEXTSPLIT(Table26142567[[#This Row],[Selection Options]:[Selection Options]],","))),,P$11),"")</f>
        <v xml:space="preserve">
50%: Supported via a third party solution</v>
      </c>
      <c r="Q31" s="29" t="str" cm="1">
        <f t="array" ref="Q31">IFERROR(INDEX(_xlfn.UNIQUE(TRIM(_xlfn.TEXTSPLIT(Table26142567[[#This Row],[Selection Options]:[Selection Options]],","))),,Q$11),"")</f>
        <v xml:space="preserve">
25%: Supported via customisation (source code changes)</v>
      </c>
      <c r="R31" s="29" t="str" cm="1">
        <f t="array" ref="R31">IFERROR(INDEX(_xlfn.UNIQUE(TRIM(_xlfn.TEXTSPLIT(Table26142567[[#This Row],[Selection Options]:[Selection Options]],","))),,R$11),"")</f>
        <v xml:space="preserve">
 0%: Not currently supported</v>
      </c>
      <c r="S31" s="29" t="str" cm="1">
        <f t="array" ref="S31">IFERROR(INDEX(_xlfn.UNIQUE(TRIM(_xlfn.TEXTSPLIT(Table26142567[[#This Row],[Selection Options]:[Selection Options]],","))),,S$11),"")</f>
        <v/>
      </c>
      <c r="T31" s="29" t="str" cm="1">
        <f t="array" ref="T31">IFERROR(INDEX(_xlfn.UNIQUE(TRIM(_xlfn.TEXTSPLIT(Table26142567[[#This Row],[Selection Options]:[Selection Options]],","))),,T$11),"")</f>
        <v/>
      </c>
      <c r="U31" s="29" t="str" cm="1">
        <f t="array" ref="U31">IFERROR(INDEX(_xlfn.UNIQUE(TRIM(_xlfn.TEXTSPLIT(Table26142567[[#This Row],[Selection Options]:[Selection Options]],","))),,U$11),"")</f>
        <v/>
      </c>
      <c r="V31" s="29" t="str" cm="1">
        <f t="array" ref="V31">IFERROR(INDEX(_xlfn.UNIQUE(TRIM(_xlfn.TEXTSPLIT(Table26142567[[#This Row],[Selection Options]:[Selection Options]],","))),,V$11),"")</f>
        <v/>
      </c>
      <c r="W31" s="29" t="str" cm="1">
        <f t="array" ref="W31">IFERROR(INDEX(_xlfn.UNIQUE(TRIM(_xlfn.TEXTSPLIT(Table26142567[[#This Row],[Selection Options]:[Selection Options]],","))),,W$11),"")</f>
        <v/>
      </c>
      <c r="X31" s="29" t="str" cm="1">
        <f t="array" ref="X31">IFERROR(INDEX(_xlfn.UNIQUE(TRIM(_xlfn.TEXTSPLIT(Table26142567[[#This Row],[Selection Options]:[Selection Options]],","))),,X$11),"")</f>
        <v/>
      </c>
      <c r="Y31" s="30" cm="1">
        <f t="array" ref="Y31">IF(Table26142567[[#This Row],[1]]="","",Table26142567[[#This Row],[Weight]:[Weight]]-(Table26142567[[#This Row],[Weight]:[Weight]]*((_xlfn.XMATCH(Table26142567[[#This Row],[1]],Table26142567[[#This Row],[1]:[11]],0))-1)/(COUNTA(Table26142567[[#This Row],[1]:[11]])-COUNTBLANK(Table26142567[[#This Row],[1]:[11]])-1)))</f>
        <v>6.756756756756756E-4</v>
      </c>
      <c r="Z31" s="30" cm="1">
        <f t="array" ref="Z31">IF(Table26142567[[#This Row],[2]]="","",Table26142567[[#This Row],[Weight]:[Weight]]-(Table26142567[[#This Row],[Weight]:[Weight]]*((_xlfn.XMATCH(Table26142567[[#This Row],[2]],Table26142567[[#This Row],[1]:[11]],0))-1)/(COUNTA(Table26142567[[#This Row],[1]:[11]])-COUNTBLANK(Table26142567[[#This Row],[1]:[11]])-1)))</f>
        <v>5.0675675675675668E-4</v>
      </c>
      <c r="AA31" s="30" cm="1">
        <f t="array" ref="AA31">IF(Table26142567[[#This Row],[3]]="","",Table26142567[[#This Row],[Weight]:[Weight]]-(Table26142567[[#This Row],[Weight]:[Weight]]*((_xlfn.XMATCH(Table26142567[[#This Row],[3]],Table26142567[[#This Row],[1]:[11]],0))-1)/(COUNTA(Table26142567[[#This Row],[1]:[11]])-COUNTBLANK(Table26142567[[#This Row],[1]:[11]])-1)))</f>
        <v>3.378378378378378E-4</v>
      </c>
      <c r="AB31" s="30" cm="1">
        <f t="array" ref="AB31">IF(Table26142567[[#This Row],[4]]="","",Table26142567[[#This Row],[Weight]:[Weight]]-(Table26142567[[#This Row],[Weight]:[Weight]]*((_xlfn.XMATCH(Table26142567[[#This Row],[4]],Table26142567[[#This Row],[1]:[11]],0))-1)/(COUNTA(Table26142567[[#This Row],[1]:[11]])-COUNTBLANK(Table26142567[[#This Row],[1]:[11]])-1)))</f>
        <v>1.6891891891891893E-4</v>
      </c>
      <c r="AC31" s="30" cm="1">
        <f t="array" ref="AC31">IF(Table26142567[[#This Row],[5]]="","",Table26142567[[#This Row],[Weight]:[Weight]]-(Table26142567[[#This Row],[Weight]:[Weight]]*((_xlfn.XMATCH(Table26142567[[#This Row],[5]],Table26142567[[#This Row],[1]:[11]],0))-1)/(COUNTA(Table26142567[[#This Row],[1]:[11]])-COUNTBLANK(Table26142567[[#This Row],[1]:[11]])-1)))</f>
        <v>0</v>
      </c>
      <c r="AD31" s="30" t="str" cm="1">
        <f t="array" ref="AD31">IF(Table26142567[[#This Row],[6]]="","",Table26142567[[#This Row],[Weight]:[Weight]]-(Table26142567[[#This Row],[Weight]:[Weight]]*((_xlfn.XMATCH(Table26142567[[#This Row],[6]],Table26142567[[#This Row],[1]:[11]],0))-1)/(COUNTA(Table26142567[[#This Row],[1]:[11]])-COUNTBLANK(Table26142567[[#This Row],[1]:[11]])-1)))</f>
        <v/>
      </c>
      <c r="AE31" s="30" t="str" cm="1">
        <f t="array" ref="AE31">IF(Table26142567[[#This Row],[7]]="","",Table26142567[[#This Row],[Weight]:[Weight]]-(Table26142567[[#This Row],[Weight]:[Weight]]*((_xlfn.XMATCH(Table26142567[[#This Row],[7]],Table26142567[[#This Row],[1]:[11]],0))-1)/(COUNTA(Table26142567[[#This Row],[1]:[11]])-COUNTBLANK(Table26142567[[#This Row],[1]:[11]])-1)))</f>
        <v/>
      </c>
      <c r="AF31" s="30" t="str" cm="1">
        <f t="array" ref="AF31">IF(Table26142567[[#This Row],[8]]="","",Table26142567[[#This Row],[Weight]:[Weight]]-(Table26142567[[#This Row],[Weight]:[Weight]]*((_xlfn.XMATCH(Table26142567[[#This Row],[8]],Table26142567[[#This Row],[1]:[11]],0))-1)/(COUNTA(Table26142567[[#This Row],[1]:[11]])-COUNTBLANK(Table26142567[[#This Row],[1]:[11]])-1)))</f>
        <v/>
      </c>
      <c r="AG31" s="30" t="str" cm="1">
        <f t="array" ref="AG31">IF(Table26142567[[#This Row],[9]]="","",Table26142567[[#This Row],[Weight]:[Weight]]-(Table26142567[[#This Row],[Weight]:[Weight]]*((_xlfn.XMATCH(Table26142567[[#This Row],[9]],Table26142567[[#This Row],[1]:[11]],0))-1)/(COUNTA(Table26142567[[#This Row],[1]:[11]])-COUNTBLANK(Table26142567[[#This Row],[1]:[11]])-1)))</f>
        <v/>
      </c>
      <c r="AH31" s="30" t="str" cm="1">
        <f t="array" ref="AH31">IF(Table26142567[[#This Row],[10]]="","",Table26142567[[#This Row],[Weight]:[Weight]]-(Table26142567[[#This Row],[Weight]:[Weight]]*((_xlfn.XMATCH(Table26142567[[#This Row],[10]],Table26142567[[#This Row],[1]:[11]],0))-1)/(COUNTA(Table26142567[[#This Row],[1]:[11]])-COUNTBLANK(Table26142567[[#This Row],[1]:[11]])-1)))</f>
        <v/>
      </c>
      <c r="AI31" s="30" t="str" cm="1">
        <f t="array" ref="AI31">IF(Table26142567[[#This Row],[11]]="","",Table26142567[[#This Row],[Weight]:[Weight]]-(Table26142567[[#This Row],[Weight]:[Weight]]*((_xlfn.XMATCH(Table26142567[[#This Row],[11]],Table26142567[[#This Row],[1]:[11]],0))-1)/(COUNTA(Table26142567[[#This Row],[1]:[11]])-COUNTBLANK(Table26142567[[#This Row],[1]:[11]])-1)))</f>
        <v/>
      </c>
    </row>
    <row r="32" spans="1:35" ht="108" x14ac:dyDescent="0.2">
      <c r="A32" s="20">
        <v>20</v>
      </c>
      <c r="B32" s="90" t="s">
        <v>412</v>
      </c>
      <c r="C32" s="119" t="s">
        <v>215</v>
      </c>
      <c r="D32" s="153"/>
      <c r="E32" s="153"/>
      <c r="F32" s="121" t="s">
        <v>60</v>
      </c>
      <c r="G32" s="148" cm="1">
        <f t="array" ref="G32">_xlfn.IFS(F32="","",F32="No interest",0,F32="Nice to have",1,F32="Useful",2,F32="Important",3,F32="Very important",4,F32="Critical",5,F32="Show stopper",6)</f>
        <v>6</v>
      </c>
      <c r="H32" s="149">
        <f t="shared" si="1"/>
        <v>6.756756756756756E-4</v>
      </c>
      <c r="I32" s="150" t="s">
        <v>321</v>
      </c>
      <c r="J32" s="35" t="str" cm="1">
        <f t="array" ref="J32">_xlfn.TEXTJOIN(","&amp;CHAR(10),,TEXT(Table26142567[[#This Row],[12]:[22]],"0,00%"))</f>
        <v>0,00%,
0,00%,
0,00%,
0,00%,
0,00%</v>
      </c>
      <c r="K32" s="26"/>
      <c r="L32" s="27" t="e">
        <f>H32-(H32*((MATCH(Table26142567[[#This Row],[Evaluators Response (SELECT)]],Table26142567[[#This Row],[1]:[11]],0)-1)/(COUNTA(Table26142567[[#This Row],[1]:[11]])-COUNTBLANK(Table26142567[[#This Row],[1]:[11]])-1)))</f>
        <v>#N/A</v>
      </c>
      <c r="M32" s="28"/>
      <c r="N32" s="29" t="str" cm="1">
        <f t="array" ref="N32">IFERROR(INDEX(_xlfn.UNIQUE(TRIM(_xlfn.TEXTSPLIT(Table26142567[[#This Row],[Selection Options]:[Selection Options]],","))),,N$11),"")</f>
        <v>100%: Supported as delivered "out of the box"</v>
      </c>
      <c r="O32" s="29" t="str" cm="1">
        <f t="array" ref="O32">IFERROR(INDEX(_xlfn.UNIQUE(TRIM(_xlfn.TEXTSPLIT(Table26142567[[#This Row],[Selection Options]:[Selection Options]],","))),,O$11),"")</f>
        <v xml:space="preserve">
75%: Supported via modifications (config)</v>
      </c>
      <c r="P32" s="29" t="str" cm="1">
        <f t="array" ref="P32">IFERROR(INDEX(_xlfn.UNIQUE(TRIM(_xlfn.TEXTSPLIT(Table26142567[[#This Row],[Selection Options]:[Selection Options]],","))),,P$11),"")</f>
        <v xml:space="preserve">
50%: Supported via a third party solution</v>
      </c>
      <c r="Q32" s="29" t="str" cm="1">
        <f t="array" ref="Q32">IFERROR(INDEX(_xlfn.UNIQUE(TRIM(_xlfn.TEXTSPLIT(Table26142567[[#This Row],[Selection Options]:[Selection Options]],","))),,Q$11),"")</f>
        <v xml:space="preserve">
25%: Supported via customisation (source code changes)</v>
      </c>
      <c r="R32" s="29" t="str" cm="1">
        <f t="array" ref="R32">IFERROR(INDEX(_xlfn.UNIQUE(TRIM(_xlfn.TEXTSPLIT(Table26142567[[#This Row],[Selection Options]:[Selection Options]],","))),,R$11),"")</f>
        <v xml:space="preserve">
 0%: Not currently supported</v>
      </c>
      <c r="S32" s="29" t="str" cm="1">
        <f t="array" ref="S32">IFERROR(INDEX(_xlfn.UNIQUE(TRIM(_xlfn.TEXTSPLIT(Table26142567[[#This Row],[Selection Options]:[Selection Options]],","))),,S$11),"")</f>
        <v/>
      </c>
      <c r="T32" s="29" t="str" cm="1">
        <f t="array" ref="T32">IFERROR(INDEX(_xlfn.UNIQUE(TRIM(_xlfn.TEXTSPLIT(Table26142567[[#This Row],[Selection Options]:[Selection Options]],","))),,T$11),"")</f>
        <v/>
      </c>
      <c r="U32" s="29" t="str" cm="1">
        <f t="array" ref="U32">IFERROR(INDEX(_xlfn.UNIQUE(TRIM(_xlfn.TEXTSPLIT(Table26142567[[#This Row],[Selection Options]:[Selection Options]],","))),,U$11),"")</f>
        <v/>
      </c>
      <c r="V32" s="29" t="str" cm="1">
        <f t="array" ref="V32">IFERROR(INDEX(_xlfn.UNIQUE(TRIM(_xlfn.TEXTSPLIT(Table26142567[[#This Row],[Selection Options]:[Selection Options]],","))),,V$11),"")</f>
        <v/>
      </c>
      <c r="W32" s="29" t="str" cm="1">
        <f t="array" ref="W32">IFERROR(INDEX(_xlfn.UNIQUE(TRIM(_xlfn.TEXTSPLIT(Table26142567[[#This Row],[Selection Options]:[Selection Options]],","))),,W$11),"")</f>
        <v/>
      </c>
      <c r="X32" s="29" t="str" cm="1">
        <f t="array" ref="X32">IFERROR(INDEX(_xlfn.UNIQUE(TRIM(_xlfn.TEXTSPLIT(Table26142567[[#This Row],[Selection Options]:[Selection Options]],","))),,X$11),"")</f>
        <v/>
      </c>
      <c r="Y32" s="30" cm="1">
        <f t="array" ref="Y32">IF(Table26142567[[#This Row],[1]]="","",Table26142567[[#This Row],[Weight]:[Weight]]-(Table26142567[[#This Row],[Weight]:[Weight]]*((_xlfn.XMATCH(Table26142567[[#This Row],[1]],Table26142567[[#This Row],[1]:[11]],0))-1)/(COUNTA(Table26142567[[#This Row],[1]:[11]])-COUNTBLANK(Table26142567[[#This Row],[1]:[11]])-1)))</f>
        <v>6.756756756756756E-4</v>
      </c>
      <c r="Z32" s="30" cm="1">
        <f t="array" ref="Z32">IF(Table26142567[[#This Row],[2]]="","",Table26142567[[#This Row],[Weight]:[Weight]]-(Table26142567[[#This Row],[Weight]:[Weight]]*((_xlfn.XMATCH(Table26142567[[#This Row],[2]],Table26142567[[#This Row],[1]:[11]],0))-1)/(COUNTA(Table26142567[[#This Row],[1]:[11]])-COUNTBLANK(Table26142567[[#This Row],[1]:[11]])-1)))</f>
        <v>5.0675675675675668E-4</v>
      </c>
      <c r="AA32" s="30" cm="1">
        <f t="array" ref="AA32">IF(Table26142567[[#This Row],[3]]="","",Table26142567[[#This Row],[Weight]:[Weight]]-(Table26142567[[#This Row],[Weight]:[Weight]]*((_xlfn.XMATCH(Table26142567[[#This Row],[3]],Table26142567[[#This Row],[1]:[11]],0))-1)/(COUNTA(Table26142567[[#This Row],[1]:[11]])-COUNTBLANK(Table26142567[[#This Row],[1]:[11]])-1)))</f>
        <v>3.378378378378378E-4</v>
      </c>
      <c r="AB32" s="30" cm="1">
        <f t="array" ref="AB32">IF(Table26142567[[#This Row],[4]]="","",Table26142567[[#This Row],[Weight]:[Weight]]-(Table26142567[[#This Row],[Weight]:[Weight]]*((_xlfn.XMATCH(Table26142567[[#This Row],[4]],Table26142567[[#This Row],[1]:[11]],0))-1)/(COUNTA(Table26142567[[#This Row],[1]:[11]])-COUNTBLANK(Table26142567[[#This Row],[1]:[11]])-1)))</f>
        <v>1.6891891891891893E-4</v>
      </c>
      <c r="AC32" s="30" cm="1">
        <f t="array" ref="AC32">IF(Table26142567[[#This Row],[5]]="","",Table26142567[[#This Row],[Weight]:[Weight]]-(Table26142567[[#This Row],[Weight]:[Weight]]*((_xlfn.XMATCH(Table26142567[[#This Row],[5]],Table26142567[[#This Row],[1]:[11]],0))-1)/(COUNTA(Table26142567[[#This Row],[1]:[11]])-COUNTBLANK(Table26142567[[#This Row],[1]:[11]])-1)))</f>
        <v>0</v>
      </c>
      <c r="AD32" s="30" t="str" cm="1">
        <f t="array" ref="AD32">IF(Table26142567[[#This Row],[6]]="","",Table26142567[[#This Row],[Weight]:[Weight]]-(Table26142567[[#This Row],[Weight]:[Weight]]*((_xlfn.XMATCH(Table26142567[[#This Row],[6]],Table26142567[[#This Row],[1]:[11]],0))-1)/(COUNTA(Table26142567[[#This Row],[1]:[11]])-COUNTBLANK(Table26142567[[#This Row],[1]:[11]])-1)))</f>
        <v/>
      </c>
      <c r="AE32" s="30" t="str" cm="1">
        <f t="array" ref="AE32">IF(Table26142567[[#This Row],[7]]="","",Table26142567[[#This Row],[Weight]:[Weight]]-(Table26142567[[#This Row],[Weight]:[Weight]]*((_xlfn.XMATCH(Table26142567[[#This Row],[7]],Table26142567[[#This Row],[1]:[11]],0))-1)/(COUNTA(Table26142567[[#This Row],[1]:[11]])-COUNTBLANK(Table26142567[[#This Row],[1]:[11]])-1)))</f>
        <v/>
      </c>
      <c r="AF32" s="30" t="str" cm="1">
        <f t="array" ref="AF32">IF(Table26142567[[#This Row],[8]]="","",Table26142567[[#This Row],[Weight]:[Weight]]-(Table26142567[[#This Row],[Weight]:[Weight]]*((_xlfn.XMATCH(Table26142567[[#This Row],[8]],Table26142567[[#This Row],[1]:[11]],0))-1)/(COUNTA(Table26142567[[#This Row],[1]:[11]])-COUNTBLANK(Table26142567[[#This Row],[1]:[11]])-1)))</f>
        <v/>
      </c>
      <c r="AG32" s="30" t="str" cm="1">
        <f t="array" ref="AG32">IF(Table26142567[[#This Row],[9]]="","",Table26142567[[#This Row],[Weight]:[Weight]]-(Table26142567[[#This Row],[Weight]:[Weight]]*((_xlfn.XMATCH(Table26142567[[#This Row],[9]],Table26142567[[#This Row],[1]:[11]],0))-1)/(COUNTA(Table26142567[[#This Row],[1]:[11]])-COUNTBLANK(Table26142567[[#This Row],[1]:[11]])-1)))</f>
        <v/>
      </c>
      <c r="AH32" s="30" t="str" cm="1">
        <f t="array" ref="AH32">IF(Table26142567[[#This Row],[10]]="","",Table26142567[[#This Row],[Weight]:[Weight]]-(Table26142567[[#This Row],[Weight]:[Weight]]*((_xlfn.XMATCH(Table26142567[[#This Row],[10]],Table26142567[[#This Row],[1]:[11]],0))-1)/(COUNTA(Table26142567[[#This Row],[1]:[11]])-COUNTBLANK(Table26142567[[#This Row],[1]:[11]])-1)))</f>
        <v/>
      </c>
      <c r="AI32" s="30" t="str" cm="1">
        <f t="array" ref="AI32">IF(Table26142567[[#This Row],[11]]="","",Table26142567[[#This Row],[Weight]:[Weight]]-(Table26142567[[#This Row],[Weight]:[Weight]]*((_xlfn.XMATCH(Table26142567[[#This Row],[11]],Table26142567[[#This Row],[1]:[11]],0))-1)/(COUNTA(Table26142567[[#This Row],[1]:[11]])-COUNTBLANK(Table26142567[[#This Row],[1]:[11]])-1)))</f>
        <v/>
      </c>
    </row>
    <row r="33" spans="1:35" ht="108" x14ac:dyDescent="0.2">
      <c r="A33" s="20">
        <v>21</v>
      </c>
      <c r="B33" s="90" t="s">
        <v>413</v>
      </c>
      <c r="C33" s="119" t="s">
        <v>215</v>
      </c>
      <c r="D33" s="153"/>
      <c r="E33" s="153"/>
      <c r="F33" s="121" t="s">
        <v>60</v>
      </c>
      <c r="G33" s="148" cm="1">
        <f t="array" ref="G33">_xlfn.IFS(F33="","",F33="No interest",0,F33="Nice to have",1,F33="Useful",2,F33="Important",3,F33="Very important",4,F33="Critical",5,F33="Show stopper",6)</f>
        <v>6</v>
      </c>
      <c r="H33" s="149">
        <f t="shared" si="1"/>
        <v>6.756756756756756E-4</v>
      </c>
      <c r="I33" s="150" t="s">
        <v>321</v>
      </c>
      <c r="J33" s="35" t="str" cm="1">
        <f t="array" ref="J33">_xlfn.TEXTJOIN(","&amp;CHAR(10),,TEXT(Table26142567[[#This Row],[12]:[22]],"0,00%"))</f>
        <v>0,00%,
0,00%,
0,00%,
0,00%,
0,00%</v>
      </c>
      <c r="K33" s="26"/>
      <c r="L33" s="27" t="e">
        <f>H33-(H33*((MATCH(Table26142567[[#This Row],[Evaluators Response (SELECT)]],Table26142567[[#This Row],[1]:[11]],0)-1)/(COUNTA(Table26142567[[#This Row],[1]:[11]])-COUNTBLANK(Table26142567[[#This Row],[1]:[11]])-1)))</f>
        <v>#N/A</v>
      </c>
      <c r="M33" s="28"/>
      <c r="N33" s="29" t="str" cm="1">
        <f t="array" ref="N33">IFERROR(INDEX(_xlfn.UNIQUE(TRIM(_xlfn.TEXTSPLIT(Table26142567[[#This Row],[Selection Options]:[Selection Options]],","))),,N$11),"")</f>
        <v>100%: Supported as delivered "out of the box"</v>
      </c>
      <c r="O33" s="29" t="str" cm="1">
        <f t="array" ref="O33">IFERROR(INDEX(_xlfn.UNIQUE(TRIM(_xlfn.TEXTSPLIT(Table26142567[[#This Row],[Selection Options]:[Selection Options]],","))),,O$11),"")</f>
        <v xml:space="preserve">
75%: Supported via modifications (config)</v>
      </c>
      <c r="P33" s="29" t="str" cm="1">
        <f t="array" ref="P33">IFERROR(INDEX(_xlfn.UNIQUE(TRIM(_xlfn.TEXTSPLIT(Table26142567[[#This Row],[Selection Options]:[Selection Options]],","))),,P$11),"")</f>
        <v xml:space="preserve">
50%: Supported via a third party solution</v>
      </c>
      <c r="Q33" s="29" t="str" cm="1">
        <f t="array" ref="Q33">IFERROR(INDEX(_xlfn.UNIQUE(TRIM(_xlfn.TEXTSPLIT(Table26142567[[#This Row],[Selection Options]:[Selection Options]],","))),,Q$11),"")</f>
        <v xml:space="preserve">
25%: Supported via customisation (source code changes)</v>
      </c>
      <c r="R33" s="29" t="str" cm="1">
        <f t="array" ref="R33">IFERROR(INDEX(_xlfn.UNIQUE(TRIM(_xlfn.TEXTSPLIT(Table26142567[[#This Row],[Selection Options]:[Selection Options]],","))),,R$11),"")</f>
        <v xml:space="preserve">
 0%: Not currently supported</v>
      </c>
      <c r="S33" s="29" t="str" cm="1">
        <f t="array" ref="S33">IFERROR(INDEX(_xlfn.UNIQUE(TRIM(_xlfn.TEXTSPLIT(Table26142567[[#This Row],[Selection Options]:[Selection Options]],","))),,S$11),"")</f>
        <v/>
      </c>
      <c r="T33" s="29" t="str" cm="1">
        <f t="array" ref="T33">IFERROR(INDEX(_xlfn.UNIQUE(TRIM(_xlfn.TEXTSPLIT(Table26142567[[#This Row],[Selection Options]:[Selection Options]],","))),,T$11),"")</f>
        <v/>
      </c>
      <c r="U33" s="29" t="str" cm="1">
        <f t="array" ref="U33">IFERROR(INDEX(_xlfn.UNIQUE(TRIM(_xlfn.TEXTSPLIT(Table26142567[[#This Row],[Selection Options]:[Selection Options]],","))),,U$11),"")</f>
        <v/>
      </c>
      <c r="V33" s="29" t="str" cm="1">
        <f t="array" ref="V33">IFERROR(INDEX(_xlfn.UNIQUE(TRIM(_xlfn.TEXTSPLIT(Table26142567[[#This Row],[Selection Options]:[Selection Options]],","))),,V$11),"")</f>
        <v/>
      </c>
      <c r="W33" s="29" t="str" cm="1">
        <f t="array" ref="W33">IFERROR(INDEX(_xlfn.UNIQUE(TRIM(_xlfn.TEXTSPLIT(Table26142567[[#This Row],[Selection Options]:[Selection Options]],","))),,W$11),"")</f>
        <v/>
      </c>
      <c r="X33" s="29" t="str" cm="1">
        <f t="array" ref="X33">IFERROR(INDEX(_xlfn.UNIQUE(TRIM(_xlfn.TEXTSPLIT(Table26142567[[#This Row],[Selection Options]:[Selection Options]],","))),,X$11),"")</f>
        <v/>
      </c>
      <c r="Y33" s="30" cm="1">
        <f t="array" ref="Y33">IF(Table26142567[[#This Row],[1]]="","",Table26142567[[#This Row],[Weight]:[Weight]]-(Table26142567[[#This Row],[Weight]:[Weight]]*((_xlfn.XMATCH(Table26142567[[#This Row],[1]],Table26142567[[#This Row],[1]:[11]],0))-1)/(COUNTA(Table26142567[[#This Row],[1]:[11]])-COUNTBLANK(Table26142567[[#This Row],[1]:[11]])-1)))</f>
        <v>6.756756756756756E-4</v>
      </c>
      <c r="Z33" s="30" cm="1">
        <f t="array" ref="Z33">IF(Table26142567[[#This Row],[2]]="","",Table26142567[[#This Row],[Weight]:[Weight]]-(Table26142567[[#This Row],[Weight]:[Weight]]*((_xlfn.XMATCH(Table26142567[[#This Row],[2]],Table26142567[[#This Row],[1]:[11]],0))-1)/(COUNTA(Table26142567[[#This Row],[1]:[11]])-COUNTBLANK(Table26142567[[#This Row],[1]:[11]])-1)))</f>
        <v>5.0675675675675668E-4</v>
      </c>
      <c r="AA33" s="30" cm="1">
        <f t="array" ref="AA33">IF(Table26142567[[#This Row],[3]]="","",Table26142567[[#This Row],[Weight]:[Weight]]-(Table26142567[[#This Row],[Weight]:[Weight]]*((_xlfn.XMATCH(Table26142567[[#This Row],[3]],Table26142567[[#This Row],[1]:[11]],0))-1)/(COUNTA(Table26142567[[#This Row],[1]:[11]])-COUNTBLANK(Table26142567[[#This Row],[1]:[11]])-1)))</f>
        <v>3.378378378378378E-4</v>
      </c>
      <c r="AB33" s="30" cm="1">
        <f t="array" ref="AB33">IF(Table26142567[[#This Row],[4]]="","",Table26142567[[#This Row],[Weight]:[Weight]]-(Table26142567[[#This Row],[Weight]:[Weight]]*((_xlfn.XMATCH(Table26142567[[#This Row],[4]],Table26142567[[#This Row],[1]:[11]],0))-1)/(COUNTA(Table26142567[[#This Row],[1]:[11]])-COUNTBLANK(Table26142567[[#This Row],[1]:[11]])-1)))</f>
        <v>1.6891891891891893E-4</v>
      </c>
      <c r="AC33" s="30" cm="1">
        <f t="array" ref="AC33">IF(Table26142567[[#This Row],[5]]="","",Table26142567[[#This Row],[Weight]:[Weight]]-(Table26142567[[#This Row],[Weight]:[Weight]]*((_xlfn.XMATCH(Table26142567[[#This Row],[5]],Table26142567[[#This Row],[1]:[11]],0))-1)/(COUNTA(Table26142567[[#This Row],[1]:[11]])-COUNTBLANK(Table26142567[[#This Row],[1]:[11]])-1)))</f>
        <v>0</v>
      </c>
      <c r="AD33" s="30" t="str" cm="1">
        <f t="array" ref="AD33">IF(Table26142567[[#This Row],[6]]="","",Table26142567[[#This Row],[Weight]:[Weight]]-(Table26142567[[#This Row],[Weight]:[Weight]]*((_xlfn.XMATCH(Table26142567[[#This Row],[6]],Table26142567[[#This Row],[1]:[11]],0))-1)/(COUNTA(Table26142567[[#This Row],[1]:[11]])-COUNTBLANK(Table26142567[[#This Row],[1]:[11]])-1)))</f>
        <v/>
      </c>
      <c r="AE33" s="30" t="str" cm="1">
        <f t="array" ref="AE33">IF(Table26142567[[#This Row],[7]]="","",Table26142567[[#This Row],[Weight]:[Weight]]-(Table26142567[[#This Row],[Weight]:[Weight]]*((_xlfn.XMATCH(Table26142567[[#This Row],[7]],Table26142567[[#This Row],[1]:[11]],0))-1)/(COUNTA(Table26142567[[#This Row],[1]:[11]])-COUNTBLANK(Table26142567[[#This Row],[1]:[11]])-1)))</f>
        <v/>
      </c>
      <c r="AF33" s="30" t="str" cm="1">
        <f t="array" ref="AF33">IF(Table26142567[[#This Row],[8]]="","",Table26142567[[#This Row],[Weight]:[Weight]]-(Table26142567[[#This Row],[Weight]:[Weight]]*((_xlfn.XMATCH(Table26142567[[#This Row],[8]],Table26142567[[#This Row],[1]:[11]],0))-1)/(COUNTA(Table26142567[[#This Row],[1]:[11]])-COUNTBLANK(Table26142567[[#This Row],[1]:[11]])-1)))</f>
        <v/>
      </c>
      <c r="AG33" s="30" t="str" cm="1">
        <f t="array" ref="AG33">IF(Table26142567[[#This Row],[9]]="","",Table26142567[[#This Row],[Weight]:[Weight]]-(Table26142567[[#This Row],[Weight]:[Weight]]*((_xlfn.XMATCH(Table26142567[[#This Row],[9]],Table26142567[[#This Row],[1]:[11]],0))-1)/(COUNTA(Table26142567[[#This Row],[1]:[11]])-COUNTBLANK(Table26142567[[#This Row],[1]:[11]])-1)))</f>
        <v/>
      </c>
      <c r="AH33" s="30" t="str" cm="1">
        <f t="array" ref="AH33">IF(Table26142567[[#This Row],[10]]="","",Table26142567[[#This Row],[Weight]:[Weight]]-(Table26142567[[#This Row],[Weight]:[Weight]]*((_xlfn.XMATCH(Table26142567[[#This Row],[10]],Table26142567[[#This Row],[1]:[11]],0))-1)/(COUNTA(Table26142567[[#This Row],[1]:[11]])-COUNTBLANK(Table26142567[[#This Row],[1]:[11]])-1)))</f>
        <v/>
      </c>
      <c r="AI33" s="30" t="str" cm="1">
        <f t="array" ref="AI33">IF(Table26142567[[#This Row],[11]]="","",Table26142567[[#This Row],[Weight]:[Weight]]-(Table26142567[[#This Row],[Weight]:[Weight]]*((_xlfn.XMATCH(Table26142567[[#This Row],[11]],Table26142567[[#This Row],[1]:[11]],0))-1)/(COUNTA(Table26142567[[#This Row],[1]:[11]])-COUNTBLANK(Table26142567[[#This Row],[1]:[11]])-1)))</f>
        <v/>
      </c>
    </row>
    <row r="34" spans="1:35" ht="108" x14ac:dyDescent="0.2">
      <c r="A34" s="20">
        <v>22</v>
      </c>
      <c r="B34" s="90" t="s">
        <v>414</v>
      </c>
      <c r="C34" s="119" t="s">
        <v>215</v>
      </c>
      <c r="D34" s="153"/>
      <c r="E34" s="153"/>
      <c r="F34" s="121" t="s">
        <v>60</v>
      </c>
      <c r="G34" s="148" cm="1">
        <f t="array" ref="G34">_xlfn.IFS(F34="","",F34="No interest",0,F34="Nice to have",1,F34="Useful",2,F34="Important",3,F34="Very important",4,F34="Critical",5,F34="Show stopper",6)</f>
        <v>6</v>
      </c>
      <c r="H34" s="149">
        <f t="shared" si="1"/>
        <v>6.756756756756756E-4</v>
      </c>
      <c r="I34" s="150" t="s">
        <v>321</v>
      </c>
      <c r="J34" s="35" t="str" cm="1">
        <f t="array" ref="J34">_xlfn.TEXTJOIN(","&amp;CHAR(10),,TEXT(Table26142567[[#This Row],[12]:[22]],"0,00%"))</f>
        <v>0,00%,
0,00%,
0,00%,
0,00%,
0,00%</v>
      </c>
      <c r="K34" s="26"/>
      <c r="L34" s="27" t="e">
        <f>H34-(H34*((MATCH(Table26142567[[#This Row],[Evaluators Response (SELECT)]],Table26142567[[#This Row],[1]:[11]],0)-1)/(COUNTA(Table26142567[[#This Row],[1]:[11]])-COUNTBLANK(Table26142567[[#This Row],[1]:[11]])-1)))</f>
        <v>#N/A</v>
      </c>
      <c r="M34" s="28"/>
      <c r="N34" s="29" t="str" cm="1">
        <f t="array" ref="N34">IFERROR(INDEX(_xlfn.UNIQUE(TRIM(_xlfn.TEXTSPLIT(Table26142567[[#This Row],[Selection Options]:[Selection Options]],","))),,N$11),"")</f>
        <v>100%: Supported as delivered "out of the box"</v>
      </c>
      <c r="O34" s="29" t="str" cm="1">
        <f t="array" ref="O34">IFERROR(INDEX(_xlfn.UNIQUE(TRIM(_xlfn.TEXTSPLIT(Table26142567[[#This Row],[Selection Options]:[Selection Options]],","))),,O$11),"")</f>
        <v xml:space="preserve">
75%: Supported via modifications (config)</v>
      </c>
      <c r="P34" s="29" t="str" cm="1">
        <f t="array" ref="P34">IFERROR(INDEX(_xlfn.UNIQUE(TRIM(_xlfn.TEXTSPLIT(Table26142567[[#This Row],[Selection Options]:[Selection Options]],","))),,P$11),"")</f>
        <v xml:space="preserve">
50%: Supported via a third party solution</v>
      </c>
      <c r="Q34" s="29" t="str" cm="1">
        <f t="array" ref="Q34">IFERROR(INDEX(_xlfn.UNIQUE(TRIM(_xlfn.TEXTSPLIT(Table26142567[[#This Row],[Selection Options]:[Selection Options]],","))),,Q$11),"")</f>
        <v xml:space="preserve">
25%: Supported via customisation (source code changes)</v>
      </c>
      <c r="R34" s="29" t="str" cm="1">
        <f t="array" ref="R34">IFERROR(INDEX(_xlfn.UNIQUE(TRIM(_xlfn.TEXTSPLIT(Table26142567[[#This Row],[Selection Options]:[Selection Options]],","))),,R$11),"")</f>
        <v xml:space="preserve">
 0%: Not currently supported</v>
      </c>
      <c r="S34" s="29" t="str" cm="1">
        <f t="array" ref="S34">IFERROR(INDEX(_xlfn.UNIQUE(TRIM(_xlfn.TEXTSPLIT(Table26142567[[#This Row],[Selection Options]:[Selection Options]],","))),,S$11),"")</f>
        <v/>
      </c>
      <c r="T34" s="29" t="str" cm="1">
        <f t="array" ref="T34">IFERROR(INDEX(_xlfn.UNIQUE(TRIM(_xlfn.TEXTSPLIT(Table26142567[[#This Row],[Selection Options]:[Selection Options]],","))),,T$11),"")</f>
        <v/>
      </c>
      <c r="U34" s="29" t="str" cm="1">
        <f t="array" ref="U34">IFERROR(INDEX(_xlfn.UNIQUE(TRIM(_xlfn.TEXTSPLIT(Table26142567[[#This Row],[Selection Options]:[Selection Options]],","))),,U$11),"")</f>
        <v/>
      </c>
      <c r="V34" s="29" t="str" cm="1">
        <f t="array" ref="V34">IFERROR(INDEX(_xlfn.UNIQUE(TRIM(_xlfn.TEXTSPLIT(Table26142567[[#This Row],[Selection Options]:[Selection Options]],","))),,V$11),"")</f>
        <v/>
      </c>
      <c r="W34" s="29" t="str" cm="1">
        <f t="array" ref="W34">IFERROR(INDEX(_xlfn.UNIQUE(TRIM(_xlfn.TEXTSPLIT(Table26142567[[#This Row],[Selection Options]:[Selection Options]],","))),,W$11),"")</f>
        <v/>
      </c>
      <c r="X34" s="29" t="str" cm="1">
        <f t="array" ref="X34">IFERROR(INDEX(_xlfn.UNIQUE(TRIM(_xlfn.TEXTSPLIT(Table26142567[[#This Row],[Selection Options]:[Selection Options]],","))),,X$11),"")</f>
        <v/>
      </c>
      <c r="Y34" s="30" cm="1">
        <f t="array" ref="Y34">IF(Table26142567[[#This Row],[1]]="","",Table26142567[[#This Row],[Weight]:[Weight]]-(Table26142567[[#This Row],[Weight]:[Weight]]*((_xlfn.XMATCH(Table26142567[[#This Row],[1]],Table26142567[[#This Row],[1]:[11]],0))-1)/(COUNTA(Table26142567[[#This Row],[1]:[11]])-COUNTBLANK(Table26142567[[#This Row],[1]:[11]])-1)))</f>
        <v>6.756756756756756E-4</v>
      </c>
      <c r="Z34" s="30" cm="1">
        <f t="array" ref="Z34">IF(Table26142567[[#This Row],[2]]="","",Table26142567[[#This Row],[Weight]:[Weight]]-(Table26142567[[#This Row],[Weight]:[Weight]]*((_xlfn.XMATCH(Table26142567[[#This Row],[2]],Table26142567[[#This Row],[1]:[11]],0))-1)/(COUNTA(Table26142567[[#This Row],[1]:[11]])-COUNTBLANK(Table26142567[[#This Row],[1]:[11]])-1)))</f>
        <v>5.0675675675675668E-4</v>
      </c>
      <c r="AA34" s="30" cm="1">
        <f t="array" ref="AA34">IF(Table26142567[[#This Row],[3]]="","",Table26142567[[#This Row],[Weight]:[Weight]]-(Table26142567[[#This Row],[Weight]:[Weight]]*((_xlfn.XMATCH(Table26142567[[#This Row],[3]],Table26142567[[#This Row],[1]:[11]],0))-1)/(COUNTA(Table26142567[[#This Row],[1]:[11]])-COUNTBLANK(Table26142567[[#This Row],[1]:[11]])-1)))</f>
        <v>3.378378378378378E-4</v>
      </c>
      <c r="AB34" s="30" cm="1">
        <f t="array" ref="AB34">IF(Table26142567[[#This Row],[4]]="","",Table26142567[[#This Row],[Weight]:[Weight]]-(Table26142567[[#This Row],[Weight]:[Weight]]*((_xlfn.XMATCH(Table26142567[[#This Row],[4]],Table26142567[[#This Row],[1]:[11]],0))-1)/(COUNTA(Table26142567[[#This Row],[1]:[11]])-COUNTBLANK(Table26142567[[#This Row],[1]:[11]])-1)))</f>
        <v>1.6891891891891893E-4</v>
      </c>
      <c r="AC34" s="30" cm="1">
        <f t="array" ref="AC34">IF(Table26142567[[#This Row],[5]]="","",Table26142567[[#This Row],[Weight]:[Weight]]-(Table26142567[[#This Row],[Weight]:[Weight]]*((_xlfn.XMATCH(Table26142567[[#This Row],[5]],Table26142567[[#This Row],[1]:[11]],0))-1)/(COUNTA(Table26142567[[#This Row],[1]:[11]])-COUNTBLANK(Table26142567[[#This Row],[1]:[11]])-1)))</f>
        <v>0</v>
      </c>
      <c r="AD34" s="30" t="str" cm="1">
        <f t="array" ref="AD34">IF(Table26142567[[#This Row],[6]]="","",Table26142567[[#This Row],[Weight]:[Weight]]-(Table26142567[[#This Row],[Weight]:[Weight]]*((_xlfn.XMATCH(Table26142567[[#This Row],[6]],Table26142567[[#This Row],[1]:[11]],0))-1)/(COUNTA(Table26142567[[#This Row],[1]:[11]])-COUNTBLANK(Table26142567[[#This Row],[1]:[11]])-1)))</f>
        <v/>
      </c>
      <c r="AE34" s="30" t="str" cm="1">
        <f t="array" ref="AE34">IF(Table26142567[[#This Row],[7]]="","",Table26142567[[#This Row],[Weight]:[Weight]]-(Table26142567[[#This Row],[Weight]:[Weight]]*((_xlfn.XMATCH(Table26142567[[#This Row],[7]],Table26142567[[#This Row],[1]:[11]],0))-1)/(COUNTA(Table26142567[[#This Row],[1]:[11]])-COUNTBLANK(Table26142567[[#This Row],[1]:[11]])-1)))</f>
        <v/>
      </c>
      <c r="AF34" s="30" t="str" cm="1">
        <f t="array" ref="AF34">IF(Table26142567[[#This Row],[8]]="","",Table26142567[[#This Row],[Weight]:[Weight]]-(Table26142567[[#This Row],[Weight]:[Weight]]*((_xlfn.XMATCH(Table26142567[[#This Row],[8]],Table26142567[[#This Row],[1]:[11]],0))-1)/(COUNTA(Table26142567[[#This Row],[1]:[11]])-COUNTBLANK(Table26142567[[#This Row],[1]:[11]])-1)))</f>
        <v/>
      </c>
      <c r="AG34" s="30" t="str" cm="1">
        <f t="array" ref="AG34">IF(Table26142567[[#This Row],[9]]="","",Table26142567[[#This Row],[Weight]:[Weight]]-(Table26142567[[#This Row],[Weight]:[Weight]]*((_xlfn.XMATCH(Table26142567[[#This Row],[9]],Table26142567[[#This Row],[1]:[11]],0))-1)/(COUNTA(Table26142567[[#This Row],[1]:[11]])-COUNTBLANK(Table26142567[[#This Row],[1]:[11]])-1)))</f>
        <v/>
      </c>
      <c r="AH34" s="30" t="str" cm="1">
        <f t="array" ref="AH34">IF(Table26142567[[#This Row],[10]]="","",Table26142567[[#This Row],[Weight]:[Weight]]-(Table26142567[[#This Row],[Weight]:[Weight]]*((_xlfn.XMATCH(Table26142567[[#This Row],[10]],Table26142567[[#This Row],[1]:[11]],0))-1)/(COUNTA(Table26142567[[#This Row],[1]:[11]])-COUNTBLANK(Table26142567[[#This Row],[1]:[11]])-1)))</f>
        <v/>
      </c>
      <c r="AI34" s="30" t="str" cm="1">
        <f t="array" ref="AI34">IF(Table26142567[[#This Row],[11]]="","",Table26142567[[#This Row],[Weight]:[Weight]]-(Table26142567[[#This Row],[Weight]:[Weight]]*((_xlfn.XMATCH(Table26142567[[#This Row],[11]],Table26142567[[#This Row],[1]:[11]],0))-1)/(COUNTA(Table26142567[[#This Row],[1]:[11]])-COUNTBLANK(Table26142567[[#This Row],[1]:[11]])-1)))</f>
        <v/>
      </c>
    </row>
    <row r="35" spans="1:35" ht="108" x14ac:dyDescent="0.2">
      <c r="A35" s="20">
        <v>23</v>
      </c>
      <c r="B35" s="90" t="s">
        <v>415</v>
      </c>
      <c r="C35" s="119" t="s">
        <v>215</v>
      </c>
      <c r="D35" s="153"/>
      <c r="E35" s="153"/>
      <c r="F35" s="121" t="s">
        <v>188</v>
      </c>
      <c r="G35" s="148" cm="1">
        <f t="array" ref="G35">_xlfn.IFS(F35="","",F35="No interest",0,F35="Nice to have",1,F35="Useful",2,F35="Important",3,F35="Very important",4,F35="Critical",5,F35="Show stopper",6)</f>
        <v>5</v>
      </c>
      <c r="H35" s="149">
        <f t="shared" si="1"/>
        <v>5.6306306306306306E-4</v>
      </c>
      <c r="I35" s="150" t="s">
        <v>321</v>
      </c>
      <c r="J35" s="35" t="str" cm="1">
        <f t="array" ref="J35">_xlfn.TEXTJOIN(","&amp;CHAR(10),,TEXT(Table26142567[[#This Row],[12]:[22]],"0,00%"))</f>
        <v>0,00%,
0,00%,
0,00%,
0,00%,
0,00%</v>
      </c>
      <c r="K35" s="26"/>
      <c r="L35" s="27" t="e">
        <f>H35-(H35*((MATCH(Table26142567[[#This Row],[Evaluators Response (SELECT)]],Table26142567[[#This Row],[1]:[11]],0)-1)/(COUNTA(Table26142567[[#This Row],[1]:[11]])-COUNTBLANK(Table26142567[[#This Row],[1]:[11]])-1)))</f>
        <v>#N/A</v>
      </c>
      <c r="M35" s="28"/>
      <c r="N35" s="29" t="str" cm="1">
        <f t="array" ref="N35">IFERROR(INDEX(_xlfn.UNIQUE(TRIM(_xlfn.TEXTSPLIT(Table26142567[[#This Row],[Selection Options]:[Selection Options]],","))),,N$11),"")</f>
        <v>100%: Supported as delivered "out of the box"</v>
      </c>
      <c r="O35" s="29" t="str" cm="1">
        <f t="array" ref="O35">IFERROR(INDEX(_xlfn.UNIQUE(TRIM(_xlfn.TEXTSPLIT(Table26142567[[#This Row],[Selection Options]:[Selection Options]],","))),,O$11),"")</f>
        <v xml:space="preserve">
75%: Supported via modifications (config)</v>
      </c>
      <c r="P35" s="29" t="str" cm="1">
        <f t="array" ref="P35">IFERROR(INDEX(_xlfn.UNIQUE(TRIM(_xlfn.TEXTSPLIT(Table26142567[[#This Row],[Selection Options]:[Selection Options]],","))),,P$11),"")</f>
        <v xml:space="preserve">
50%: Supported via a third party solution</v>
      </c>
      <c r="Q35" s="29" t="str" cm="1">
        <f t="array" ref="Q35">IFERROR(INDEX(_xlfn.UNIQUE(TRIM(_xlfn.TEXTSPLIT(Table26142567[[#This Row],[Selection Options]:[Selection Options]],","))),,Q$11),"")</f>
        <v xml:space="preserve">
25%: Supported via customisation (source code changes)</v>
      </c>
      <c r="R35" s="29" t="str" cm="1">
        <f t="array" ref="R35">IFERROR(INDEX(_xlfn.UNIQUE(TRIM(_xlfn.TEXTSPLIT(Table26142567[[#This Row],[Selection Options]:[Selection Options]],","))),,R$11),"")</f>
        <v xml:space="preserve">
 0%: Not currently supported</v>
      </c>
      <c r="S35" s="29" t="str" cm="1">
        <f t="array" ref="S35">IFERROR(INDEX(_xlfn.UNIQUE(TRIM(_xlfn.TEXTSPLIT(Table26142567[[#This Row],[Selection Options]:[Selection Options]],","))),,S$11),"")</f>
        <v/>
      </c>
      <c r="T35" s="29" t="str" cm="1">
        <f t="array" ref="T35">IFERROR(INDEX(_xlfn.UNIQUE(TRIM(_xlfn.TEXTSPLIT(Table26142567[[#This Row],[Selection Options]:[Selection Options]],","))),,T$11),"")</f>
        <v/>
      </c>
      <c r="U35" s="29" t="str" cm="1">
        <f t="array" ref="U35">IFERROR(INDEX(_xlfn.UNIQUE(TRIM(_xlfn.TEXTSPLIT(Table26142567[[#This Row],[Selection Options]:[Selection Options]],","))),,U$11),"")</f>
        <v/>
      </c>
      <c r="V35" s="29" t="str" cm="1">
        <f t="array" ref="V35">IFERROR(INDEX(_xlfn.UNIQUE(TRIM(_xlfn.TEXTSPLIT(Table26142567[[#This Row],[Selection Options]:[Selection Options]],","))),,V$11),"")</f>
        <v/>
      </c>
      <c r="W35" s="29" t="str" cm="1">
        <f t="array" ref="W35">IFERROR(INDEX(_xlfn.UNIQUE(TRIM(_xlfn.TEXTSPLIT(Table26142567[[#This Row],[Selection Options]:[Selection Options]],","))),,W$11),"")</f>
        <v/>
      </c>
      <c r="X35" s="29" t="str" cm="1">
        <f t="array" ref="X35">IFERROR(INDEX(_xlfn.UNIQUE(TRIM(_xlfn.TEXTSPLIT(Table26142567[[#This Row],[Selection Options]:[Selection Options]],","))),,X$11),"")</f>
        <v/>
      </c>
      <c r="Y35" s="30" cm="1">
        <f t="array" ref="Y35">IF(Table26142567[[#This Row],[1]]="","",Table26142567[[#This Row],[Weight]:[Weight]]-(Table26142567[[#This Row],[Weight]:[Weight]]*((_xlfn.XMATCH(Table26142567[[#This Row],[1]],Table26142567[[#This Row],[1]:[11]],0))-1)/(COUNTA(Table26142567[[#This Row],[1]:[11]])-COUNTBLANK(Table26142567[[#This Row],[1]:[11]])-1)))</f>
        <v>5.6306306306306306E-4</v>
      </c>
      <c r="Z35" s="30" cm="1">
        <f t="array" ref="Z35">IF(Table26142567[[#This Row],[2]]="","",Table26142567[[#This Row],[Weight]:[Weight]]-(Table26142567[[#This Row],[Weight]:[Weight]]*((_xlfn.XMATCH(Table26142567[[#This Row],[2]],Table26142567[[#This Row],[1]:[11]],0))-1)/(COUNTA(Table26142567[[#This Row],[1]:[11]])-COUNTBLANK(Table26142567[[#This Row],[1]:[11]])-1)))</f>
        <v>4.2229729729729732E-4</v>
      </c>
      <c r="AA35" s="30" cm="1">
        <f t="array" ref="AA35">IF(Table26142567[[#This Row],[3]]="","",Table26142567[[#This Row],[Weight]:[Weight]]-(Table26142567[[#This Row],[Weight]:[Weight]]*((_xlfn.XMATCH(Table26142567[[#This Row],[3]],Table26142567[[#This Row],[1]:[11]],0))-1)/(COUNTA(Table26142567[[#This Row],[1]:[11]])-COUNTBLANK(Table26142567[[#This Row],[1]:[11]])-1)))</f>
        <v>2.8153153153153153E-4</v>
      </c>
      <c r="AB35" s="30" cm="1">
        <f t="array" ref="AB35">IF(Table26142567[[#This Row],[4]]="","",Table26142567[[#This Row],[Weight]:[Weight]]-(Table26142567[[#This Row],[Weight]:[Weight]]*((_xlfn.XMATCH(Table26142567[[#This Row],[4]],Table26142567[[#This Row],[1]:[11]],0))-1)/(COUNTA(Table26142567[[#This Row],[1]:[11]])-COUNTBLANK(Table26142567[[#This Row],[1]:[11]])-1)))</f>
        <v>1.4076576576576574E-4</v>
      </c>
      <c r="AC35" s="30" cm="1">
        <f t="array" ref="AC35">IF(Table26142567[[#This Row],[5]]="","",Table26142567[[#This Row],[Weight]:[Weight]]-(Table26142567[[#This Row],[Weight]:[Weight]]*((_xlfn.XMATCH(Table26142567[[#This Row],[5]],Table26142567[[#This Row],[1]:[11]],0))-1)/(COUNTA(Table26142567[[#This Row],[1]:[11]])-COUNTBLANK(Table26142567[[#This Row],[1]:[11]])-1)))</f>
        <v>0</v>
      </c>
      <c r="AD35" s="30" t="str" cm="1">
        <f t="array" ref="AD35">IF(Table26142567[[#This Row],[6]]="","",Table26142567[[#This Row],[Weight]:[Weight]]-(Table26142567[[#This Row],[Weight]:[Weight]]*((_xlfn.XMATCH(Table26142567[[#This Row],[6]],Table26142567[[#This Row],[1]:[11]],0))-1)/(COUNTA(Table26142567[[#This Row],[1]:[11]])-COUNTBLANK(Table26142567[[#This Row],[1]:[11]])-1)))</f>
        <v/>
      </c>
      <c r="AE35" s="30" t="str" cm="1">
        <f t="array" ref="AE35">IF(Table26142567[[#This Row],[7]]="","",Table26142567[[#This Row],[Weight]:[Weight]]-(Table26142567[[#This Row],[Weight]:[Weight]]*((_xlfn.XMATCH(Table26142567[[#This Row],[7]],Table26142567[[#This Row],[1]:[11]],0))-1)/(COUNTA(Table26142567[[#This Row],[1]:[11]])-COUNTBLANK(Table26142567[[#This Row],[1]:[11]])-1)))</f>
        <v/>
      </c>
      <c r="AF35" s="30" t="str" cm="1">
        <f t="array" ref="AF35">IF(Table26142567[[#This Row],[8]]="","",Table26142567[[#This Row],[Weight]:[Weight]]-(Table26142567[[#This Row],[Weight]:[Weight]]*((_xlfn.XMATCH(Table26142567[[#This Row],[8]],Table26142567[[#This Row],[1]:[11]],0))-1)/(COUNTA(Table26142567[[#This Row],[1]:[11]])-COUNTBLANK(Table26142567[[#This Row],[1]:[11]])-1)))</f>
        <v/>
      </c>
      <c r="AG35" s="30" t="str" cm="1">
        <f t="array" ref="AG35">IF(Table26142567[[#This Row],[9]]="","",Table26142567[[#This Row],[Weight]:[Weight]]-(Table26142567[[#This Row],[Weight]:[Weight]]*((_xlfn.XMATCH(Table26142567[[#This Row],[9]],Table26142567[[#This Row],[1]:[11]],0))-1)/(COUNTA(Table26142567[[#This Row],[1]:[11]])-COUNTBLANK(Table26142567[[#This Row],[1]:[11]])-1)))</f>
        <v/>
      </c>
      <c r="AH35" s="30" t="str" cm="1">
        <f t="array" ref="AH35">IF(Table26142567[[#This Row],[10]]="","",Table26142567[[#This Row],[Weight]:[Weight]]-(Table26142567[[#This Row],[Weight]:[Weight]]*((_xlfn.XMATCH(Table26142567[[#This Row],[10]],Table26142567[[#This Row],[1]:[11]],0))-1)/(COUNTA(Table26142567[[#This Row],[1]:[11]])-COUNTBLANK(Table26142567[[#This Row],[1]:[11]])-1)))</f>
        <v/>
      </c>
      <c r="AI35" s="30" t="str" cm="1">
        <f t="array" ref="AI35">IF(Table26142567[[#This Row],[11]]="","",Table26142567[[#This Row],[Weight]:[Weight]]-(Table26142567[[#This Row],[Weight]:[Weight]]*((_xlfn.XMATCH(Table26142567[[#This Row],[11]],Table26142567[[#This Row],[1]:[11]],0))-1)/(COUNTA(Table26142567[[#This Row],[1]:[11]])-COUNTBLANK(Table26142567[[#This Row],[1]:[11]])-1)))</f>
        <v/>
      </c>
    </row>
    <row r="36" spans="1:35" ht="108" x14ac:dyDescent="0.2">
      <c r="A36" s="20">
        <v>24</v>
      </c>
      <c r="B36" s="90" t="s">
        <v>365</v>
      </c>
      <c r="C36" s="119" t="s">
        <v>215</v>
      </c>
      <c r="D36" s="153"/>
      <c r="E36" s="153"/>
      <c r="F36" s="121" t="s">
        <v>60</v>
      </c>
      <c r="G36" s="148" cm="1">
        <f t="array" ref="G36">_xlfn.IFS(F36="","",F36="No interest",0,F36="Nice to have",1,F36="Useful",2,F36="Important",3,F36="Very important",4,F36="Critical",5,F36="Show stopper",6)</f>
        <v>6</v>
      </c>
      <c r="H36" s="149">
        <f t="shared" si="1"/>
        <v>6.756756756756756E-4</v>
      </c>
      <c r="I36" s="150" t="s">
        <v>321</v>
      </c>
      <c r="J36" s="35" t="str" cm="1">
        <f t="array" ref="J36">_xlfn.TEXTJOIN(","&amp;CHAR(10),,TEXT(Table26142567[[#This Row],[12]:[22]],"0,00%"))</f>
        <v>0,00%,
0,00%,
0,00%,
0,00%,
0,00%</v>
      </c>
      <c r="K36" s="26"/>
      <c r="L36" s="27" t="e">
        <f>H36-(H36*((MATCH(Table26142567[[#This Row],[Evaluators Response (SELECT)]],Table26142567[[#This Row],[1]:[11]],0)-1)/(COUNTA(Table26142567[[#This Row],[1]:[11]])-COUNTBLANK(Table26142567[[#This Row],[1]:[11]])-1)))</f>
        <v>#N/A</v>
      </c>
      <c r="M36" s="28"/>
      <c r="N36" s="29" t="str" cm="1">
        <f t="array" ref="N36">IFERROR(INDEX(_xlfn.UNIQUE(TRIM(_xlfn.TEXTSPLIT(Table26142567[[#This Row],[Selection Options]:[Selection Options]],","))),,N$11),"")</f>
        <v>100%: Supported as delivered "out of the box"</v>
      </c>
      <c r="O36" s="29" t="str" cm="1">
        <f t="array" ref="O36">IFERROR(INDEX(_xlfn.UNIQUE(TRIM(_xlfn.TEXTSPLIT(Table26142567[[#This Row],[Selection Options]:[Selection Options]],","))),,O$11),"")</f>
        <v xml:space="preserve">
75%: Supported via modifications (config)</v>
      </c>
      <c r="P36" s="29" t="str" cm="1">
        <f t="array" ref="P36">IFERROR(INDEX(_xlfn.UNIQUE(TRIM(_xlfn.TEXTSPLIT(Table26142567[[#This Row],[Selection Options]:[Selection Options]],","))),,P$11),"")</f>
        <v xml:space="preserve">
50%: Supported via a third party solution</v>
      </c>
      <c r="Q36" s="29" t="str" cm="1">
        <f t="array" ref="Q36">IFERROR(INDEX(_xlfn.UNIQUE(TRIM(_xlfn.TEXTSPLIT(Table26142567[[#This Row],[Selection Options]:[Selection Options]],","))),,Q$11),"")</f>
        <v xml:space="preserve">
25%: Supported via customisation (source code changes)</v>
      </c>
      <c r="R36" s="29" t="str" cm="1">
        <f t="array" ref="R36">IFERROR(INDEX(_xlfn.UNIQUE(TRIM(_xlfn.TEXTSPLIT(Table26142567[[#This Row],[Selection Options]:[Selection Options]],","))),,R$11),"")</f>
        <v xml:space="preserve">
 0%: Not currently supported</v>
      </c>
      <c r="S36" s="29" t="str" cm="1">
        <f t="array" ref="S36">IFERROR(INDEX(_xlfn.UNIQUE(TRIM(_xlfn.TEXTSPLIT(Table26142567[[#This Row],[Selection Options]:[Selection Options]],","))),,S$11),"")</f>
        <v/>
      </c>
      <c r="T36" s="29" t="str" cm="1">
        <f t="array" ref="T36">IFERROR(INDEX(_xlfn.UNIQUE(TRIM(_xlfn.TEXTSPLIT(Table26142567[[#This Row],[Selection Options]:[Selection Options]],","))),,T$11),"")</f>
        <v/>
      </c>
      <c r="U36" s="29" t="str" cm="1">
        <f t="array" ref="U36">IFERROR(INDEX(_xlfn.UNIQUE(TRIM(_xlfn.TEXTSPLIT(Table26142567[[#This Row],[Selection Options]:[Selection Options]],","))),,U$11),"")</f>
        <v/>
      </c>
      <c r="V36" s="29" t="str" cm="1">
        <f t="array" ref="V36">IFERROR(INDEX(_xlfn.UNIQUE(TRIM(_xlfn.TEXTSPLIT(Table26142567[[#This Row],[Selection Options]:[Selection Options]],","))),,V$11),"")</f>
        <v/>
      </c>
      <c r="W36" s="29" t="str" cm="1">
        <f t="array" ref="W36">IFERROR(INDEX(_xlfn.UNIQUE(TRIM(_xlfn.TEXTSPLIT(Table26142567[[#This Row],[Selection Options]:[Selection Options]],","))),,W$11),"")</f>
        <v/>
      </c>
      <c r="X36" s="29" t="str" cm="1">
        <f t="array" ref="X36">IFERROR(INDEX(_xlfn.UNIQUE(TRIM(_xlfn.TEXTSPLIT(Table26142567[[#This Row],[Selection Options]:[Selection Options]],","))),,X$11),"")</f>
        <v/>
      </c>
      <c r="Y36" s="30" cm="1">
        <f t="array" ref="Y36">IF(Table26142567[[#This Row],[1]]="","",Table26142567[[#This Row],[Weight]:[Weight]]-(Table26142567[[#This Row],[Weight]:[Weight]]*((_xlfn.XMATCH(Table26142567[[#This Row],[1]],Table26142567[[#This Row],[1]:[11]],0))-1)/(COUNTA(Table26142567[[#This Row],[1]:[11]])-COUNTBLANK(Table26142567[[#This Row],[1]:[11]])-1)))</f>
        <v>6.756756756756756E-4</v>
      </c>
      <c r="Z36" s="30" cm="1">
        <f t="array" ref="Z36">IF(Table26142567[[#This Row],[2]]="","",Table26142567[[#This Row],[Weight]:[Weight]]-(Table26142567[[#This Row],[Weight]:[Weight]]*((_xlfn.XMATCH(Table26142567[[#This Row],[2]],Table26142567[[#This Row],[1]:[11]],0))-1)/(COUNTA(Table26142567[[#This Row],[1]:[11]])-COUNTBLANK(Table26142567[[#This Row],[1]:[11]])-1)))</f>
        <v>5.0675675675675668E-4</v>
      </c>
      <c r="AA36" s="30" cm="1">
        <f t="array" ref="AA36">IF(Table26142567[[#This Row],[3]]="","",Table26142567[[#This Row],[Weight]:[Weight]]-(Table26142567[[#This Row],[Weight]:[Weight]]*((_xlfn.XMATCH(Table26142567[[#This Row],[3]],Table26142567[[#This Row],[1]:[11]],0))-1)/(COUNTA(Table26142567[[#This Row],[1]:[11]])-COUNTBLANK(Table26142567[[#This Row],[1]:[11]])-1)))</f>
        <v>3.378378378378378E-4</v>
      </c>
      <c r="AB36" s="30" cm="1">
        <f t="array" ref="AB36">IF(Table26142567[[#This Row],[4]]="","",Table26142567[[#This Row],[Weight]:[Weight]]-(Table26142567[[#This Row],[Weight]:[Weight]]*((_xlfn.XMATCH(Table26142567[[#This Row],[4]],Table26142567[[#This Row],[1]:[11]],0))-1)/(COUNTA(Table26142567[[#This Row],[1]:[11]])-COUNTBLANK(Table26142567[[#This Row],[1]:[11]])-1)))</f>
        <v>1.6891891891891893E-4</v>
      </c>
      <c r="AC36" s="30" cm="1">
        <f t="array" ref="AC36">IF(Table26142567[[#This Row],[5]]="","",Table26142567[[#This Row],[Weight]:[Weight]]-(Table26142567[[#This Row],[Weight]:[Weight]]*((_xlfn.XMATCH(Table26142567[[#This Row],[5]],Table26142567[[#This Row],[1]:[11]],0))-1)/(COUNTA(Table26142567[[#This Row],[1]:[11]])-COUNTBLANK(Table26142567[[#This Row],[1]:[11]])-1)))</f>
        <v>0</v>
      </c>
      <c r="AD36" s="30" t="str" cm="1">
        <f t="array" ref="AD36">IF(Table26142567[[#This Row],[6]]="","",Table26142567[[#This Row],[Weight]:[Weight]]-(Table26142567[[#This Row],[Weight]:[Weight]]*((_xlfn.XMATCH(Table26142567[[#This Row],[6]],Table26142567[[#This Row],[1]:[11]],0))-1)/(COUNTA(Table26142567[[#This Row],[1]:[11]])-COUNTBLANK(Table26142567[[#This Row],[1]:[11]])-1)))</f>
        <v/>
      </c>
      <c r="AE36" s="30" t="str" cm="1">
        <f t="array" ref="AE36">IF(Table26142567[[#This Row],[7]]="","",Table26142567[[#This Row],[Weight]:[Weight]]-(Table26142567[[#This Row],[Weight]:[Weight]]*((_xlfn.XMATCH(Table26142567[[#This Row],[7]],Table26142567[[#This Row],[1]:[11]],0))-1)/(COUNTA(Table26142567[[#This Row],[1]:[11]])-COUNTBLANK(Table26142567[[#This Row],[1]:[11]])-1)))</f>
        <v/>
      </c>
      <c r="AF36" s="30" t="str" cm="1">
        <f t="array" ref="AF36">IF(Table26142567[[#This Row],[8]]="","",Table26142567[[#This Row],[Weight]:[Weight]]-(Table26142567[[#This Row],[Weight]:[Weight]]*((_xlfn.XMATCH(Table26142567[[#This Row],[8]],Table26142567[[#This Row],[1]:[11]],0))-1)/(COUNTA(Table26142567[[#This Row],[1]:[11]])-COUNTBLANK(Table26142567[[#This Row],[1]:[11]])-1)))</f>
        <v/>
      </c>
      <c r="AG36" s="30" t="str" cm="1">
        <f t="array" ref="AG36">IF(Table26142567[[#This Row],[9]]="","",Table26142567[[#This Row],[Weight]:[Weight]]-(Table26142567[[#This Row],[Weight]:[Weight]]*((_xlfn.XMATCH(Table26142567[[#This Row],[9]],Table26142567[[#This Row],[1]:[11]],0))-1)/(COUNTA(Table26142567[[#This Row],[1]:[11]])-COUNTBLANK(Table26142567[[#This Row],[1]:[11]])-1)))</f>
        <v/>
      </c>
      <c r="AH36" s="30" t="str" cm="1">
        <f t="array" ref="AH36">IF(Table26142567[[#This Row],[10]]="","",Table26142567[[#This Row],[Weight]:[Weight]]-(Table26142567[[#This Row],[Weight]:[Weight]]*((_xlfn.XMATCH(Table26142567[[#This Row],[10]],Table26142567[[#This Row],[1]:[11]],0))-1)/(COUNTA(Table26142567[[#This Row],[1]:[11]])-COUNTBLANK(Table26142567[[#This Row],[1]:[11]])-1)))</f>
        <v/>
      </c>
      <c r="AI36" s="30" t="str" cm="1">
        <f t="array" ref="AI36">IF(Table26142567[[#This Row],[11]]="","",Table26142567[[#This Row],[Weight]:[Weight]]-(Table26142567[[#This Row],[Weight]:[Weight]]*((_xlfn.XMATCH(Table26142567[[#This Row],[11]],Table26142567[[#This Row],[1]:[11]],0))-1)/(COUNTA(Table26142567[[#This Row],[1]:[11]])-COUNTBLANK(Table26142567[[#This Row],[1]:[11]])-1)))</f>
        <v/>
      </c>
    </row>
    <row r="37" spans="1:35" ht="108" x14ac:dyDescent="0.2">
      <c r="A37" s="20">
        <v>25</v>
      </c>
      <c r="B37" s="90" t="s">
        <v>366</v>
      </c>
      <c r="C37" s="119" t="s">
        <v>215</v>
      </c>
      <c r="D37" s="153"/>
      <c r="E37" s="153"/>
      <c r="F37" s="121" t="s">
        <v>183</v>
      </c>
      <c r="G37" s="148" cm="1">
        <f t="array" ref="G37">_xlfn.IFS(F37="","",F37="No interest",0,F37="Nice to have",1,F37="Useful",2,F37="Important",3,F37="Very important",4,F37="Critical",5,F37="Show stopper",6)</f>
        <v>4</v>
      </c>
      <c r="H37" s="149">
        <f t="shared" si="1"/>
        <v>4.504504504504504E-4</v>
      </c>
      <c r="I37" s="150" t="s">
        <v>321</v>
      </c>
      <c r="J37" s="35" t="str" cm="1">
        <f t="array" ref="J37">_xlfn.TEXTJOIN(","&amp;CHAR(10),,TEXT(Table26142567[[#This Row],[12]:[22]],"0,00%"))</f>
        <v>0,00%,
0,00%,
0,00%,
0,00%,
0,00%</v>
      </c>
      <c r="K37" s="26"/>
      <c r="L37" s="27" t="e">
        <f>H37-(H37*((MATCH(Table26142567[[#This Row],[Evaluators Response (SELECT)]],Table26142567[[#This Row],[1]:[11]],0)-1)/(COUNTA(Table26142567[[#This Row],[1]:[11]])-COUNTBLANK(Table26142567[[#This Row],[1]:[11]])-1)))</f>
        <v>#N/A</v>
      </c>
      <c r="M37" s="28"/>
      <c r="N37" s="29" t="str" cm="1">
        <f t="array" ref="N37">IFERROR(INDEX(_xlfn.UNIQUE(TRIM(_xlfn.TEXTSPLIT(Table26142567[[#This Row],[Selection Options]:[Selection Options]],","))),,N$11),"")</f>
        <v>100%: Supported as delivered "out of the box"</v>
      </c>
      <c r="O37" s="29" t="str" cm="1">
        <f t="array" ref="O37">IFERROR(INDEX(_xlfn.UNIQUE(TRIM(_xlfn.TEXTSPLIT(Table26142567[[#This Row],[Selection Options]:[Selection Options]],","))),,O$11),"")</f>
        <v xml:space="preserve">
75%: Supported via modifications (config)</v>
      </c>
      <c r="P37" s="29" t="str" cm="1">
        <f t="array" ref="P37">IFERROR(INDEX(_xlfn.UNIQUE(TRIM(_xlfn.TEXTSPLIT(Table26142567[[#This Row],[Selection Options]:[Selection Options]],","))),,P$11),"")</f>
        <v xml:space="preserve">
50%: Supported via a third party solution</v>
      </c>
      <c r="Q37" s="29" t="str" cm="1">
        <f t="array" ref="Q37">IFERROR(INDEX(_xlfn.UNIQUE(TRIM(_xlfn.TEXTSPLIT(Table26142567[[#This Row],[Selection Options]:[Selection Options]],","))),,Q$11),"")</f>
        <v xml:space="preserve">
25%: Supported via customisation (source code changes)</v>
      </c>
      <c r="R37" s="29" t="str" cm="1">
        <f t="array" ref="R37">IFERROR(INDEX(_xlfn.UNIQUE(TRIM(_xlfn.TEXTSPLIT(Table26142567[[#This Row],[Selection Options]:[Selection Options]],","))),,R$11),"")</f>
        <v xml:space="preserve">
 0%: Not currently supported</v>
      </c>
      <c r="S37" s="29" t="str" cm="1">
        <f t="array" ref="S37">IFERROR(INDEX(_xlfn.UNIQUE(TRIM(_xlfn.TEXTSPLIT(Table26142567[[#This Row],[Selection Options]:[Selection Options]],","))),,S$11),"")</f>
        <v/>
      </c>
      <c r="T37" s="29" t="str" cm="1">
        <f t="array" ref="T37">IFERROR(INDEX(_xlfn.UNIQUE(TRIM(_xlfn.TEXTSPLIT(Table26142567[[#This Row],[Selection Options]:[Selection Options]],","))),,T$11),"")</f>
        <v/>
      </c>
      <c r="U37" s="29" t="str" cm="1">
        <f t="array" ref="U37">IFERROR(INDEX(_xlfn.UNIQUE(TRIM(_xlfn.TEXTSPLIT(Table26142567[[#This Row],[Selection Options]:[Selection Options]],","))),,U$11),"")</f>
        <v/>
      </c>
      <c r="V37" s="29" t="str" cm="1">
        <f t="array" ref="V37">IFERROR(INDEX(_xlfn.UNIQUE(TRIM(_xlfn.TEXTSPLIT(Table26142567[[#This Row],[Selection Options]:[Selection Options]],","))),,V$11),"")</f>
        <v/>
      </c>
      <c r="W37" s="29" t="str" cm="1">
        <f t="array" ref="W37">IFERROR(INDEX(_xlfn.UNIQUE(TRIM(_xlfn.TEXTSPLIT(Table26142567[[#This Row],[Selection Options]:[Selection Options]],","))),,W$11),"")</f>
        <v/>
      </c>
      <c r="X37" s="29" t="str" cm="1">
        <f t="array" ref="X37">IFERROR(INDEX(_xlfn.UNIQUE(TRIM(_xlfn.TEXTSPLIT(Table26142567[[#This Row],[Selection Options]:[Selection Options]],","))),,X$11),"")</f>
        <v/>
      </c>
      <c r="Y37" s="30" cm="1">
        <f t="array" ref="Y37">IF(Table26142567[[#This Row],[1]]="","",Table26142567[[#This Row],[Weight]:[Weight]]-(Table26142567[[#This Row],[Weight]:[Weight]]*((_xlfn.XMATCH(Table26142567[[#This Row],[1]],Table26142567[[#This Row],[1]:[11]],0))-1)/(COUNTA(Table26142567[[#This Row],[1]:[11]])-COUNTBLANK(Table26142567[[#This Row],[1]:[11]])-1)))</f>
        <v>4.504504504504504E-4</v>
      </c>
      <c r="Z37" s="30" cm="1">
        <f t="array" ref="Z37">IF(Table26142567[[#This Row],[2]]="","",Table26142567[[#This Row],[Weight]:[Weight]]-(Table26142567[[#This Row],[Weight]:[Weight]]*((_xlfn.XMATCH(Table26142567[[#This Row],[2]],Table26142567[[#This Row],[1]:[11]],0))-1)/(COUNTA(Table26142567[[#This Row],[1]:[11]])-COUNTBLANK(Table26142567[[#This Row],[1]:[11]])-1)))</f>
        <v>3.378378378378378E-4</v>
      </c>
      <c r="AA37" s="30" cm="1">
        <f t="array" ref="AA37">IF(Table26142567[[#This Row],[3]]="","",Table26142567[[#This Row],[Weight]:[Weight]]-(Table26142567[[#This Row],[Weight]:[Weight]]*((_xlfn.XMATCH(Table26142567[[#This Row],[3]],Table26142567[[#This Row],[1]:[11]],0))-1)/(COUNTA(Table26142567[[#This Row],[1]:[11]])-COUNTBLANK(Table26142567[[#This Row],[1]:[11]])-1)))</f>
        <v>2.252252252252252E-4</v>
      </c>
      <c r="AB37" s="30" cm="1">
        <f t="array" ref="AB37">IF(Table26142567[[#This Row],[4]]="","",Table26142567[[#This Row],[Weight]:[Weight]]-(Table26142567[[#This Row],[Weight]:[Weight]]*((_xlfn.XMATCH(Table26142567[[#This Row],[4]],Table26142567[[#This Row],[1]:[11]],0))-1)/(COUNTA(Table26142567[[#This Row],[1]:[11]])-COUNTBLANK(Table26142567[[#This Row],[1]:[11]])-1)))</f>
        <v>1.126126126126126E-4</v>
      </c>
      <c r="AC37" s="30" cm="1">
        <f t="array" ref="AC37">IF(Table26142567[[#This Row],[5]]="","",Table26142567[[#This Row],[Weight]:[Weight]]-(Table26142567[[#This Row],[Weight]:[Weight]]*((_xlfn.XMATCH(Table26142567[[#This Row],[5]],Table26142567[[#This Row],[1]:[11]],0))-1)/(COUNTA(Table26142567[[#This Row],[1]:[11]])-COUNTBLANK(Table26142567[[#This Row],[1]:[11]])-1)))</f>
        <v>0</v>
      </c>
      <c r="AD37" s="30" t="str" cm="1">
        <f t="array" ref="AD37">IF(Table26142567[[#This Row],[6]]="","",Table26142567[[#This Row],[Weight]:[Weight]]-(Table26142567[[#This Row],[Weight]:[Weight]]*((_xlfn.XMATCH(Table26142567[[#This Row],[6]],Table26142567[[#This Row],[1]:[11]],0))-1)/(COUNTA(Table26142567[[#This Row],[1]:[11]])-COUNTBLANK(Table26142567[[#This Row],[1]:[11]])-1)))</f>
        <v/>
      </c>
      <c r="AE37" s="30" t="str" cm="1">
        <f t="array" ref="AE37">IF(Table26142567[[#This Row],[7]]="","",Table26142567[[#This Row],[Weight]:[Weight]]-(Table26142567[[#This Row],[Weight]:[Weight]]*((_xlfn.XMATCH(Table26142567[[#This Row],[7]],Table26142567[[#This Row],[1]:[11]],0))-1)/(COUNTA(Table26142567[[#This Row],[1]:[11]])-COUNTBLANK(Table26142567[[#This Row],[1]:[11]])-1)))</f>
        <v/>
      </c>
      <c r="AF37" s="30" t="str" cm="1">
        <f t="array" ref="AF37">IF(Table26142567[[#This Row],[8]]="","",Table26142567[[#This Row],[Weight]:[Weight]]-(Table26142567[[#This Row],[Weight]:[Weight]]*((_xlfn.XMATCH(Table26142567[[#This Row],[8]],Table26142567[[#This Row],[1]:[11]],0))-1)/(COUNTA(Table26142567[[#This Row],[1]:[11]])-COUNTBLANK(Table26142567[[#This Row],[1]:[11]])-1)))</f>
        <v/>
      </c>
      <c r="AG37" s="30" t="str" cm="1">
        <f t="array" ref="AG37">IF(Table26142567[[#This Row],[9]]="","",Table26142567[[#This Row],[Weight]:[Weight]]-(Table26142567[[#This Row],[Weight]:[Weight]]*((_xlfn.XMATCH(Table26142567[[#This Row],[9]],Table26142567[[#This Row],[1]:[11]],0))-1)/(COUNTA(Table26142567[[#This Row],[1]:[11]])-COUNTBLANK(Table26142567[[#This Row],[1]:[11]])-1)))</f>
        <v/>
      </c>
      <c r="AH37" s="30" t="str" cm="1">
        <f t="array" ref="AH37">IF(Table26142567[[#This Row],[10]]="","",Table26142567[[#This Row],[Weight]:[Weight]]-(Table26142567[[#This Row],[Weight]:[Weight]]*((_xlfn.XMATCH(Table26142567[[#This Row],[10]],Table26142567[[#This Row],[1]:[11]],0))-1)/(COUNTA(Table26142567[[#This Row],[1]:[11]])-COUNTBLANK(Table26142567[[#This Row],[1]:[11]])-1)))</f>
        <v/>
      </c>
      <c r="AI37" s="30" t="str" cm="1">
        <f t="array" ref="AI37">IF(Table26142567[[#This Row],[11]]="","",Table26142567[[#This Row],[Weight]:[Weight]]-(Table26142567[[#This Row],[Weight]:[Weight]]*((_xlfn.XMATCH(Table26142567[[#This Row],[11]],Table26142567[[#This Row],[1]:[11]],0))-1)/(COUNTA(Table26142567[[#This Row],[1]:[11]])-COUNTBLANK(Table26142567[[#This Row],[1]:[11]])-1)))</f>
        <v/>
      </c>
    </row>
    <row r="38" spans="1:35" ht="108" x14ac:dyDescent="0.2">
      <c r="A38" s="20">
        <v>26</v>
      </c>
      <c r="B38" s="90" t="s">
        <v>416</v>
      </c>
      <c r="C38" s="119" t="s">
        <v>215</v>
      </c>
      <c r="D38" s="153"/>
      <c r="E38" s="153"/>
      <c r="F38" s="121" t="s">
        <v>188</v>
      </c>
      <c r="G38" s="148" cm="1">
        <f t="array" ref="G38">_xlfn.IFS(F38="","",F38="No interest",0,F38="Nice to have",1,F38="Useful",2,F38="Important",3,F38="Very important",4,F38="Critical",5,F38="Show stopper",6)</f>
        <v>5</v>
      </c>
      <c r="H38" s="149">
        <f t="shared" si="1"/>
        <v>5.6306306306306306E-4</v>
      </c>
      <c r="I38" s="150" t="s">
        <v>321</v>
      </c>
      <c r="J38" s="35" t="str" cm="1">
        <f t="array" ref="J38">_xlfn.TEXTJOIN(","&amp;CHAR(10),,TEXT(Table26142567[[#This Row],[12]:[22]],"0,00%"))</f>
        <v>0,00%,
0,00%,
0,00%,
0,00%,
0,00%</v>
      </c>
      <c r="K38" s="26"/>
      <c r="L38" s="27" t="e">
        <f>H38-(H38*((MATCH(Table26142567[[#This Row],[Evaluators Response (SELECT)]],Table26142567[[#This Row],[1]:[11]],0)-1)/(COUNTA(Table26142567[[#This Row],[1]:[11]])-COUNTBLANK(Table26142567[[#This Row],[1]:[11]])-1)))</f>
        <v>#N/A</v>
      </c>
      <c r="M38" s="28"/>
      <c r="N38" s="29" t="str" cm="1">
        <f t="array" ref="N38">IFERROR(INDEX(_xlfn.UNIQUE(TRIM(_xlfn.TEXTSPLIT(Table26142567[[#This Row],[Selection Options]:[Selection Options]],","))),,N$11),"")</f>
        <v>100%: Supported as delivered "out of the box"</v>
      </c>
      <c r="O38" s="29" t="str" cm="1">
        <f t="array" ref="O38">IFERROR(INDEX(_xlfn.UNIQUE(TRIM(_xlfn.TEXTSPLIT(Table26142567[[#This Row],[Selection Options]:[Selection Options]],","))),,O$11),"")</f>
        <v xml:space="preserve">
75%: Supported via modifications (config)</v>
      </c>
      <c r="P38" s="29" t="str" cm="1">
        <f t="array" ref="P38">IFERROR(INDEX(_xlfn.UNIQUE(TRIM(_xlfn.TEXTSPLIT(Table26142567[[#This Row],[Selection Options]:[Selection Options]],","))),,P$11),"")</f>
        <v xml:space="preserve">
50%: Supported via a third party solution</v>
      </c>
      <c r="Q38" s="29" t="str" cm="1">
        <f t="array" ref="Q38">IFERROR(INDEX(_xlfn.UNIQUE(TRIM(_xlfn.TEXTSPLIT(Table26142567[[#This Row],[Selection Options]:[Selection Options]],","))),,Q$11),"")</f>
        <v xml:space="preserve">
25%: Supported via customisation (source code changes)</v>
      </c>
      <c r="R38" s="29" t="str" cm="1">
        <f t="array" ref="R38">IFERROR(INDEX(_xlfn.UNIQUE(TRIM(_xlfn.TEXTSPLIT(Table26142567[[#This Row],[Selection Options]:[Selection Options]],","))),,R$11),"")</f>
        <v xml:space="preserve">
 0%: Not currently supported</v>
      </c>
      <c r="S38" s="29" t="str" cm="1">
        <f t="array" ref="S38">IFERROR(INDEX(_xlfn.UNIQUE(TRIM(_xlfn.TEXTSPLIT(Table26142567[[#This Row],[Selection Options]:[Selection Options]],","))),,S$11),"")</f>
        <v/>
      </c>
      <c r="T38" s="29" t="str" cm="1">
        <f t="array" ref="T38">IFERROR(INDEX(_xlfn.UNIQUE(TRIM(_xlfn.TEXTSPLIT(Table26142567[[#This Row],[Selection Options]:[Selection Options]],","))),,T$11),"")</f>
        <v/>
      </c>
      <c r="U38" s="29" t="str" cm="1">
        <f t="array" ref="U38">IFERROR(INDEX(_xlfn.UNIQUE(TRIM(_xlfn.TEXTSPLIT(Table26142567[[#This Row],[Selection Options]:[Selection Options]],","))),,U$11),"")</f>
        <v/>
      </c>
      <c r="V38" s="29" t="str" cm="1">
        <f t="array" ref="V38">IFERROR(INDEX(_xlfn.UNIQUE(TRIM(_xlfn.TEXTSPLIT(Table26142567[[#This Row],[Selection Options]:[Selection Options]],","))),,V$11),"")</f>
        <v/>
      </c>
      <c r="W38" s="29" t="str" cm="1">
        <f t="array" ref="W38">IFERROR(INDEX(_xlfn.UNIQUE(TRIM(_xlfn.TEXTSPLIT(Table26142567[[#This Row],[Selection Options]:[Selection Options]],","))),,W$11),"")</f>
        <v/>
      </c>
      <c r="X38" s="29" t="str" cm="1">
        <f t="array" ref="X38">IFERROR(INDEX(_xlfn.UNIQUE(TRIM(_xlfn.TEXTSPLIT(Table26142567[[#This Row],[Selection Options]:[Selection Options]],","))),,X$11),"")</f>
        <v/>
      </c>
      <c r="Y38" s="30" cm="1">
        <f t="array" ref="Y38">IF(Table26142567[[#This Row],[1]]="","",Table26142567[[#This Row],[Weight]:[Weight]]-(Table26142567[[#This Row],[Weight]:[Weight]]*((_xlfn.XMATCH(Table26142567[[#This Row],[1]],Table26142567[[#This Row],[1]:[11]],0))-1)/(COUNTA(Table26142567[[#This Row],[1]:[11]])-COUNTBLANK(Table26142567[[#This Row],[1]:[11]])-1)))</f>
        <v>5.6306306306306306E-4</v>
      </c>
      <c r="Z38" s="30" cm="1">
        <f t="array" ref="Z38">IF(Table26142567[[#This Row],[2]]="","",Table26142567[[#This Row],[Weight]:[Weight]]-(Table26142567[[#This Row],[Weight]:[Weight]]*((_xlfn.XMATCH(Table26142567[[#This Row],[2]],Table26142567[[#This Row],[1]:[11]],0))-1)/(COUNTA(Table26142567[[#This Row],[1]:[11]])-COUNTBLANK(Table26142567[[#This Row],[1]:[11]])-1)))</f>
        <v>4.2229729729729732E-4</v>
      </c>
      <c r="AA38" s="30" cm="1">
        <f t="array" ref="AA38">IF(Table26142567[[#This Row],[3]]="","",Table26142567[[#This Row],[Weight]:[Weight]]-(Table26142567[[#This Row],[Weight]:[Weight]]*((_xlfn.XMATCH(Table26142567[[#This Row],[3]],Table26142567[[#This Row],[1]:[11]],0))-1)/(COUNTA(Table26142567[[#This Row],[1]:[11]])-COUNTBLANK(Table26142567[[#This Row],[1]:[11]])-1)))</f>
        <v>2.8153153153153153E-4</v>
      </c>
      <c r="AB38" s="30" cm="1">
        <f t="array" ref="AB38">IF(Table26142567[[#This Row],[4]]="","",Table26142567[[#This Row],[Weight]:[Weight]]-(Table26142567[[#This Row],[Weight]:[Weight]]*((_xlfn.XMATCH(Table26142567[[#This Row],[4]],Table26142567[[#This Row],[1]:[11]],0))-1)/(COUNTA(Table26142567[[#This Row],[1]:[11]])-COUNTBLANK(Table26142567[[#This Row],[1]:[11]])-1)))</f>
        <v>1.4076576576576574E-4</v>
      </c>
      <c r="AC38" s="30" cm="1">
        <f t="array" ref="AC38">IF(Table26142567[[#This Row],[5]]="","",Table26142567[[#This Row],[Weight]:[Weight]]-(Table26142567[[#This Row],[Weight]:[Weight]]*((_xlfn.XMATCH(Table26142567[[#This Row],[5]],Table26142567[[#This Row],[1]:[11]],0))-1)/(COUNTA(Table26142567[[#This Row],[1]:[11]])-COUNTBLANK(Table26142567[[#This Row],[1]:[11]])-1)))</f>
        <v>0</v>
      </c>
      <c r="AD38" s="30" t="str" cm="1">
        <f t="array" ref="AD38">IF(Table26142567[[#This Row],[6]]="","",Table26142567[[#This Row],[Weight]:[Weight]]-(Table26142567[[#This Row],[Weight]:[Weight]]*((_xlfn.XMATCH(Table26142567[[#This Row],[6]],Table26142567[[#This Row],[1]:[11]],0))-1)/(COUNTA(Table26142567[[#This Row],[1]:[11]])-COUNTBLANK(Table26142567[[#This Row],[1]:[11]])-1)))</f>
        <v/>
      </c>
      <c r="AE38" s="30" t="str" cm="1">
        <f t="array" ref="AE38">IF(Table26142567[[#This Row],[7]]="","",Table26142567[[#This Row],[Weight]:[Weight]]-(Table26142567[[#This Row],[Weight]:[Weight]]*((_xlfn.XMATCH(Table26142567[[#This Row],[7]],Table26142567[[#This Row],[1]:[11]],0))-1)/(COUNTA(Table26142567[[#This Row],[1]:[11]])-COUNTBLANK(Table26142567[[#This Row],[1]:[11]])-1)))</f>
        <v/>
      </c>
      <c r="AF38" s="30" t="str" cm="1">
        <f t="array" ref="AF38">IF(Table26142567[[#This Row],[8]]="","",Table26142567[[#This Row],[Weight]:[Weight]]-(Table26142567[[#This Row],[Weight]:[Weight]]*((_xlfn.XMATCH(Table26142567[[#This Row],[8]],Table26142567[[#This Row],[1]:[11]],0))-1)/(COUNTA(Table26142567[[#This Row],[1]:[11]])-COUNTBLANK(Table26142567[[#This Row],[1]:[11]])-1)))</f>
        <v/>
      </c>
      <c r="AG38" s="30" t="str" cm="1">
        <f t="array" ref="AG38">IF(Table26142567[[#This Row],[9]]="","",Table26142567[[#This Row],[Weight]:[Weight]]-(Table26142567[[#This Row],[Weight]:[Weight]]*((_xlfn.XMATCH(Table26142567[[#This Row],[9]],Table26142567[[#This Row],[1]:[11]],0))-1)/(COUNTA(Table26142567[[#This Row],[1]:[11]])-COUNTBLANK(Table26142567[[#This Row],[1]:[11]])-1)))</f>
        <v/>
      </c>
      <c r="AH38" s="30" t="str" cm="1">
        <f t="array" ref="AH38">IF(Table26142567[[#This Row],[10]]="","",Table26142567[[#This Row],[Weight]:[Weight]]-(Table26142567[[#This Row],[Weight]:[Weight]]*((_xlfn.XMATCH(Table26142567[[#This Row],[10]],Table26142567[[#This Row],[1]:[11]],0))-1)/(COUNTA(Table26142567[[#This Row],[1]:[11]])-COUNTBLANK(Table26142567[[#This Row],[1]:[11]])-1)))</f>
        <v/>
      </c>
      <c r="AI38" s="30" t="str" cm="1">
        <f t="array" ref="AI38">IF(Table26142567[[#This Row],[11]]="","",Table26142567[[#This Row],[Weight]:[Weight]]-(Table26142567[[#This Row],[Weight]:[Weight]]*((_xlfn.XMATCH(Table26142567[[#This Row],[11]],Table26142567[[#This Row],[1]:[11]],0))-1)/(COUNTA(Table26142567[[#This Row],[1]:[11]])-COUNTBLANK(Table26142567[[#This Row],[1]:[11]])-1)))</f>
        <v/>
      </c>
    </row>
    <row r="39" spans="1:35" ht="108" x14ac:dyDescent="0.2">
      <c r="A39" s="20">
        <v>27</v>
      </c>
      <c r="B39" s="90" t="s">
        <v>417</v>
      </c>
      <c r="C39" s="119" t="s">
        <v>215</v>
      </c>
      <c r="D39" s="153"/>
      <c r="E39" s="153"/>
      <c r="F39" s="121" t="s">
        <v>188</v>
      </c>
      <c r="G39" s="148" cm="1">
        <f t="array" ref="G39">_xlfn.IFS(F39="","",F39="No interest",0,F39="Nice to have",1,F39="Useful",2,F39="Important",3,F39="Very important",4,F39="Critical",5,F39="Show stopper",6)</f>
        <v>5</v>
      </c>
      <c r="H39" s="149">
        <f t="shared" si="1"/>
        <v>5.6306306306306306E-4</v>
      </c>
      <c r="I39" s="150" t="s">
        <v>321</v>
      </c>
      <c r="J39" s="35" t="str" cm="1">
        <f t="array" ref="J39">_xlfn.TEXTJOIN(","&amp;CHAR(10),,TEXT(Table26142567[[#This Row],[12]:[22]],"0,00%"))</f>
        <v>0,00%,
0,00%,
0,00%,
0,00%,
0,00%</v>
      </c>
      <c r="K39" s="26"/>
      <c r="L39" s="27" t="e">
        <f>H39-(H39*((MATCH(Table26142567[[#This Row],[Evaluators Response (SELECT)]],Table26142567[[#This Row],[1]:[11]],0)-1)/(COUNTA(Table26142567[[#This Row],[1]:[11]])-COUNTBLANK(Table26142567[[#This Row],[1]:[11]])-1)))</f>
        <v>#N/A</v>
      </c>
      <c r="M39" s="28"/>
      <c r="N39" s="29" t="str" cm="1">
        <f t="array" ref="N39">IFERROR(INDEX(_xlfn.UNIQUE(TRIM(_xlfn.TEXTSPLIT(Table26142567[[#This Row],[Selection Options]:[Selection Options]],","))),,N$11),"")</f>
        <v>100%: Supported as delivered "out of the box"</v>
      </c>
      <c r="O39" s="29" t="str" cm="1">
        <f t="array" ref="O39">IFERROR(INDEX(_xlfn.UNIQUE(TRIM(_xlfn.TEXTSPLIT(Table26142567[[#This Row],[Selection Options]:[Selection Options]],","))),,O$11),"")</f>
        <v xml:space="preserve">
75%: Supported via modifications (config)</v>
      </c>
      <c r="P39" s="29" t="str" cm="1">
        <f t="array" ref="P39">IFERROR(INDEX(_xlfn.UNIQUE(TRIM(_xlfn.TEXTSPLIT(Table26142567[[#This Row],[Selection Options]:[Selection Options]],","))),,P$11),"")</f>
        <v xml:space="preserve">
50%: Supported via a third party solution</v>
      </c>
      <c r="Q39" s="29" t="str" cm="1">
        <f t="array" ref="Q39">IFERROR(INDEX(_xlfn.UNIQUE(TRIM(_xlfn.TEXTSPLIT(Table26142567[[#This Row],[Selection Options]:[Selection Options]],","))),,Q$11),"")</f>
        <v xml:space="preserve">
25%: Supported via customisation (source code changes)</v>
      </c>
      <c r="R39" s="29" t="str" cm="1">
        <f t="array" ref="R39">IFERROR(INDEX(_xlfn.UNIQUE(TRIM(_xlfn.TEXTSPLIT(Table26142567[[#This Row],[Selection Options]:[Selection Options]],","))),,R$11),"")</f>
        <v xml:space="preserve">
 0%: Not currently supported</v>
      </c>
      <c r="S39" s="29" t="str" cm="1">
        <f t="array" ref="S39">IFERROR(INDEX(_xlfn.UNIQUE(TRIM(_xlfn.TEXTSPLIT(Table26142567[[#This Row],[Selection Options]:[Selection Options]],","))),,S$11),"")</f>
        <v/>
      </c>
      <c r="T39" s="29" t="str" cm="1">
        <f t="array" ref="T39">IFERROR(INDEX(_xlfn.UNIQUE(TRIM(_xlfn.TEXTSPLIT(Table26142567[[#This Row],[Selection Options]:[Selection Options]],","))),,T$11),"")</f>
        <v/>
      </c>
      <c r="U39" s="29" t="str" cm="1">
        <f t="array" ref="U39">IFERROR(INDEX(_xlfn.UNIQUE(TRIM(_xlfn.TEXTSPLIT(Table26142567[[#This Row],[Selection Options]:[Selection Options]],","))),,U$11),"")</f>
        <v/>
      </c>
      <c r="V39" s="29" t="str" cm="1">
        <f t="array" ref="V39">IFERROR(INDEX(_xlfn.UNIQUE(TRIM(_xlfn.TEXTSPLIT(Table26142567[[#This Row],[Selection Options]:[Selection Options]],","))),,V$11),"")</f>
        <v/>
      </c>
      <c r="W39" s="29" t="str" cm="1">
        <f t="array" ref="W39">IFERROR(INDEX(_xlfn.UNIQUE(TRIM(_xlfn.TEXTSPLIT(Table26142567[[#This Row],[Selection Options]:[Selection Options]],","))),,W$11),"")</f>
        <v/>
      </c>
      <c r="X39" s="29" t="str" cm="1">
        <f t="array" ref="X39">IFERROR(INDEX(_xlfn.UNIQUE(TRIM(_xlfn.TEXTSPLIT(Table26142567[[#This Row],[Selection Options]:[Selection Options]],","))),,X$11),"")</f>
        <v/>
      </c>
      <c r="Y39" s="30" cm="1">
        <f t="array" ref="Y39">IF(Table26142567[[#This Row],[1]]="","",Table26142567[[#This Row],[Weight]:[Weight]]-(Table26142567[[#This Row],[Weight]:[Weight]]*((_xlfn.XMATCH(Table26142567[[#This Row],[1]],Table26142567[[#This Row],[1]:[11]],0))-1)/(COUNTA(Table26142567[[#This Row],[1]:[11]])-COUNTBLANK(Table26142567[[#This Row],[1]:[11]])-1)))</f>
        <v>5.6306306306306306E-4</v>
      </c>
      <c r="Z39" s="30" cm="1">
        <f t="array" ref="Z39">IF(Table26142567[[#This Row],[2]]="","",Table26142567[[#This Row],[Weight]:[Weight]]-(Table26142567[[#This Row],[Weight]:[Weight]]*((_xlfn.XMATCH(Table26142567[[#This Row],[2]],Table26142567[[#This Row],[1]:[11]],0))-1)/(COUNTA(Table26142567[[#This Row],[1]:[11]])-COUNTBLANK(Table26142567[[#This Row],[1]:[11]])-1)))</f>
        <v>4.2229729729729732E-4</v>
      </c>
      <c r="AA39" s="30" cm="1">
        <f t="array" ref="AA39">IF(Table26142567[[#This Row],[3]]="","",Table26142567[[#This Row],[Weight]:[Weight]]-(Table26142567[[#This Row],[Weight]:[Weight]]*((_xlfn.XMATCH(Table26142567[[#This Row],[3]],Table26142567[[#This Row],[1]:[11]],0))-1)/(COUNTA(Table26142567[[#This Row],[1]:[11]])-COUNTBLANK(Table26142567[[#This Row],[1]:[11]])-1)))</f>
        <v>2.8153153153153153E-4</v>
      </c>
      <c r="AB39" s="30" cm="1">
        <f t="array" ref="AB39">IF(Table26142567[[#This Row],[4]]="","",Table26142567[[#This Row],[Weight]:[Weight]]-(Table26142567[[#This Row],[Weight]:[Weight]]*((_xlfn.XMATCH(Table26142567[[#This Row],[4]],Table26142567[[#This Row],[1]:[11]],0))-1)/(COUNTA(Table26142567[[#This Row],[1]:[11]])-COUNTBLANK(Table26142567[[#This Row],[1]:[11]])-1)))</f>
        <v>1.4076576576576574E-4</v>
      </c>
      <c r="AC39" s="30" cm="1">
        <f t="array" ref="AC39">IF(Table26142567[[#This Row],[5]]="","",Table26142567[[#This Row],[Weight]:[Weight]]-(Table26142567[[#This Row],[Weight]:[Weight]]*((_xlfn.XMATCH(Table26142567[[#This Row],[5]],Table26142567[[#This Row],[1]:[11]],0))-1)/(COUNTA(Table26142567[[#This Row],[1]:[11]])-COUNTBLANK(Table26142567[[#This Row],[1]:[11]])-1)))</f>
        <v>0</v>
      </c>
      <c r="AD39" s="30" t="str" cm="1">
        <f t="array" ref="AD39">IF(Table26142567[[#This Row],[6]]="","",Table26142567[[#This Row],[Weight]:[Weight]]-(Table26142567[[#This Row],[Weight]:[Weight]]*((_xlfn.XMATCH(Table26142567[[#This Row],[6]],Table26142567[[#This Row],[1]:[11]],0))-1)/(COUNTA(Table26142567[[#This Row],[1]:[11]])-COUNTBLANK(Table26142567[[#This Row],[1]:[11]])-1)))</f>
        <v/>
      </c>
      <c r="AE39" s="30" t="str" cm="1">
        <f t="array" ref="AE39">IF(Table26142567[[#This Row],[7]]="","",Table26142567[[#This Row],[Weight]:[Weight]]-(Table26142567[[#This Row],[Weight]:[Weight]]*((_xlfn.XMATCH(Table26142567[[#This Row],[7]],Table26142567[[#This Row],[1]:[11]],0))-1)/(COUNTA(Table26142567[[#This Row],[1]:[11]])-COUNTBLANK(Table26142567[[#This Row],[1]:[11]])-1)))</f>
        <v/>
      </c>
      <c r="AF39" s="30" t="str" cm="1">
        <f t="array" ref="AF39">IF(Table26142567[[#This Row],[8]]="","",Table26142567[[#This Row],[Weight]:[Weight]]-(Table26142567[[#This Row],[Weight]:[Weight]]*((_xlfn.XMATCH(Table26142567[[#This Row],[8]],Table26142567[[#This Row],[1]:[11]],0))-1)/(COUNTA(Table26142567[[#This Row],[1]:[11]])-COUNTBLANK(Table26142567[[#This Row],[1]:[11]])-1)))</f>
        <v/>
      </c>
      <c r="AG39" s="30" t="str" cm="1">
        <f t="array" ref="AG39">IF(Table26142567[[#This Row],[9]]="","",Table26142567[[#This Row],[Weight]:[Weight]]-(Table26142567[[#This Row],[Weight]:[Weight]]*((_xlfn.XMATCH(Table26142567[[#This Row],[9]],Table26142567[[#This Row],[1]:[11]],0))-1)/(COUNTA(Table26142567[[#This Row],[1]:[11]])-COUNTBLANK(Table26142567[[#This Row],[1]:[11]])-1)))</f>
        <v/>
      </c>
      <c r="AH39" s="30" t="str" cm="1">
        <f t="array" ref="AH39">IF(Table26142567[[#This Row],[10]]="","",Table26142567[[#This Row],[Weight]:[Weight]]-(Table26142567[[#This Row],[Weight]:[Weight]]*((_xlfn.XMATCH(Table26142567[[#This Row],[10]],Table26142567[[#This Row],[1]:[11]],0))-1)/(COUNTA(Table26142567[[#This Row],[1]:[11]])-COUNTBLANK(Table26142567[[#This Row],[1]:[11]])-1)))</f>
        <v/>
      </c>
      <c r="AI39" s="30" t="str" cm="1">
        <f t="array" ref="AI39">IF(Table26142567[[#This Row],[11]]="","",Table26142567[[#This Row],[Weight]:[Weight]]-(Table26142567[[#This Row],[Weight]:[Weight]]*((_xlfn.XMATCH(Table26142567[[#This Row],[11]],Table26142567[[#This Row],[1]:[11]],0))-1)/(COUNTA(Table26142567[[#This Row],[1]:[11]])-COUNTBLANK(Table26142567[[#This Row],[1]:[11]])-1)))</f>
        <v/>
      </c>
    </row>
    <row r="40" spans="1:35" ht="108" x14ac:dyDescent="0.2">
      <c r="A40" s="20">
        <v>28</v>
      </c>
      <c r="B40" s="90" t="s">
        <v>418</v>
      </c>
      <c r="C40" s="119" t="s">
        <v>215</v>
      </c>
      <c r="D40" s="153"/>
      <c r="E40" s="153"/>
      <c r="F40" s="121" t="s">
        <v>188</v>
      </c>
      <c r="G40" s="148" cm="1">
        <f t="array" ref="G40">_xlfn.IFS(F40="","",F40="No interest",0,F40="Nice to have",1,F40="Useful",2,F40="Important",3,F40="Very important",4,F40="Critical",5,F40="Show stopper",6)</f>
        <v>5</v>
      </c>
      <c r="H40" s="149">
        <f t="shared" si="1"/>
        <v>5.6306306306306306E-4</v>
      </c>
      <c r="I40" s="150" t="s">
        <v>321</v>
      </c>
      <c r="J40" s="35" t="str" cm="1">
        <f t="array" ref="J40">_xlfn.TEXTJOIN(","&amp;CHAR(10),,TEXT(Table26142567[[#This Row],[12]:[22]],"0,00%"))</f>
        <v>0,00%,
0,00%,
0,00%,
0,00%,
0,00%</v>
      </c>
      <c r="K40" s="26"/>
      <c r="L40" s="27" t="e">
        <f>H40-(H40*((MATCH(Table26142567[[#This Row],[Evaluators Response (SELECT)]],Table26142567[[#This Row],[1]:[11]],0)-1)/(COUNTA(Table26142567[[#This Row],[1]:[11]])-COUNTBLANK(Table26142567[[#This Row],[1]:[11]])-1)))</f>
        <v>#N/A</v>
      </c>
      <c r="M40" s="28"/>
      <c r="N40" s="29" t="str" cm="1">
        <f t="array" ref="N40">IFERROR(INDEX(_xlfn.UNIQUE(TRIM(_xlfn.TEXTSPLIT(Table26142567[[#This Row],[Selection Options]:[Selection Options]],","))),,N$11),"")</f>
        <v>100%: Supported as delivered "out of the box"</v>
      </c>
      <c r="O40" s="29" t="str" cm="1">
        <f t="array" ref="O40">IFERROR(INDEX(_xlfn.UNIQUE(TRIM(_xlfn.TEXTSPLIT(Table26142567[[#This Row],[Selection Options]:[Selection Options]],","))),,O$11),"")</f>
        <v xml:space="preserve">
75%: Supported via modifications (config)</v>
      </c>
      <c r="P40" s="29" t="str" cm="1">
        <f t="array" ref="P40">IFERROR(INDEX(_xlfn.UNIQUE(TRIM(_xlfn.TEXTSPLIT(Table26142567[[#This Row],[Selection Options]:[Selection Options]],","))),,P$11),"")</f>
        <v xml:space="preserve">
50%: Supported via a third party solution</v>
      </c>
      <c r="Q40" s="29" t="str" cm="1">
        <f t="array" ref="Q40">IFERROR(INDEX(_xlfn.UNIQUE(TRIM(_xlfn.TEXTSPLIT(Table26142567[[#This Row],[Selection Options]:[Selection Options]],","))),,Q$11),"")</f>
        <v xml:space="preserve">
25%: Supported via customisation (source code changes)</v>
      </c>
      <c r="R40" s="29" t="str" cm="1">
        <f t="array" ref="R40">IFERROR(INDEX(_xlfn.UNIQUE(TRIM(_xlfn.TEXTSPLIT(Table26142567[[#This Row],[Selection Options]:[Selection Options]],","))),,R$11),"")</f>
        <v xml:space="preserve">
 0%: Not currently supported</v>
      </c>
      <c r="S40" s="29" t="str" cm="1">
        <f t="array" ref="S40">IFERROR(INDEX(_xlfn.UNIQUE(TRIM(_xlfn.TEXTSPLIT(Table26142567[[#This Row],[Selection Options]:[Selection Options]],","))),,S$11),"")</f>
        <v/>
      </c>
      <c r="T40" s="29" t="str" cm="1">
        <f t="array" ref="T40">IFERROR(INDEX(_xlfn.UNIQUE(TRIM(_xlfn.TEXTSPLIT(Table26142567[[#This Row],[Selection Options]:[Selection Options]],","))),,T$11),"")</f>
        <v/>
      </c>
      <c r="U40" s="29" t="str" cm="1">
        <f t="array" ref="U40">IFERROR(INDEX(_xlfn.UNIQUE(TRIM(_xlfn.TEXTSPLIT(Table26142567[[#This Row],[Selection Options]:[Selection Options]],","))),,U$11),"")</f>
        <v/>
      </c>
      <c r="V40" s="29" t="str" cm="1">
        <f t="array" ref="V40">IFERROR(INDEX(_xlfn.UNIQUE(TRIM(_xlfn.TEXTSPLIT(Table26142567[[#This Row],[Selection Options]:[Selection Options]],","))),,V$11),"")</f>
        <v/>
      </c>
      <c r="W40" s="29" t="str" cm="1">
        <f t="array" ref="W40">IFERROR(INDEX(_xlfn.UNIQUE(TRIM(_xlfn.TEXTSPLIT(Table26142567[[#This Row],[Selection Options]:[Selection Options]],","))),,W$11),"")</f>
        <v/>
      </c>
      <c r="X40" s="29" t="str" cm="1">
        <f t="array" ref="X40">IFERROR(INDEX(_xlfn.UNIQUE(TRIM(_xlfn.TEXTSPLIT(Table26142567[[#This Row],[Selection Options]:[Selection Options]],","))),,X$11),"")</f>
        <v/>
      </c>
      <c r="Y40" s="30" cm="1">
        <f t="array" ref="Y40">IF(Table26142567[[#This Row],[1]]="","",Table26142567[[#This Row],[Weight]:[Weight]]-(Table26142567[[#This Row],[Weight]:[Weight]]*((_xlfn.XMATCH(Table26142567[[#This Row],[1]],Table26142567[[#This Row],[1]:[11]],0))-1)/(COUNTA(Table26142567[[#This Row],[1]:[11]])-COUNTBLANK(Table26142567[[#This Row],[1]:[11]])-1)))</f>
        <v>5.6306306306306306E-4</v>
      </c>
      <c r="Z40" s="30" cm="1">
        <f t="array" ref="Z40">IF(Table26142567[[#This Row],[2]]="","",Table26142567[[#This Row],[Weight]:[Weight]]-(Table26142567[[#This Row],[Weight]:[Weight]]*((_xlfn.XMATCH(Table26142567[[#This Row],[2]],Table26142567[[#This Row],[1]:[11]],0))-1)/(COUNTA(Table26142567[[#This Row],[1]:[11]])-COUNTBLANK(Table26142567[[#This Row],[1]:[11]])-1)))</f>
        <v>4.2229729729729732E-4</v>
      </c>
      <c r="AA40" s="30" cm="1">
        <f t="array" ref="AA40">IF(Table26142567[[#This Row],[3]]="","",Table26142567[[#This Row],[Weight]:[Weight]]-(Table26142567[[#This Row],[Weight]:[Weight]]*((_xlfn.XMATCH(Table26142567[[#This Row],[3]],Table26142567[[#This Row],[1]:[11]],0))-1)/(COUNTA(Table26142567[[#This Row],[1]:[11]])-COUNTBLANK(Table26142567[[#This Row],[1]:[11]])-1)))</f>
        <v>2.8153153153153153E-4</v>
      </c>
      <c r="AB40" s="30" cm="1">
        <f t="array" ref="AB40">IF(Table26142567[[#This Row],[4]]="","",Table26142567[[#This Row],[Weight]:[Weight]]-(Table26142567[[#This Row],[Weight]:[Weight]]*((_xlfn.XMATCH(Table26142567[[#This Row],[4]],Table26142567[[#This Row],[1]:[11]],0))-1)/(COUNTA(Table26142567[[#This Row],[1]:[11]])-COUNTBLANK(Table26142567[[#This Row],[1]:[11]])-1)))</f>
        <v>1.4076576576576574E-4</v>
      </c>
      <c r="AC40" s="30" cm="1">
        <f t="array" ref="AC40">IF(Table26142567[[#This Row],[5]]="","",Table26142567[[#This Row],[Weight]:[Weight]]-(Table26142567[[#This Row],[Weight]:[Weight]]*((_xlfn.XMATCH(Table26142567[[#This Row],[5]],Table26142567[[#This Row],[1]:[11]],0))-1)/(COUNTA(Table26142567[[#This Row],[1]:[11]])-COUNTBLANK(Table26142567[[#This Row],[1]:[11]])-1)))</f>
        <v>0</v>
      </c>
      <c r="AD40" s="30" t="str" cm="1">
        <f t="array" ref="AD40">IF(Table26142567[[#This Row],[6]]="","",Table26142567[[#This Row],[Weight]:[Weight]]-(Table26142567[[#This Row],[Weight]:[Weight]]*((_xlfn.XMATCH(Table26142567[[#This Row],[6]],Table26142567[[#This Row],[1]:[11]],0))-1)/(COUNTA(Table26142567[[#This Row],[1]:[11]])-COUNTBLANK(Table26142567[[#This Row],[1]:[11]])-1)))</f>
        <v/>
      </c>
      <c r="AE40" s="30" t="str" cm="1">
        <f t="array" ref="AE40">IF(Table26142567[[#This Row],[7]]="","",Table26142567[[#This Row],[Weight]:[Weight]]-(Table26142567[[#This Row],[Weight]:[Weight]]*((_xlfn.XMATCH(Table26142567[[#This Row],[7]],Table26142567[[#This Row],[1]:[11]],0))-1)/(COUNTA(Table26142567[[#This Row],[1]:[11]])-COUNTBLANK(Table26142567[[#This Row],[1]:[11]])-1)))</f>
        <v/>
      </c>
      <c r="AF40" s="30" t="str" cm="1">
        <f t="array" ref="AF40">IF(Table26142567[[#This Row],[8]]="","",Table26142567[[#This Row],[Weight]:[Weight]]-(Table26142567[[#This Row],[Weight]:[Weight]]*((_xlfn.XMATCH(Table26142567[[#This Row],[8]],Table26142567[[#This Row],[1]:[11]],0))-1)/(COUNTA(Table26142567[[#This Row],[1]:[11]])-COUNTBLANK(Table26142567[[#This Row],[1]:[11]])-1)))</f>
        <v/>
      </c>
      <c r="AG40" s="30" t="str" cm="1">
        <f t="array" ref="AG40">IF(Table26142567[[#This Row],[9]]="","",Table26142567[[#This Row],[Weight]:[Weight]]-(Table26142567[[#This Row],[Weight]:[Weight]]*((_xlfn.XMATCH(Table26142567[[#This Row],[9]],Table26142567[[#This Row],[1]:[11]],0))-1)/(COUNTA(Table26142567[[#This Row],[1]:[11]])-COUNTBLANK(Table26142567[[#This Row],[1]:[11]])-1)))</f>
        <v/>
      </c>
      <c r="AH40" s="30" t="str" cm="1">
        <f t="array" ref="AH40">IF(Table26142567[[#This Row],[10]]="","",Table26142567[[#This Row],[Weight]:[Weight]]-(Table26142567[[#This Row],[Weight]:[Weight]]*((_xlfn.XMATCH(Table26142567[[#This Row],[10]],Table26142567[[#This Row],[1]:[11]],0))-1)/(COUNTA(Table26142567[[#This Row],[1]:[11]])-COUNTBLANK(Table26142567[[#This Row],[1]:[11]])-1)))</f>
        <v/>
      </c>
      <c r="AI40" s="30" t="str" cm="1">
        <f t="array" ref="AI40">IF(Table26142567[[#This Row],[11]]="","",Table26142567[[#This Row],[Weight]:[Weight]]-(Table26142567[[#This Row],[Weight]:[Weight]]*((_xlfn.XMATCH(Table26142567[[#This Row],[11]],Table26142567[[#This Row],[1]:[11]],0))-1)/(COUNTA(Table26142567[[#This Row],[1]:[11]])-COUNTBLANK(Table26142567[[#This Row],[1]:[11]])-1)))</f>
        <v/>
      </c>
    </row>
    <row r="41" spans="1:35" ht="108" x14ac:dyDescent="0.2">
      <c r="A41" s="20">
        <v>29</v>
      </c>
      <c r="B41" s="90" t="s">
        <v>419</v>
      </c>
      <c r="C41" s="119" t="s">
        <v>215</v>
      </c>
      <c r="D41" s="153"/>
      <c r="E41" s="153"/>
      <c r="F41" s="121" t="s">
        <v>188</v>
      </c>
      <c r="G41" s="148" cm="1">
        <f t="array" ref="G41">_xlfn.IFS(F41="","",F41="No interest",0,F41="Nice to have",1,F41="Useful",2,F41="Important",3,F41="Very important",4,F41="Critical",5,F41="Show stopper",6)</f>
        <v>5</v>
      </c>
      <c r="H41" s="149">
        <f t="shared" si="1"/>
        <v>5.6306306306306306E-4</v>
      </c>
      <c r="I41" s="150" t="s">
        <v>321</v>
      </c>
      <c r="J41" s="35" t="str" cm="1">
        <f t="array" ref="J41">_xlfn.TEXTJOIN(","&amp;CHAR(10),,TEXT(Table26142567[[#This Row],[12]:[22]],"0,00%"))</f>
        <v>0,00%,
0,00%,
0,00%,
0,00%,
0,00%</v>
      </c>
      <c r="K41" s="26"/>
      <c r="L41" s="27" t="e">
        <f>H41-(H41*((MATCH(Table26142567[[#This Row],[Evaluators Response (SELECT)]],Table26142567[[#This Row],[1]:[11]],0)-1)/(COUNTA(Table26142567[[#This Row],[1]:[11]])-COUNTBLANK(Table26142567[[#This Row],[1]:[11]])-1)))</f>
        <v>#N/A</v>
      </c>
      <c r="M41" s="28"/>
      <c r="N41" s="29" t="str" cm="1">
        <f t="array" ref="N41">IFERROR(INDEX(_xlfn.UNIQUE(TRIM(_xlfn.TEXTSPLIT(Table26142567[[#This Row],[Selection Options]:[Selection Options]],","))),,N$11),"")</f>
        <v>100%: Supported as delivered "out of the box"</v>
      </c>
      <c r="O41" s="29" t="str" cm="1">
        <f t="array" ref="O41">IFERROR(INDEX(_xlfn.UNIQUE(TRIM(_xlfn.TEXTSPLIT(Table26142567[[#This Row],[Selection Options]:[Selection Options]],","))),,O$11),"")</f>
        <v xml:space="preserve">
75%: Supported via modifications (config)</v>
      </c>
      <c r="P41" s="29" t="str" cm="1">
        <f t="array" ref="P41">IFERROR(INDEX(_xlfn.UNIQUE(TRIM(_xlfn.TEXTSPLIT(Table26142567[[#This Row],[Selection Options]:[Selection Options]],","))),,P$11),"")</f>
        <v xml:space="preserve">
50%: Supported via a third party solution</v>
      </c>
      <c r="Q41" s="29" t="str" cm="1">
        <f t="array" ref="Q41">IFERROR(INDEX(_xlfn.UNIQUE(TRIM(_xlfn.TEXTSPLIT(Table26142567[[#This Row],[Selection Options]:[Selection Options]],","))),,Q$11),"")</f>
        <v xml:space="preserve">
25%: Supported via customisation (source code changes)</v>
      </c>
      <c r="R41" s="29" t="str" cm="1">
        <f t="array" ref="R41">IFERROR(INDEX(_xlfn.UNIQUE(TRIM(_xlfn.TEXTSPLIT(Table26142567[[#This Row],[Selection Options]:[Selection Options]],","))),,R$11),"")</f>
        <v xml:space="preserve">
 0%: Not currently supported</v>
      </c>
      <c r="S41" s="29" t="str" cm="1">
        <f t="array" ref="S41">IFERROR(INDEX(_xlfn.UNIQUE(TRIM(_xlfn.TEXTSPLIT(Table26142567[[#This Row],[Selection Options]:[Selection Options]],","))),,S$11),"")</f>
        <v/>
      </c>
      <c r="T41" s="29" t="str" cm="1">
        <f t="array" ref="T41">IFERROR(INDEX(_xlfn.UNIQUE(TRIM(_xlfn.TEXTSPLIT(Table26142567[[#This Row],[Selection Options]:[Selection Options]],","))),,T$11),"")</f>
        <v/>
      </c>
      <c r="U41" s="29" t="str" cm="1">
        <f t="array" ref="U41">IFERROR(INDEX(_xlfn.UNIQUE(TRIM(_xlfn.TEXTSPLIT(Table26142567[[#This Row],[Selection Options]:[Selection Options]],","))),,U$11),"")</f>
        <v/>
      </c>
      <c r="V41" s="29" t="str" cm="1">
        <f t="array" ref="V41">IFERROR(INDEX(_xlfn.UNIQUE(TRIM(_xlfn.TEXTSPLIT(Table26142567[[#This Row],[Selection Options]:[Selection Options]],","))),,V$11),"")</f>
        <v/>
      </c>
      <c r="W41" s="29" t="str" cm="1">
        <f t="array" ref="W41">IFERROR(INDEX(_xlfn.UNIQUE(TRIM(_xlfn.TEXTSPLIT(Table26142567[[#This Row],[Selection Options]:[Selection Options]],","))),,W$11),"")</f>
        <v/>
      </c>
      <c r="X41" s="29" t="str" cm="1">
        <f t="array" ref="X41">IFERROR(INDEX(_xlfn.UNIQUE(TRIM(_xlfn.TEXTSPLIT(Table26142567[[#This Row],[Selection Options]:[Selection Options]],","))),,X$11),"")</f>
        <v/>
      </c>
      <c r="Y41" s="30" cm="1">
        <f t="array" ref="Y41">IF(Table26142567[[#This Row],[1]]="","",Table26142567[[#This Row],[Weight]:[Weight]]-(Table26142567[[#This Row],[Weight]:[Weight]]*((_xlfn.XMATCH(Table26142567[[#This Row],[1]],Table26142567[[#This Row],[1]:[11]],0))-1)/(COUNTA(Table26142567[[#This Row],[1]:[11]])-COUNTBLANK(Table26142567[[#This Row],[1]:[11]])-1)))</f>
        <v>5.6306306306306306E-4</v>
      </c>
      <c r="Z41" s="30" cm="1">
        <f t="array" ref="Z41">IF(Table26142567[[#This Row],[2]]="","",Table26142567[[#This Row],[Weight]:[Weight]]-(Table26142567[[#This Row],[Weight]:[Weight]]*((_xlfn.XMATCH(Table26142567[[#This Row],[2]],Table26142567[[#This Row],[1]:[11]],0))-1)/(COUNTA(Table26142567[[#This Row],[1]:[11]])-COUNTBLANK(Table26142567[[#This Row],[1]:[11]])-1)))</f>
        <v>4.2229729729729732E-4</v>
      </c>
      <c r="AA41" s="30" cm="1">
        <f t="array" ref="AA41">IF(Table26142567[[#This Row],[3]]="","",Table26142567[[#This Row],[Weight]:[Weight]]-(Table26142567[[#This Row],[Weight]:[Weight]]*((_xlfn.XMATCH(Table26142567[[#This Row],[3]],Table26142567[[#This Row],[1]:[11]],0))-1)/(COUNTA(Table26142567[[#This Row],[1]:[11]])-COUNTBLANK(Table26142567[[#This Row],[1]:[11]])-1)))</f>
        <v>2.8153153153153153E-4</v>
      </c>
      <c r="AB41" s="30" cm="1">
        <f t="array" ref="AB41">IF(Table26142567[[#This Row],[4]]="","",Table26142567[[#This Row],[Weight]:[Weight]]-(Table26142567[[#This Row],[Weight]:[Weight]]*((_xlfn.XMATCH(Table26142567[[#This Row],[4]],Table26142567[[#This Row],[1]:[11]],0))-1)/(COUNTA(Table26142567[[#This Row],[1]:[11]])-COUNTBLANK(Table26142567[[#This Row],[1]:[11]])-1)))</f>
        <v>1.4076576576576574E-4</v>
      </c>
      <c r="AC41" s="30" cm="1">
        <f t="array" ref="AC41">IF(Table26142567[[#This Row],[5]]="","",Table26142567[[#This Row],[Weight]:[Weight]]-(Table26142567[[#This Row],[Weight]:[Weight]]*((_xlfn.XMATCH(Table26142567[[#This Row],[5]],Table26142567[[#This Row],[1]:[11]],0))-1)/(COUNTA(Table26142567[[#This Row],[1]:[11]])-COUNTBLANK(Table26142567[[#This Row],[1]:[11]])-1)))</f>
        <v>0</v>
      </c>
      <c r="AD41" s="30" t="str" cm="1">
        <f t="array" ref="AD41">IF(Table26142567[[#This Row],[6]]="","",Table26142567[[#This Row],[Weight]:[Weight]]-(Table26142567[[#This Row],[Weight]:[Weight]]*((_xlfn.XMATCH(Table26142567[[#This Row],[6]],Table26142567[[#This Row],[1]:[11]],0))-1)/(COUNTA(Table26142567[[#This Row],[1]:[11]])-COUNTBLANK(Table26142567[[#This Row],[1]:[11]])-1)))</f>
        <v/>
      </c>
      <c r="AE41" s="30" t="str" cm="1">
        <f t="array" ref="AE41">IF(Table26142567[[#This Row],[7]]="","",Table26142567[[#This Row],[Weight]:[Weight]]-(Table26142567[[#This Row],[Weight]:[Weight]]*((_xlfn.XMATCH(Table26142567[[#This Row],[7]],Table26142567[[#This Row],[1]:[11]],0))-1)/(COUNTA(Table26142567[[#This Row],[1]:[11]])-COUNTBLANK(Table26142567[[#This Row],[1]:[11]])-1)))</f>
        <v/>
      </c>
      <c r="AF41" s="30" t="str" cm="1">
        <f t="array" ref="AF41">IF(Table26142567[[#This Row],[8]]="","",Table26142567[[#This Row],[Weight]:[Weight]]-(Table26142567[[#This Row],[Weight]:[Weight]]*((_xlfn.XMATCH(Table26142567[[#This Row],[8]],Table26142567[[#This Row],[1]:[11]],0))-1)/(COUNTA(Table26142567[[#This Row],[1]:[11]])-COUNTBLANK(Table26142567[[#This Row],[1]:[11]])-1)))</f>
        <v/>
      </c>
      <c r="AG41" s="30" t="str" cm="1">
        <f t="array" ref="AG41">IF(Table26142567[[#This Row],[9]]="","",Table26142567[[#This Row],[Weight]:[Weight]]-(Table26142567[[#This Row],[Weight]:[Weight]]*((_xlfn.XMATCH(Table26142567[[#This Row],[9]],Table26142567[[#This Row],[1]:[11]],0))-1)/(COUNTA(Table26142567[[#This Row],[1]:[11]])-COUNTBLANK(Table26142567[[#This Row],[1]:[11]])-1)))</f>
        <v/>
      </c>
      <c r="AH41" s="30" t="str" cm="1">
        <f t="array" ref="AH41">IF(Table26142567[[#This Row],[10]]="","",Table26142567[[#This Row],[Weight]:[Weight]]-(Table26142567[[#This Row],[Weight]:[Weight]]*((_xlfn.XMATCH(Table26142567[[#This Row],[10]],Table26142567[[#This Row],[1]:[11]],0))-1)/(COUNTA(Table26142567[[#This Row],[1]:[11]])-COUNTBLANK(Table26142567[[#This Row],[1]:[11]])-1)))</f>
        <v/>
      </c>
      <c r="AI41" s="30" t="str" cm="1">
        <f t="array" ref="AI41">IF(Table26142567[[#This Row],[11]]="","",Table26142567[[#This Row],[Weight]:[Weight]]-(Table26142567[[#This Row],[Weight]:[Weight]]*((_xlfn.XMATCH(Table26142567[[#This Row],[11]],Table26142567[[#This Row],[1]:[11]],0))-1)/(COUNTA(Table26142567[[#This Row],[1]:[11]])-COUNTBLANK(Table26142567[[#This Row],[1]:[11]])-1)))</f>
        <v/>
      </c>
    </row>
    <row r="42" spans="1:35" ht="108" x14ac:dyDescent="0.2">
      <c r="A42" s="20">
        <v>30</v>
      </c>
      <c r="B42" s="90" t="s">
        <v>420</v>
      </c>
      <c r="C42" s="119" t="s">
        <v>215</v>
      </c>
      <c r="D42" s="153"/>
      <c r="E42" s="153"/>
      <c r="F42" s="121" t="s">
        <v>188</v>
      </c>
      <c r="G42" s="148" cm="1">
        <f t="array" ref="G42">_xlfn.IFS(F42="","",F42="No interest",0,F42="Nice to have",1,F42="Useful",2,F42="Important",3,F42="Very important",4,F42="Critical",5,F42="Show stopper",6)</f>
        <v>5</v>
      </c>
      <c r="H42" s="149">
        <f t="shared" si="1"/>
        <v>5.6306306306306306E-4</v>
      </c>
      <c r="I42" s="150" t="s">
        <v>321</v>
      </c>
      <c r="J42" s="35" t="str" cm="1">
        <f t="array" ref="J42">_xlfn.TEXTJOIN(","&amp;CHAR(10),,TEXT(Table26142567[[#This Row],[12]:[22]],"0,00%"))</f>
        <v>0,00%,
0,00%,
0,00%,
0,00%,
0,00%</v>
      </c>
      <c r="K42" s="26"/>
      <c r="L42" s="27" t="e">
        <f>H42-(H42*((MATCH(Table26142567[[#This Row],[Evaluators Response (SELECT)]],Table26142567[[#This Row],[1]:[11]],0)-1)/(COUNTA(Table26142567[[#This Row],[1]:[11]])-COUNTBLANK(Table26142567[[#This Row],[1]:[11]])-1)))</f>
        <v>#N/A</v>
      </c>
      <c r="M42" s="28"/>
      <c r="N42" s="29" t="str" cm="1">
        <f t="array" ref="N42">IFERROR(INDEX(_xlfn.UNIQUE(TRIM(_xlfn.TEXTSPLIT(Table26142567[[#This Row],[Selection Options]:[Selection Options]],","))),,N$11),"")</f>
        <v>100%: Supported as delivered "out of the box"</v>
      </c>
      <c r="O42" s="29" t="str" cm="1">
        <f t="array" ref="O42">IFERROR(INDEX(_xlfn.UNIQUE(TRIM(_xlfn.TEXTSPLIT(Table26142567[[#This Row],[Selection Options]:[Selection Options]],","))),,O$11),"")</f>
        <v xml:space="preserve">
75%: Supported via modifications (config)</v>
      </c>
      <c r="P42" s="29" t="str" cm="1">
        <f t="array" ref="P42">IFERROR(INDEX(_xlfn.UNIQUE(TRIM(_xlfn.TEXTSPLIT(Table26142567[[#This Row],[Selection Options]:[Selection Options]],","))),,P$11),"")</f>
        <v xml:space="preserve">
50%: Supported via a third party solution</v>
      </c>
      <c r="Q42" s="29" t="str" cm="1">
        <f t="array" ref="Q42">IFERROR(INDEX(_xlfn.UNIQUE(TRIM(_xlfn.TEXTSPLIT(Table26142567[[#This Row],[Selection Options]:[Selection Options]],","))),,Q$11),"")</f>
        <v xml:space="preserve">
25%: Supported via customisation (source code changes)</v>
      </c>
      <c r="R42" s="29" t="str" cm="1">
        <f t="array" ref="R42">IFERROR(INDEX(_xlfn.UNIQUE(TRIM(_xlfn.TEXTSPLIT(Table26142567[[#This Row],[Selection Options]:[Selection Options]],","))),,R$11),"")</f>
        <v xml:space="preserve">
 0%: Not currently supported</v>
      </c>
      <c r="S42" s="29" t="str" cm="1">
        <f t="array" ref="S42">IFERROR(INDEX(_xlfn.UNIQUE(TRIM(_xlfn.TEXTSPLIT(Table26142567[[#This Row],[Selection Options]:[Selection Options]],","))),,S$11),"")</f>
        <v/>
      </c>
      <c r="T42" s="29" t="str" cm="1">
        <f t="array" ref="T42">IFERROR(INDEX(_xlfn.UNIQUE(TRIM(_xlfn.TEXTSPLIT(Table26142567[[#This Row],[Selection Options]:[Selection Options]],","))),,T$11),"")</f>
        <v/>
      </c>
      <c r="U42" s="29" t="str" cm="1">
        <f t="array" ref="U42">IFERROR(INDEX(_xlfn.UNIQUE(TRIM(_xlfn.TEXTSPLIT(Table26142567[[#This Row],[Selection Options]:[Selection Options]],","))),,U$11),"")</f>
        <v/>
      </c>
      <c r="V42" s="29" t="str" cm="1">
        <f t="array" ref="V42">IFERROR(INDEX(_xlfn.UNIQUE(TRIM(_xlfn.TEXTSPLIT(Table26142567[[#This Row],[Selection Options]:[Selection Options]],","))),,V$11),"")</f>
        <v/>
      </c>
      <c r="W42" s="29" t="str" cm="1">
        <f t="array" ref="W42">IFERROR(INDEX(_xlfn.UNIQUE(TRIM(_xlfn.TEXTSPLIT(Table26142567[[#This Row],[Selection Options]:[Selection Options]],","))),,W$11),"")</f>
        <v/>
      </c>
      <c r="X42" s="29" t="str" cm="1">
        <f t="array" ref="X42">IFERROR(INDEX(_xlfn.UNIQUE(TRIM(_xlfn.TEXTSPLIT(Table26142567[[#This Row],[Selection Options]:[Selection Options]],","))),,X$11),"")</f>
        <v/>
      </c>
      <c r="Y42" s="30" cm="1">
        <f t="array" ref="Y42">IF(Table26142567[[#This Row],[1]]="","",Table26142567[[#This Row],[Weight]:[Weight]]-(Table26142567[[#This Row],[Weight]:[Weight]]*((_xlfn.XMATCH(Table26142567[[#This Row],[1]],Table26142567[[#This Row],[1]:[11]],0))-1)/(COUNTA(Table26142567[[#This Row],[1]:[11]])-COUNTBLANK(Table26142567[[#This Row],[1]:[11]])-1)))</f>
        <v>5.6306306306306306E-4</v>
      </c>
      <c r="Z42" s="30" cm="1">
        <f t="array" ref="Z42">IF(Table26142567[[#This Row],[2]]="","",Table26142567[[#This Row],[Weight]:[Weight]]-(Table26142567[[#This Row],[Weight]:[Weight]]*((_xlfn.XMATCH(Table26142567[[#This Row],[2]],Table26142567[[#This Row],[1]:[11]],0))-1)/(COUNTA(Table26142567[[#This Row],[1]:[11]])-COUNTBLANK(Table26142567[[#This Row],[1]:[11]])-1)))</f>
        <v>4.2229729729729732E-4</v>
      </c>
      <c r="AA42" s="30" cm="1">
        <f t="array" ref="AA42">IF(Table26142567[[#This Row],[3]]="","",Table26142567[[#This Row],[Weight]:[Weight]]-(Table26142567[[#This Row],[Weight]:[Weight]]*((_xlfn.XMATCH(Table26142567[[#This Row],[3]],Table26142567[[#This Row],[1]:[11]],0))-1)/(COUNTA(Table26142567[[#This Row],[1]:[11]])-COUNTBLANK(Table26142567[[#This Row],[1]:[11]])-1)))</f>
        <v>2.8153153153153153E-4</v>
      </c>
      <c r="AB42" s="30" cm="1">
        <f t="array" ref="AB42">IF(Table26142567[[#This Row],[4]]="","",Table26142567[[#This Row],[Weight]:[Weight]]-(Table26142567[[#This Row],[Weight]:[Weight]]*((_xlfn.XMATCH(Table26142567[[#This Row],[4]],Table26142567[[#This Row],[1]:[11]],0))-1)/(COUNTA(Table26142567[[#This Row],[1]:[11]])-COUNTBLANK(Table26142567[[#This Row],[1]:[11]])-1)))</f>
        <v>1.4076576576576574E-4</v>
      </c>
      <c r="AC42" s="30" cm="1">
        <f t="array" ref="AC42">IF(Table26142567[[#This Row],[5]]="","",Table26142567[[#This Row],[Weight]:[Weight]]-(Table26142567[[#This Row],[Weight]:[Weight]]*((_xlfn.XMATCH(Table26142567[[#This Row],[5]],Table26142567[[#This Row],[1]:[11]],0))-1)/(COUNTA(Table26142567[[#This Row],[1]:[11]])-COUNTBLANK(Table26142567[[#This Row],[1]:[11]])-1)))</f>
        <v>0</v>
      </c>
      <c r="AD42" s="30" t="str" cm="1">
        <f t="array" ref="AD42">IF(Table26142567[[#This Row],[6]]="","",Table26142567[[#This Row],[Weight]:[Weight]]-(Table26142567[[#This Row],[Weight]:[Weight]]*((_xlfn.XMATCH(Table26142567[[#This Row],[6]],Table26142567[[#This Row],[1]:[11]],0))-1)/(COUNTA(Table26142567[[#This Row],[1]:[11]])-COUNTBLANK(Table26142567[[#This Row],[1]:[11]])-1)))</f>
        <v/>
      </c>
      <c r="AE42" s="30" t="str" cm="1">
        <f t="array" ref="AE42">IF(Table26142567[[#This Row],[7]]="","",Table26142567[[#This Row],[Weight]:[Weight]]-(Table26142567[[#This Row],[Weight]:[Weight]]*((_xlfn.XMATCH(Table26142567[[#This Row],[7]],Table26142567[[#This Row],[1]:[11]],0))-1)/(COUNTA(Table26142567[[#This Row],[1]:[11]])-COUNTBLANK(Table26142567[[#This Row],[1]:[11]])-1)))</f>
        <v/>
      </c>
      <c r="AF42" s="30" t="str" cm="1">
        <f t="array" ref="AF42">IF(Table26142567[[#This Row],[8]]="","",Table26142567[[#This Row],[Weight]:[Weight]]-(Table26142567[[#This Row],[Weight]:[Weight]]*((_xlfn.XMATCH(Table26142567[[#This Row],[8]],Table26142567[[#This Row],[1]:[11]],0))-1)/(COUNTA(Table26142567[[#This Row],[1]:[11]])-COUNTBLANK(Table26142567[[#This Row],[1]:[11]])-1)))</f>
        <v/>
      </c>
      <c r="AG42" s="30" t="str" cm="1">
        <f t="array" ref="AG42">IF(Table26142567[[#This Row],[9]]="","",Table26142567[[#This Row],[Weight]:[Weight]]-(Table26142567[[#This Row],[Weight]:[Weight]]*((_xlfn.XMATCH(Table26142567[[#This Row],[9]],Table26142567[[#This Row],[1]:[11]],0))-1)/(COUNTA(Table26142567[[#This Row],[1]:[11]])-COUNTBLANK(Table26142567[[#This Row],[1]:[11]])-1)))</f>
        <v/>
      </c>
      <c r="AH42" s="30" t="str" cm="1">
        <f t="array" ref="AH42">IF(Table26142567[[#This Row],[10]]="","",Table26142567[[#This Row],[Weight]:[Weight]]-(Table26142567[[#This Row],[Weight]:[Weight]]*((_xlfn.XMATCH(Table26142567[[#This Row],[10]],Table26142567[[#This Row],[1]:[11]],0))-1)/(COUNTA(Table26142567[[#This Row],[1]:[11]])-COUNTBLANK(Table26142567[[#This Row],[1]:[11]])-1)))</f>
        <v/>
      </c>
      <c r="AI42" s="30" t="str" cm="1">
        <f t="array" ref="AI42">IF(Table26142567[[#This Row],[11]]="","",Table26142567[[#This Row],[Weight]:[Weight]]-(Table26142567[[#This Row],[Weight]:[Weight]]*((_xlfn.XMATCH(Table26142567[[#This Row],[11]],Table26142567[[#This Row],[1]:[11]],0))-1)/(COUNTA(Table26142567[[#This Row],[1]:[11]])-COUNTBLANK(Table26142567[[#This Row],[1]:[11]])-1)))</f>
        <v/>
      </c>
    </row>
    <row r="43" spans="1:35" ht="108" x14ac:dyDescent="0.2">
      <c r="A43" s="20">
        <v>31</v>
      </c>
      <c r="B43" s="90" t="s">
        <v>421</v>
      </c>
      <c r="C43" s="119" t="s">
        <v>215</v>
      </c>
      <c r="D43" s="153"/>
      <c r="E43" s="153"/>
      <c r="F43" s="121" t="s">
        <v>60</v>
      </c>
      <c r="G43" s="148" cm="1">
        <f t="array" ref="G43">_xlfn.IFS(F43="","",F43="No interest",0,F43="Nice to have",1,F43="Useful",2,F43="Important",3,F43="Very important",4,F43="Critical",5,F43="Show stopper",6)</f>
        <v>6</v>
      </c>
      <c r="H43" s="149">
        <f t="shared" si="1"/>
        <v>6.756756756756756E-4</v>
      </c>
      <c r="I43" s="150" t="s">
        <v>321</v>
      </c>
      <c r="J43" s="35" t="str" cm="1">
        <f t="array" ref="J43">_xlfn.TEXTJOIN(","&amp;CHAR(10),,TEXT(Table26142567[[#This Row],[12]:[22]],"0,00%"))</f>
        <v>0,00%,
0,00%,
0,00%,
0,00%,
0,00%</v>
      </c>
      <c r="K43" s="26"/>
      <c r="L43" s="27" t="e">
        <f>H43-(H43*((MATCH(Table26142567[[#This Row],[Evaluators Response (SELECT)]],Table26142567[[#This Row],[1]:[11]],0)-1)/(COUNTA(Table26142567[[#This Row],[1]:[11]])-COUNTBLANK(Table26142567[[#This Row],[1]:[11]])-1)))</f>
        <v>#N/A</v>
      </c>
      <c r="M43" s="28"/>
      <c r="N43" s="29" t="str" cm="1">
        <f t="array" ref="N43">IFERROR(INDEX(_xlfn.UNIQUE(TRIM(_xlfn.TEXTSPLIT(Table26142567[[#This Row],[Selection Options]:[Selection Options]],","))),,N$11),"")</f>
        <v>100%: Supported as delivered "out of the box"</v>
      </c>
      <c r="O43" s="29" t="str" cm="1">
        <f t="array" ref="O43">IFERROR(INDEX(_xlfn.UNIQUE(TRIM(_xlfn.TEXTSPLIT(Table26142567[[#This Row],[Selection Options]:[Selection Options]],","))),,O$11),"")</f>
        <v xml:space="preserve">
75%: Supported via modifications (config)</v>
      </c>
      <c r="P43" s="29" t="str" cm="1">
        <f t="array" ref="P43">IFERROR(INDEX(_xlfn.UNIQUE(TRIM(_xlfn.TEXTSPLIT(Table26142567[[#This Row],[Selection Options]:[Selection Options]],","))),,P$11),"")</f>
        <v xml:space="preserve">
50%: Supported via a third party solution</v>
      </c>
      <c r="Q43" s="29" t="str" cm="1">
        <f t="array" ref="Q43">IFERROR(INDEX(_xlfn.UNIQUE(TRIM(_xlfn.TEXTSPLIT(Table26142567[[#This Row],[Selection Options]:[Selection Options]],","))),,Q$11),"")</f>
        <v xml:space="preserve">
25%: Supported via customisation (source code changes)</v>
      </c>
      <c r="R43" s="29" t="str" cm="1">
        <f t="array" ref="R43">IFERROR(INDEX(_xlfn.UNIQUE(TRIM(_xlfn.TEXTSPLIT(Table26142567[[#This Row],[Selection Options]:[Selection Options]],","))),,R$11),"")</f>
        <v xml:space="preserve">
 0%: Not currently supported</v>
      </c>
      <c r="S43" s="29" t="str" cm="1">
        <f t="array" ref="S43">IFERROR(INDEX(_xlfn.UNIQUE(TRIM(_xlfn.TEXTSPLIT(Table26142567[[#This Row],[Selection Options]:[Selection Options]],","))),,S$11),"")</f>
        <v/>
      </c>
      <c r="T43" s="29" t="str" cm="1">
        <f t="array" ref="T43">IFERROR(INDEX(_xlfn.UNIQUE(TRIM(_xlfn.TEXTSPLIT(Table26142567[[#This Row],[Selection Options]:[Selection Options]],","))),,T$11),"")</f>
        <v/>
      </c>
      <c r="U43" s="29" t="str" cm="1">
        <f t="array" ref="U43">IFERROR(INDEX(_xlfn.UNIQUE(TRIM(_xlfn.TEXTSPLIT(Table26142567[[#This Row],[Selection Options]:[Selection Options]],","))),,U$11),"")</f>
        <v/>
      </c>
      <c r="V43" s="29" t="str" cm="1">
        <f t="array" ref="V43">IFERROR(INDEX(_xlfn.UNIQUE(TRIM(_xlfn.TEXTSPLIT(Table26142567[[#This Row],[Selection Options]:[Selection Options]],","))),,V$11),"")</f>
        <v/>
      </c>
      <c r="W43" s="29" t="str" cm="1">
        <f t="array" ref="W43">IFERROR(INDEX(_xlfn.UNIQUE(TRIM(_xlfn.TEXTSPLIT(Table26142567[[#This Row],[Selection Options]:[Selection Options]],","))),,W$11),"")</f>
        <v/>
      </c>
      <c r="X43" s="29" t="str" cm="1">
        <f t="array" ref="X43">IFERROR(INDEX(_xlfn.UNIQUE(TRIM(_xlfn.TEXTSPLIT(Table26142567[[#This Row],[Selection Options]:[Selection Options]],","))),,X$11),"")</f>
        <v/>
      </c>
      <c r="Y43" s="30" cm="1">
        <f t="array" ref="Y43">IF(Table26142567[[#This Row],[1]]="","",Table26142567[[#This Row],[Weight]:[Weight]]-(Table26142567[[#This Row],[Weight]:[Weight]]*((_xlfn.XMATCH(Table26142567[[#This Row],[1]],Table26142567[[#This Row],[1]:[11]],0))-1)/(COUNTA(Table26142567[[#This Row],[1]:[11]])-COUNTBLANK(Table26142567[[#This Row],[1]:[11]])-1)))</f>
        <v>6.756756756756756E-4</v>
      </c>
      <c r="Z43" s="30" cm="1">
        <f t="array" ref="Z43">IF(Table26142567[[#This Row],[2]]="","",Table26142567[[#This Row],[Weight]:[Weight]]-(Table26142567[[#This Row],[Weight]:[Weight]]*((_xlfn.XMATCH(Table26142567[[#This Row],[2]],Table26142567[[#This Row],[1]:[11]],0))-1)/(COUNTA(Table26142567[[#This Row],[1]:[11]])-COUNTBLANK(Table26142567[[#This Row],[1]:[11]])-1)))</f>
        <v>5.0675675675675668E-4</v>
      </c>
      <c r="AA43" s="30" cm="1">
        <f t="array" ref="AA43">IF(Table26142567[[#This Row],[3]]="","",Table26142567[[#This Row],[Weight]:[Weight]]-(Table26142567[[#This Row],[Weight]:[Weight]]*((_xlfn.XMATCH(Table26142567[[#This Row],[3]],Table26142567[[#This Row],[1]:[11]],0))-1)/(COUNTA(Table26142567[[#This Row],[1]:[11]])-COUNTBLANK(Table26142567[[#This Row],[1]:[11]])-1)))</f>
        <v>3.378378378378378E-4</v>
      </c>
      <c r="AB43" s="30" cm="1">
        <f t="array" ref="AB43">IF(Table26142567[[#This Row],[4]]="","",Table26142567[[#This Row],[Weight]:[Weight]]-(Table26142567[[#This Row],[Weight]:[Weight]]*((_xlfn.XMATCH(Table26142567[[#This Row],[4]],Table26142567[[#This Row],[1]:[11]],0))-1)/(COUNTA(Table26142567[[#This Row],[1]:[11]])-COUNTBLANK(Table26142567[[#This Row],[1]:[11]])-1)))</f>
        <v>1.6891891891891893E-4</v>
      </c>
      <c r="AC43" s="30" cm="1">
        <f t="array" ref="AC43">IF(Table26142567[[#This Row],[5]]="","",Table26142567[[#This Row],[Weight]:[Weight]]-(Table26142567[[#This Row],[Weight]:[Weight]]*((_xlfn.XMATCH(Table26142567[[#This Row],[5]],Table26142567[[#This Row],[1]:[11]],0))-1)/(COUNTA(Table26142567[[#This Row],[1]:[11]])-COUNTBLANK(Table26142567[[#This Row],[1]:[11]])-1)))</f>
        <v>0</v>
      </c>
      <c r="AD43" s="30" t="str" cm="1">
        <f t="array" ref="AD43">IF(Table26142567[[#This Row],[6]]="","",Table26142567[[#This Row],[Weight]:[Weight]]-(Table26142567[[#This Row],[Weight]:[Weight]]*((_xlfn.XMATCH(Table26142567[[#This Row],[6]],Table26142567[[#This Row],[1]:[11]],0))-1)/(COUNTA(Table26142567[[#This Row],[1]:[11]])-COUNTBLANK(Table26142567[[#This Row],[1]:[11]])-1)))</f>
        <v/>
      </c>
      <c r="AE43" s="30" t="str" cm="1">
        <f t="array" ref="AE43">IF(Table26142567[[#This Row],[7]]="","",Table26142567[[#This Row],[Weight]:[Weight]]-(Table26142567[[#This Row],[Weight]:[Weight]]*((_xlfn.XMATCH(Table26142567[[#This Row],[7]],Table26142567[[#This Row],[1]:[11]],0))-1)/(COUNTA(Table26142567[[#This Row],[1]:[11]])-COUNTBLANK(Table26142567[[#This Row],[1]:[11]])-1)))</f>
        <v/>
      </c>
      <c r="AF43" s="30" t="str" cm="1">
        <f t="array" ref="AF43">IF(Table26142567[[#This Row],[8]]="","",Table26142567[[#This Row],[Weight]:[Weight]]-(Table26142567[[#This Row],[Weight]:[Weight]]*((_xlfn.XMATCH(Table26142567[[#This Row],[8]],Table26142567[[#This Row],[1]:[11]],0))-1)/(COUNTA(Table26142567[[#This Row],[1]:[11]])-COUNTBLANK(Table26142567[[#This Row],[1]:[11]])-1)))</f>
        <v/>
      </c>
      <c r="AG43" s="30" t="str" cm="1">
        <f t="array" ref="AG43">IF(Table26142567[[#This Row],[9]]="","",Table26142567[[#This Row],[Weight]:[Weight]]-(Table26142567[[#This Row],[Weight]:[Weight]]*((_xlfn.XMATCH(Table26142567[[#This Row],[9]],Table26142567[[#This Row],[1]:[11]],0))-1)/(COUNTA(Table26142567[[#This Row],[1]:[11]])-COUNTBLANK(Table26142567[[#This Row],[1]:[11]])-1)))</f>
        <v/>
      </c>
      <c r="AH43" s="30" t="str" cm="1">
        <f t="array" ref="AH43">IF(Table26142567[[#This Row],[10]]="","",Table26142567[[#This Row],[Weight]:[Weight]]-(Table26142567[[#This Row],[Weight]:[Weight]]*((_xlfn.XMATCH(Table26142567[[#This Row],[10]],Table26142567[[#This Row],[1]:[11]],0))-1)/(COUNTA(Table26142567[[#This Row],[1]:[11]])-COUNTBLANK(Table26142567[[#This Row],[1]:[11]])-1)))</f>
        <v/>
      </c>
      <c r="AI43" s="30" t="str" cm="1">
        <f t="array" ref="AI43">IF(Table26142567[[#This Row],[11]]="","",Table26142567[[#This Row],[Weight]:[Weight]]-(Table26142567[[#This Row],[Weight]:[Weight]]*((_xlfn.XMATCH(Table26142567[[#This Row],[11]],Table26142567[[#This Row],[1]:[11]],0))-1)/(COUNTA(Table26142567[[#This Row],[1]:[11]])-COUNTBLANK(Table26142567[[#This Row],[1]:[11]])-1)))</f>
        <v/>
      </c>
    </row>
    <row r="44" spans="1:35" ht="108" x14ac:dyDescent="0.2">
      <c r="A44" s="20">
        <v>32</v>
      </c>
      <c r="B44" s="90" t="s">
        <v>422</v>
      </c>
      <c r="C44" s="119" t="s">
        <v>215</v>
      </c>
      <c r="D44" s="153"/>
      <c r="E44" s="153"/>
      <c r="F44" s="121" t="s">
        <v>60</v>
      </c>
      <c r="G44" s="148" cm="1">
        <f t="array" ref="G44">_xlfn.IFS(F44="","",F44="No interest",0,F44="Nice to have",1,F44="Useful",2,F44="Important",3,F44="Very important",4,F44="Critical",5,F44="Show stopper",6)</f>
        <v>6</v>
      </c>
      <c r="H44" s="149">
        <f t="shared" si="1"/>
        <v>6.756756756756756E-4</v>
      </c>
      <c r="I44" s="150" t="s">
        <v>321</v>
      </c>
      <c r="J44" s="35" t="str" cm="1">
        <f t="array" ref="J44">_xlfn.TEXTJOIN(","&amp;CHAR(10),,TEXT(Table26142567[[#This Row],[12]:[22]],"0,00%"))</f>
        <v>0,00%,
0,00%,
0,00%,
0,00%,
0,00%</v>
      </c>
      <c r="K44" s="26"/>
      <c r="L44" s="27" t="e">
        <f>H44-(H44*((MATCH(Table26142567[[#This Row],[Evaluators Response (SELECT)]],Table26142567[[#This Row],[1]:[11]],0)-1)/(COUNTA(Table26142567[[#This Row],[1]:[11]])-COUNTBLANK(Table26142567[[#This Row],[1]:[11]])-1)))</f>
        <v>#N/A</v>
      </c>
      <c r="M44" s="28"/>
      <c r="N44" s="29" t="str" cm="1">
        <f t="array" ref="N44">IFERROR(INDEX(_xlfn.UNIQUE(TRIM(_xlfn.TEXTSPLIT(Table26142567[[#This Row],[Selection Options]:[Selection Options]],","))),,N$11),"")</f>
        <v>100%: Supported as delivered "out of the box"</v>
      </c>
      <c r="O44" s="29" t="str" cm="1">
        <f t="array" ref="O44">IFERROR(INDEX(_xlfn.UNIQUE(TRIM(_xlfn.TEXTSPLIT(Table26142567[[#This Row],[Selection Options]:[Selection Options]],","))),,O$11),"")</f>
        <v xml:space="preserve">
75%: Supported via modifications (config)</v>
      </c>
      <c r="P44" s="29" t="str" cm="1">
        <f t="array" ref="P44">IFERROR(INDEX(_xlfn.UNIQUE(TRIM(_xlfn.TEXTSPLIT(Table26142567[[#This Row],[Selection Options]:[Selection Options]],","))),,P$11),"")</f>
        <v xml:space="preserve">
50%: Supported via a third party solution</v>
      </c>
      <c r="Q44" s="29" t="str" cm="1">
        <f t="array" ref="Q44">IFERROR(INDEX(_xlfn.UNIQUE(TRIM(_xlfn.TEXTSPLIT(Table26142567[[#This Row],[Selection Options]:[Selection Options]],","))),,Q$11),"")</f>
        <v xml:space="preserve">
25%: Supported via customisation (source code changes)</v>
      </c>
      <c r="R44" s="29" t="str" cm="1">
        <f t="array" ref="R44">IFERROR(INDEX(_xlfn.UNIQUE(TRIM(_xlfn.TEXTSPLIT(Table26142567[[#This Row],[Selection Options]:[Selection Options]],","))),,R$11),"")</f>
        <v xml:space="preserve">
 0%: Not currently supported</v>
      </c>
      <c r="S44" s="29" t="str" cm="1">
        <f t="array" ref="S44">IFERROR(INDEX(_xlfn.UNIQUE(TRIM(_xlfn.TEXTSPLIT(Table26142567[[#This Row],[Selection Options]:[Selection Options]],","))),,S$11),"")</f>
        <v/>
      </c>
      <c r="T44" s="29" t="str" cm="1">
        <f t="array" ref="T44">IFERROR(INDEX(_xlfn.UNIQUE(TRIM(_xlfn.TEXTSPLIT(Table26142567[[#This Row],[Selection Options]:[Selection Options]],","))),,T$11),"")</f>
        <v/>
      </c>
      <c r="U44" s="29" t="str" cm="1">
        <f t="array" ref="U44">IFERROR(INDEX(_xlfn.UNIQUE(TRIM(_xlfn.TEXTSPLIT(Table26142567[[#This Row],[Selection Options]:[Selection Options]],","))),,U$11),"")</f>
        <v/>
      </c>
      <c r="V44" s="29" t="str" cm="1">
        <f t="array" ref="V44">IFERROR(INDEX(_xlfn.UNIQUE(TRIM(_xlfn.TEXTSPLIT(Table26142567[[#This Row],[Selection Options]:[Selection Options]],","))),,V$11),"")</f>
        <v/>
      </c>
      <c r="W44" s="29" t="str" cm="1">
        <f t="array" ref="W44">IFERROR(INDEX(_xlfn.UNIQUE(TRIM(_xlfn.TEXTSPLIT(Table26142567[[#This Row],[Selection Options]:[Selection Options]],","))),,W$11),"")</f>
        <v/>
      </c>
      <c r="X44" s="29" t="str" cm="1">
        <f t="array" ref="X44">IFERROR(INDEX(_xlfn.UNIQUE(TRIM(_xlfn.TEXTSPLIT(Table26142567[[#This Row],[Selection Options]:[Selection Options]],","))),,X$11),"")</f>
        <v/>
      </c>
      <c r="Y44" s="30" cm="1">
        <f t="array" ref="Y44">IF(Table26142567[[#This Row],[1]]="","",Table26142567[[#This Row],[Weight]:[Weight]]-(Table26142567[[#This Row],[Weight]:[Weight]]*((_xlfn.XMATCH(Table26142567[[#This Row],[1]],Table26142567[[#This Row],[1]:[11]],0))-1)/(COUNTA(Table26142567[[#This Row],[1]:[11]])-COUNTBLANK(Table26142567[[#This Row],[1]:[11]])-1)))</f>
        <v>6.756756756756756E-4</v>
      </c>
      <c r="Z44" s="30" cm="1">
        <f t="array" ref="Z44">IF(Table26142567[[#This Row],[2]]="","",Table26142567[[#This Row],[Weight]:[Weight]]-(Table26142567[[#This Row],[Weight]:[Weight]]*((_xlfn.XMATCH(Table26142567[[#This Row],[2]],Table26142567[[#This Row],[1]:[11]],0))-1)/(COUNTA(Table26142567[[#This Row],[1]:[11]])-COUNTBLANK(Table26142567[[#This Row],[1]:[11]])-1)))</f>
        <v>5.0675675675675668E-4</v>
      </c>
      <c r="AA44" s="30" cm="1">
        <f t="array" ref="AA44">IF(Table26142567[[#This Row],[3]]="","",Table26142567[[#This Row],[Weight]:[Weight]]-(Table26142567[[#This Row],[Weight]:[Weight]]*((_xlfn.XMATCH(Table26142567[[#This Row],[3]],Table26142567[[#This Row],[1]:[11]],0))-1)/(COUNTA(Table26142567[[#This Row],[1]:[11]])-COUNTBLANK(Table26142567[[#This Row],[1]:[11]])-1)))</f>
        <v>3.378378378378378E-4</v>
      </c>
      <c r="AB44" s="30" cm="1">
        <f t="array" ref="AB44">IF(Table26142567[[#This Row],[4]]="","",Table26142567[[#This Row],[Weight]:[Weight]]-(Table26142567[[#This Row],[Weight]:[Weight]]*((_xlfn.XMATCH(Table26142567[[#This Row],[4]],Table26142567[[#This Row],[1]:[11]],0))-1)/(COUNTA(Table26142567[[#This Row],[1]:[11]])-COUNTBLANK(Table26142567[[#This Row],[1]:[11]])-1)))</f>
        <v>1.6891891891891893E-4</v>
      </c>
      <c r="AC44" s="30" cm="1">
        <f t="array" ref="AC44">IF(Table26142567[[#This Row],[5]]="","",Table26142567[[#This Row],[Weight]:[Weight]]-(Table26142567[[#This Row],[Weight]:[Weight]]*((_xlfn.XMATCH(Table26142567[[#This Row],[5]],Table26142567[[#This Row],[1]:[11]],0))-1)/(COUNTA(Table26142567[[#This Row],[1]:[11]])-COUNTBLANK(Table26142567[[#This Row],[1]:[11]])-1)))</f>
        <v>0</v>
      </c>
      <c r="AD44" s="30" t="str" cm="1">
        <f t="array" ref="AD44">IF(Table26142567[[#This Row],[6]]="","",Table26142567[[#This Row],[Weight]:[Weight]]-(Table26142567[[#This Row],[Weight]:[Weight]]*((_xlfn.XMATCH(Table26142567[[#This Row],[6]],Table26142567[[#This Row],[1]:[11]],0))-1)/(COUNTA(Table26142567[[#This Row],[1]:[11]])-COUNTBLANK(Table26142567[[#This Row],[1]:[11]])-1)))</f>
        <v/>
      </c>
      <c r="AE44" s="30" t="str" cm="1">
        <f t="array" ref="AE44">IF(Table26142567[[#This Row],[7]]="","",Table26142567[[#This Row],[Weight]:[Weight]]-(Table26142567[[#This Row],[Weight]:[Weight]]*((_xlfn.XMATCH(Table26142567[[#This Row],[7]],Table26142567[[#This Row],[1]:[11]],0))-1)/(COUNTA(Table26142567[[#This Row],[1]:[11]])-COUNTBLANK(Table26142567[[#This Row],[1]:[11]])-1)))</f>
        <v/>
      </c>
      <c r="AF44" s="30" t="str" cm="1">
        <f t="array" ref="AF44">IF(Table26142567[[#This Row],[8]]="","",Table26142567[[#This Row],[Weight]:[Weight]]-(Table26142567[[#This Row],[Weight]:[Weight]]*((_xlfn.XMATCH(Table26142567[[#This Row],[8]],Table26142567[[#This Row],[1]:[11]],0))-1)/(COUNTA(Table26142567[[#This Row],[1]:[11]])-COUNTBLANK(Table26142567[[#This Row],[1]:[11]])-1)))</f>
        <v/>
      </c>
      <c r="AG44" s="30" t="str" cm="1">
        <f t="array" ref="AG44">IF(Table26142567[[#This Row],[9]]="","",Table26142567[[#This Row],[Weight]:[Weight]]-(Table26142567[[#This Row],[Weight]:[Weight]]*((_xlfn.XMATCH(Table26142567[[#This Row],[9]],Table26142567[[#This Row],[1]:[11]],0))-1)/(COUNTA(Table26142567[[#This Row],[1]:[11]])-COUNTBLANK(Table26142567[[#This Row],[1]:[11]])-1)))</f>
        <v/>
      </c>
      <c r="AH44" s="30" t="str" cm="1">
        <f t="array" ref="AH44">IF(Table26142567[[#This Row],[10]]="","",Table26142567[[#This Row],[Weight]:[Weight]]-(Table26142567[[#This Row],[Weight]:[Weight]]*((_xlfn.XMATCH(Table26142567[[#This Row],[10]],Table26142567[[#This Row],[1]:[11]],0))-1)/(COUNTA(Table26142567[[#This Row],[1]:[11]])-COUNTBLANK(Table26142567[[#This Row],[1]:[11]])-1)))</f>
        <v/>
      </c>
      <c r="AI44" s="30" t="str" cm="1">
        <f t="array" ref="AI44">IF(Table26142567[[#This Row],[11]]="","",Table26142567[[#This Row],[Weight]:[Weight]]-(Table26142567[[#This Row],[Weight]:[Weight]]*((_xlfn.XMATCH(Table26142567[[#This Row],[11]],Table26142567[[#This Row],[1]:[11]],0))-1)/(COUNTA(Table26142567[[#This Row],[1]:[11]])-COUNTBLANK(Table26142567[[#This Row],[1]:[11]])-1)))</f>
        <v/>
      </c>
    </row>
    <row r="45" spans="1:35" ht="108" x14ac:dyDescent="0.2">
      <c r="A45" s="20">
        <v>33</v>
      </c>
      <c r="B45" s="90" t="s">
        <v>423</v>
      </c>
      <c r="C45" s="119" t="s">
        <v>215</v>
      </c>
      <c r="D45" s="153"/>
      <c r="E45" s="153"/>
      <c r="F45" s="121" t="s">
        <v>60</v>
      </c>
      <c r="G45" s="148" cm="1">
        <f t="array" ref="G45">_xlfn.IFS(F45="","",F45="No interest",0,F45="Nice to have",1,F45="Useful",2,F45="Important",3,F45="Very important",4,F45="Critical",5,F45="Show stopper",6)</f>
        <v>6</v>
      </c>
      <c r="H45" s="149">
        <f t="shared" si="1"/>
        <v>6.756756756756756E-4</v>
      </c>
      <c r="I45" s="150" t="s">
        <v>321</v>
      </c>
      <c r="J45" s="35" t="str" cm="1">
        <f t="array" ref="J45">_xlfn.TEXTJOIN(","&amp;CHAR(10),,TEXT(Table26142567[[#This Row],[12]:[22]],"0,00%"))</f>
        <v>0,00%,
0,00%,
0,00%,
0,00%,
0,00%</v>
      </c>
      <c r="K45" s="26"/>
      <c r="L45" s="27" t="e">
        <f>H45-(H45*((MATCH(Table26142567[[#This Row],[Evaluators Response (SELECT)]],Table26142567[[#This Row],[1]:[11]],0)-1)/(COUNTA(Table26142567[[#This Row],[1]:[11]])-COUNTBLANK(Table26142567[[#This Row],[1]:[11]])-1)))</f>
        <v>#N/A</v>
      </c>
      <c r="M45" s="28"/>
      <c r="N45" s="29" t="str" cm="1">
        <f t="array" ref="N45">IFERROR(INDEX(_xlfn.UNIQUE(TRIM(_xlfn.TEXTSPLIT(Table26142567[[#This Row],[Selection Options]:[Selection Options]],","))),,N$11),"")</f>
        <v>100%: Supported as delivered "out of the box"</v>
      </c>
      <c r="O45" s="29" t="str" cm="1">
        <f t="array" ref="O45">IFERROR(INDEX(_xlfn.UNIQUE(TRIM(_xlfn.TEXTSPLIT(Table26142567[[#This Row],[Selection Options]:[Selection Options]],","))),,O$11),"")</f>
        <v xml:space="preserve">
75%: Supported via modifications (config)</v>
      </c>
      <c r="P45" s="29" t="str" cm="1">
        <f t="array" ref="P45">IFERROR(INDEX(_xlfn.UNIQUE(TRIM(_xlfn.TEXTSPLIT(Table26142567[[#This Row],[Selection Options]:[Selection Options]],","))),,P$11),"")</f>
        <v xml:space="preserve">
50%: Supported via a third party solution</v>
      </c>
      <c r="Q45" s="29" t="str" cm="1">
        <f t="array" ref="Q45">IFERROR(INDEX(_xlfn.UNIQUE(TRIM(_xlfn.TEXTSPLIT(Table26142567[[#This Row],[Selection Options]:[Selection Options]],","))),,Q$11),"")</f>
        <v xml:space="preserve">
25%: Supported via customisation (source code changes)</v>
      </c>
      <c r="R45" s="29" t="str" cm="1">
        <f t="array" ref="R45">IFERROR(INDEX(_xlfn.UNIQUE(TRIM(_xlfn.TEXTSPLIT(Table26142567[[#This Row],[Selection Options]:[Selection Options]],","))),,R$11),"")</f>
        <v xml:space="preserve">
 0%: Not currently supported</v>
      </c>
      <c r="S45" s="29" t="str" cm="1">
        <f t="array" ref="S45">IFERROR(INDEX(_xlfn.UNIQUE(TRIM(_xlfn.TEXTSPLIT(Table26142567[[#This Row],[Selection Options]:[Selection Options]],","))),,S$11),"")</f>
        <v/>
      </c>
      <c r="T45" s="29" t="str" cm="1">
        <f t="array" ref="T45">IFERROR(INDEX(_xlfn.UNIQUE(TRIM(_xlfn.TEXTSPLIT(Table26142567[[#This Row],[Selection Options]:[Selection Options]],","))),,T$11),"")</f>
        <v/>
      </c>
      <c r="U45" s="29" t="str" cm="1">
        <f t="array" ref="U45">IFERROR(INDEX(_xlfn.UNIQUE(TRIM(_xlfn.TEXTSPLIT(Table26142567[[#This Row],[Selection Options]:[Selection Options]],","))),,U$11),"")</f>
        <v/>
      </c>
      <c r="V45" s="29" t="str" cm="1">
        <f t="array" ref="V45">IFERROR(INDEX(_xlfn.UNIQUE(TRIM(_xlfn.TEXTSPLIT(Table26142567[[#This Row],[Selection Options]:[Selection Options]],","))),,V$11),"")</f>
        <v/>
      </c>
      <c r="W45" s="29" t="str" cm="1">
        <f t="array" ref="W45">IFERROR(INDEX(_xlfn.UNIQUE(TRIM(_xlfn.TEXTSPLIT(Table26142567[[#This Row],[Selection Options]:[Selection Options]],","))),,W$11),"")</f>
        <v/>
      </c>
      <c r="X45" s="29" t="str" cm="1">
        <f t="array" ref="X45">IFERROR(INDEX(_xlfn.UNIQUE(TRIM(_xlfn.TEXTSPLIT(Table26142567[[#This Row],[Selection Options]:[Selection Options]],","))),,X$11),"")</f>
        <v/>
      </c>
      <c r="Y45" s="30" cm="1">
        <f t="array" ref="Y45">IF(Table26142567[[#This Row],[1]]="","",Table26142567[[#This Row],[Weight]:[Weight]]-(Table26142567[[#This Row],[Weight]:[Weight]]*((_xlfn.XMATCH(Table26142567[[#This Row],[1]],Table26142567[[#This Row],[1]:[11]],0))-1)/(COUNTA(Table26142567[[#This Row],[1]:[11]])-COUNTBLANK(Table26142567[[#This Row],[1]:[11]])-1)))</f>
        <v>6.756756756756756E-4</v>
      </c>
      <c r="Z45" s="30" cm="1">
        <f t="array" ref="Z45">IF(Table26142567[[#This Row],[2]]="","",Table26142567[[#This Row],[Weight]:[Weight]]-(Table26142567[[#This Row],[Weight]:[Weight]]*((_xlfn.XMATCH(Table26142567[[#This Row],[2]],Table26142567[[#This Row],[1]:[11]],0))-1)/(COUNTA(Table26142567[[#This Row],[1]:[11]])-COUNTBLANK(Table26142567[[#This Row],[1]:[11]])-1)))</f>
        <v>5.0675675675675668E-4</v>
      </c>
      <c r="AA45" s="30" cm="1">
        <f t="array" ref="AA45">IF(Table26142567[[#This Row],[3]]="","",Table26142567[[#This Row],[Weight]:[Weight]]-(Table26142567[[#This Row],[Weight]:[Weight]]*((_xlfn.XMATCH(Table26142567[[#This Row],[3]],Table26142567[[#This Row],[1]:[11]],0))-1)/(COUNTA(Table26142567[[#This Row],[1]:[11]])-COUNTBLANK(Table26142567[[#This Row],[1]:[11]])-1)))</f>
        <v>3.378378378378378E-4</v>
      </c>
      <c r="AB45" s="30" cm="1">
        <f t="array" ref="AB45">IF(Table26142567[[#This Row],[4]]="","",Table26142567[[#This Row],[Weight]:[Weight]]-(Table26142567[[#This Row],[Weight]:[Weight]]*((_xlfn.XMATCH(Table26142567[[#This Row],[4]],Table26142567[[#This Row],[1]:[11]],0))-1)/(COUNTA(Table26142567[[#This Row],[1]:[11]])-COUNTBLANK(Table26142567[[#This Row],[1]:[11]])-1)))</f>
        <v>1.6891891891891893E-4</v>
      </c>
      <c r="AC45" s="30" cm="1">
        <f t="array" ref="AC45">IF(Table26142567[[#This Row],[5]]="","",Table26142567[[#This Row],[Weight]:[Weight]]-(Table26142567[[#This Row],[Weight]:[Weight]]*((_xlfn.XMATCH(Table26142567[[#This Row],[5]],Table26142567[[#This Row],[1]:[11]],0))-1)/(COUNTA(Table26142567[[#This Row],[1]:[11]])-COUNTBLANK(Table26142567[[#This Row],[1]:[11]])-1)))</f>
        <v>0</v>
      </c>
      <c r="AD45" s="30" t="str" cm="1">
        <f t="array" ref="AD45">IF(Table26142567[[#This Row],[6]]="","",Table26142567[[#This Row],[Weight]:[Weight]]-(Table26142567[[#This Row],[Weight]:[Weight]]*((_xlfn.XMATCH(Table26142567[[#This Row],[6]],Table26142567[[#This Row],[1]:[11]],0))-1)/(COUNTA(Table26142567[[#This Row],[1]:[11]])-COUNTBLANK(Table26142567[[#This Row],[1]:[11]])-1)))</f>
        <v/>
      </c>
      <c r="AE45" s="30" t="str" cm="1">
        <f t="array" ref="AE45">IF(Table26142567[[#This Row],[7]]="","",Table26142567[[#This Row],[Weight]:[Weight]]-(Table26142567[[#This Row],[Weight]:[Weight]]*((_xlfn.XMATCH(Table26142567[[#This Row],[7]],Table26142567[[#This Row],[1]:[11]],0))-1)/(COUNTA(Table26142567[[#This Row],[1]:[11]])-COUNTBLANK(Table26142567[[#This Row],[1]:[11]])-1)))</f>
        <v/>
      </c>
      <c r="AF45" s="30" t="str" cm="1">
        <f t="array" ref="AF45">IF(Table26142567[[#This Row],[8]]="","",Table26142567[[#This Row],[Weight]:[Weight]]-(Table26142567[[#This Row],[Weight]:[Weight]]*((_xlfn.XMATCH(Table26142567[[#This Row],[8]],Table26142567[[#This Row],[1]:[11]],0))-1)/(COUNTA(Table26142567[[#This Row],[1]:[11]])-COUNTBLANK(Table26142567[[#This Row],[1]:[11]])-1)))</f>
        <v/>
      </c>
      <c r="AG45" s="30" t="str" cm="1">
        <f t="array" ref="AG45">IF(Table26142567[[#This Row],[9]]="","",Table26142567[[#This Row],[Weight]:[Weight]]-(Table26142567[[#This Row],[Weight]:[Weight]]*((_xlfn.XMATCH(Table26142567[[#This Row],[9]],Table26142567[[#This Row],[1]:[11]],0))-1)/(COUNTA(Table26142567[[#This Row],[1]:[11]])-COUNTBLANK(Table26142567[[#This Row],[1]:[11]])-1)))</f>
        <v/>
      </c>
      <c r="AH45" s="30" t="str" cm="1">
        <f t="array" ref="AH45">IF(Table26142567[[#This Row],[10]]="","",Table26142567[[#This Row],[Weight]:[Weight]]-(Table26142567[[#This Row],[Weight]:[Weight]]*((_xlfn.XMATCH(Table26142567[[#This Row],[10]],Table26142567[[#This Row],[1]:[11]],0))-1)/(COUNTA(Table26142567[[#This Row],[1]:[11]])-COUNTBLANK(Table26142567[[#This Row],[1]:[11]])-1)))</f>
        <v/>
      </c>
      <c r="AI45" s="30" t="str" cm="1">
        <f t="array" ref="AI45">IF(Table26142567[[#This Row],[11]]="","",Table26142567[[#This Row],[Weight]:[Weight]]-(Table26142567[[#This Row],[Weight]:[Weight]]*((_xlfn.XMATCH(Table26142567[[#This Row],[11]],Table26142567[[#This Row],[1]:[11]],0))-1)/(COUNTA(Table26142567[[#This Row],[1]:[11]])-COUNTBLANK(Table26142567[[#This Row],[1]:[11]])-1)))</f>
        <v/>
      </c>
    </row>
    <row r="46" spans="1:35" ht="108" x14ac:dyDescent="0.2">
      <c r="A46" s="20">
        <v>34</v>
      </c>
      <c r="B46" s="90" t="s">
        <v>424</v>
      </c>
      <c r="C46" s="119" t="s">
        <v>215</v>
      </c>
      <c r="D46" s="153"/>
      <c r="E46" s="153"/>
      <c r="F46" s="121" t="s">
        <v>60</v>
      </c>
      <c r="G46" s="148" cm="1">
        <f t="array" ref="G46">_xlfn.IFS(F46="","",F46="No interest",0,F46="Nice to have",1,F46="Useful",2,F46="Important",3,F46="Very important",4,F46="Critical",5,F46="Show stopper",6)</f>
        <v>6</v>
      </c>
      <c r="H46" s="149">
        <f t="shared" si="1"/>
        <v>6.756756756756756E-4</v>
      </c>
      <c r="I46" s="150" t="s">
        <v>321</v>
      </c>
      <c r="J46" s="35" t="str" cm="1">
        <f t="array" ref="J46">_xlfn.TEXTJOIN(","&amp;CHAR(10),,TEXT(Table26142567[[#This Row],[12]:[22]],"0,00%"))</f>
        <v>0,00%,
0,00%,
0,00%,
0,00%,
0,00%</v>
      </c>
      <c r="K46" s="26"/>
      <c r="L46" s="27" t="e">
        <f>H46-(H46*((MATCH(Table26142567[[#This Row],[Evaluators Response (SELECT)]],Table26142567[[#This Row],[1]:[11]],0)-1)/(COUNTA(Table26142567[[#This Row],[1]:[11]])-COUNTBLANK(Table26142567[[#This Row],[1]:[11]])-1)))</f>
        <v>#N/A</v>
      </c>
      <c r="M46" s="28"/>
      <c r="N46" s="29" t="str" cm="1">
        <f t="array" ref="N46">IFERROR(INDEX(_xlfn.UNIQUE(TRIM(_xlfn.TEXTSPLIT(Table26142567[[#This Row],[Selection Options]:[Selection Options]],","))),,N$11),"")</f>
        <v>100%: Supported as delivered "out of the box"</v>
      </c>
      <c r="O46" s="29" t="str" cm="1">
        <f t="array" ref="O46">IFERROR(INDEX(_xlfn.UNIQUE(TRIM(_xlfn.TEXTSPLIT(Table26142567[[#This Row],[Selection Options]:[Selection Options]],","))),,O$11),"")</f>
        <v xml:space="preserve">
75%: Supported via modifications (config)</v>
      </c>
      <c r="P46" s="29" t="str" cm="1">
        <f t="array" ref="P46">IFERROR(INDEX(_xlfn.UNIQUE(TRIM(_xlfn.TEXTSPLIT(Table26142567[[#This Row],[Selection Options]:[Selection Options]],","))),,P$11),"")</f>
        <v xml:space="preserve">
50%: Supported via a third party solution</v>
      </c>
      <c r="Q46" s="29" t="str" cm="1">
        <f t="array" ref="Q46">IFERROR(INDEX(_xlfn.UNIQUE(TRIM(_xlfn.TEXTSPLIT(Table26142567[[#This Row],[Selection Options]:[Selection Options]],","))),,Q$11),"")</f>
        <v xml:space="preserve">
25%: Supported via customisation (source code changes)</v>
      </c>
      <c r="R46" s="29" t="str" cm="1">
        <f t="array" ref="R46">IFERROR(INDEX(_xlfn.UNIQUE(TRIM(_xlfn.TEXTSPLIT(Table26142567[[#This Row],[Selection Options]:[Selection Options]],","))),,R$11),"")</f>
        <v xml:space="preserve">
 0%: Not currently supported</v>
      </c>
      <c r="S46" s="29" t="str" cm="1">
        <f t="array" ref="S46">IFERROR(INDEX(_xlfn.UNIQUE(TRIM(_xlfn.TEXTSPLIT(Table26142567[[#This Row],[Selection Options]:[Selection Options]],","))),,S$11),"")</f>
        <v/>
      </c>
      <c r="T46" s="29" t="str" cm="1">
        <f t="array" ref="T46">IFERROR(INDEX(_xlfn.UNIQUE(TRIM(_xlfn.TEXTSPLIT(Table26142567[[#This Row],[Selection Options]:[Selection Options]],","))),,T$11),"")</f>
        <v/>
      </c>
      <c r="U46" s="29" t="str" cm="1">
        <f t="array" ref="U46">IFERROR(INDEX(_xlfn.UNIQUE(TRIM(_xlfn.TEXTSPLIT(Table26142567[[#This Row],[Selection Options]:[Selection Options]],","))),,U$11),"")</f>
        <v/>
      </c>
      <c r="V46" s="29" t="str" cm="1">
        <f t="array" ref="V46">IFERROR(INDEX(_xlfn.UNIQUE(TRIM(_xlfn.TEXTSPLIT(Table26142567[[#This Row],[Selection Options]:[Selection Options]],","))),,V$11),"")</f>
        <v/>
      </c>
      <c r="W46" s="29" t="str" cm="1">
        <f t="array" ref="W46">IFERROR(INDEX(_xlfn.UNIQUE(TRIM(_xlfn.TEXTSPLIT(Table26142567[[#This Row],[Selection Options]:[Selection Options]],","))),,W$11),"")</f>
        <v/>
      </c>
      <c r="X46" s="29" t="str" cm="1">
        <f t="array" ref="X46">IFERROR(INDEX(_xlfn.UNIQUE(TRIM(_xlfn.TEXTSPLIT(Table26142567[[#This Row],[Selection Options]:[Selection Options]],","))),,X$11),"")</f>
        <v/>
      </c>
      <c r="Y46" s="30" cm="1">
        <f t="array" ref="Y46">IF(Table26142567[[#This Row],[1]]="","",Table26142567[[#This Row],[Weight]:[Weight]]-(Table26142567[[#This Row],[Weight]:[Weight]]*((_xlfn.XMATCH(Table26142567[[#This Row],[1]],Table26142567[[#This Row],[1]:[11]],0))-1)/(COUNTA(Table26142567[[#This Row],[1]:[11]])-COUNTBLANK(Table26142567[[#This Row],[1]:[11]])-1)))</f>
        <v>6.756756756756756E-4</v>
      </c>
      <c r="Z46" s="30" cm="1">
        <f t="array" ref="Z46">IF(Table26142567[[#This Row],[2]]="","",Table26142567[[#This Row],[Weight]:[Weight]]-(Table26142567[[#This Row],[Weight]:[Weight]]*((_xlfn.XMATCH(Table26142567[[#This Row],[2]],Table26142567[[#This Row],[1]:[11]],0))-1)/(COUNTA(Table26142567[[#This Row],[1]:[11]])-COUNTBLANK(Table26142567[[#This Row],[1]:[11]])-1)))</f>
        <v>5.0675675675675668E-4</v>
      </c>
      <c r="AA46" s="30" cm="1">
        <f t="array" ref="AA46">IF(Table26142567[[#This Row],[3]]="","",Table26142567[[#This Row],[Weight]:[Weight]]-(Table26142567[[#This Row],[Weight]:[Weight]]*((_xlfn.XMATCH(Table26142567[[#This Row],[3]],Table26142567[[#This Row],[1]:[11]],0))-1)/(COUNTA(Table26142567[[#This Row],[1]:[11]])-COUNTBLANK(Table26142567[[#This Row],[1]:[11]])-1)))</f>
        <v>3.378378378378378E-4</v>
      </c>
      <c r="AB46" s="30" cm="1">
        <f t="array" ref="AB46">IF(Table26142567[[#This Row],[4]]="","",Table26142567[[#This Row],[Weight]:[Weight]]-(Table26142567[[#This Row],[Weight]:[Weight]]*((_xlfn.XMATCH(Table26142567[[#This Row],[4]],Table26142567[[#This Row],[1]:[11]],0))-1)/(COUNTA(Table26142567[[#This Row],[1]:[11]])-COUNTBLANK(Table26142567[[#This Row],[1]:[11]])-1)))</f>
        <v>1.6891891891891893E-4</v>
      </c>
      <c r="AC46" s="30" cm="1">
        <f t="array" ref="AC46">IF(Table26142567[[#This Row],[5]]="","",Table26142567[[#This Row],[Weight]:[Weight]]-(Table26142567[[#This Row],[Weight]:[Weight]]*((_xlfn.XMATCH(Table26142567[[#This Row],[5]],Table26142567[[#This Row],[1]:[11]],0))-1)/(COUNTA(Table26142567[[#This Row],[1]:[11]])-COUNTBLANK(Table26142567[[#This Row],[1]:[11]])-1)))</f>
        <v>0</v>
      </c>
      <c r="AD46" s="30" t="str" cm="1">
        <f t="array" ref="AD46">IF(Table26142567[[#This Row],[6]]="","",Table26142567[[#This Row],[Weight]:[Weight]]-(Table26142567[[#This Row],[Weight]:[Weight]]*((_xlfn.XMATCH(Table26142567[[#This Row],[6]],Table26142567[[#This Row],[1]:[11]],0))-1)/(COUNTA(Table26142567[[#This Row],[1]:[11]])-COUNTBLANK(Table26142567[[#This Row],[1]:[11]])-1)))</f>
        <v/>
      </c>
      <c r="AE46" s="30" t="str" cm="1">
        <f t="array" ref="AE46">IF(Table26142567[[#This Row],[7]]="","",Table26142567[[#This Row],[Weight]:[Weight]]-(Table26142567[[#This Row],[Weight]:[Weight]]*((_xlfn.XMATCH(Table26142567[[#This Row],[7]],Table26142567[[#This Row],[1]:[11]],0))-1)/(COUNTA(Table26142567[[#This Row],[1]:[11]])-COUNTBLANK(Table26142567[[#This Row],[1]:[11]])-1)))</f>
        <v/>
      </c>
      <c r="AF46" s="30" t="str" cm="1">
        <f t="array" ref="AF46">IF(Table26142567[[#This Row],[8]]="","",Table26142567[[#This Row],[Weight]:[Weight]]-(Table26142567[[#This Row],[Weight]:[Weight]]*((_xlfn.XMATCH(Table26142567[[#This Row],[8]],Table26142567[[#This Row],[1]:[11]],0))-1)/(COUNTA(Table26142567[[#This Row],[1]:[11]])-COUNTBLANK(Table26142567[[#This Row],[1]:[11]])-1)))</f>
        <v/>
      </c>
      <c r="AG46" s="30" t="str" cm="1">
        <f t="array" ref="AG46">IF(Table26142567[[#This Row],[9]]="","",Table26142567[[#This Row],[Weight]:[Weight]]-(Table26142567[[#This Row],[Weight]:[Weight]]*((_xlfn.XMATCH(Table26142567[[#This Row],[9]],Table26142567[[#This Row],[1]:[11]],0))-1)/(COUNTA(Table26142567[[#This Row],[1]:[11]])-COUNTBLANK(Table26142567[[#This Row],[1]:[11]])-1)))</f>
        <v/>
      </c>
      <c r="AH46" s="30" t="str" cm="1">
        <f t="array" ref="AH46">IF(Table26142567[[#This Row],[10]]="","",Table26142567[[#This Row],[Weight]:[Weight]]-(Table26142567[[#This Row],[Weight]:[Weight]]*((_xlfn.XMATCH(Table26142567[[#This Row],[10]],Table26142567[[#This Row],[1]:[11]],0))-1)/(COUNTA(Table26142567[[#This Row],[1]:[11]])-COUNTBLANK(Table26142567[[#This Row],[1]:[11]])-1)))</f>
        <v/>
      </c>
      <c r="AI46" s="30" t="str" cm="1">
        <f t="array" ref="AI46">IF(Table26142567[[#This Row],[11]]="","",Table26142567[[#This Row],[Weight]:[Weight]]-(Table26142567[[#This Row],[Weight]:[Weight]]*((_xlfn.XMATCH(Table26142567[[#This Row],[11]],Table26142567[[#This Row],[1]:[11]],0))-1)/(COUNTA(Table26142567[[#This Row],[1]:[11]])-COUNTBLANK(Table26142567[[#This Row],[1]:[11]])-1)))</f>
        <v/>
      </c>
    </row>
    <row r="47" spans="1:35" ht="108" x14ac:dyDescent="0.2">
      <c r="A47" s="20">
        <v>35</v>
      </c>
      <c r="B47" s="90" t="s">
        <v>425</v>
      </c>
      <c r="C47" s="119" t="s">
        <v>215</v>
      </c>
      <c r="D47" s="153"/>
      <c r="E47" s="153"/>
      <c r="F47" s="121" t="s">
        <v>60</v>
      </c>
      <c r="G47" s="148" cm="1">
        <f t="array" ref="G47">_xlfn.IFS(F47="","",F47="No interest",0,F47="Nice to have",1,F47="Useful",2,F47="Important",3,F47="Very important",4,F47="Critical",5,F47="Show stopper",6)</f>
        <v>6</v>
      </c>
      <c r="H47" s="149">
        <f t="shared" si="1"/>
        <v>6.756756756756756E-4</v>
      </c>
      <c r="I47" s="150" t="s">
        <v>321</v>
      </c>
      <c r="J47" s="35" t="str" cm="1">
        <f t="array" ref="J47">_xlfn.TEXTJOIN(","&amp;CHAR(10),,TEXT(Table26142567[[#This Row],[12]:[22]],"0,00%"))</f>
        <v>0,00%,
0,00%,
0,00%,
0,00%,
0,00%</v>
      </c>
      <c r="K47" s="26"/>
      <c r="L47" s="27" t="e">
        <f>H47-(H47*((MATCH(Table26142567[[#This Row],[Evaluators Response (SELECT)]],Table26142567[[#This Row],[1]:[11]],0)-1)/(COUNTA(Table26142567[[#This Row],[1]:[11]])-COUNTBLANK(Table26142567[[#This Row],[1]:[11]])-1)))</f>
        <v>#N/A</v>
      </c>
      <c r="M47" s="28"/>
      <c r="N47" s="29" t="str" cm="1">
        <f t="array" ref="N47">IFERROR(INDEX(_xlfn.UNIQUE(TRIM(_xlfn.TEXTSPLIT(Table26142567[[#This Row],[Selection Options]:[Selection Options]],","))),,N$11),"")</f>
        <v>100%: Supported as delivered "out of the box"</v>
      </c>
      <c r="O47" s="29" t="str" cm="1">
        <f t="array" ref="O47">IFERROR(INDEX(_xlfn.UNIQUE(TRIM(_xlfn.TEXTSPLIT(Table26142567[[#This Row],[Selection Options]:[Selection Options]],","))),,O$11),"")</f>
        <v xml:space="preserve">
75%: Supported via modifications (config)</v>
      </c>
      <c r="P47" s="29" t="str" cm="1">
        <f t="array" ref="P47">IFERROR(INDEX(_xlfn.UNIQUE(TRIM(_xlfn.TEXTSPLIT(Table26142567[[#This Row],[Selection Options]:[Selection Options]],","))),,P$11),"")</f>
        <v xml:space="preserve">
50%: Supported via a third party solution</v>
      </c>
      <c r="Q47" s="29" t="str" cm="1">
        <f t="array" ref="Q47">IFERROR(INDEX(_xlfn.UNIQUE(TRIM(_xlfn.TEXTSPLIT(Table26142567[[#This Row],[Selection Options]:[Selection Options]],","))),,Q$11),"")</f>
        <v xml:space="preserve">
25%: Supported via customisation (source code changes)</v>
      </c>
      <c r="R47" s="29" t="str" cm="1">
        <f t="array" ref="R47">IFERROR(INDEX(_xlfn.UNIQUE(TRIM(_xlfn.TEXTSPLIT(Table26142567[[#This Row],[Selection Options]:[Selection Options]],","))),,R$11),"")</f>
        <v xml:space="preserve">
 0%: Not currently supported</v>
      </c>
      <c r="S47" s="29" t="str" cm="1">
        <f t="array" ref="S47">IFERROR(INDEX(_xlfn.UNIQUE(TRIM(_xlfn.TEXTSPLIT(Table26142567[[#This Row],[Selection Options]:[Selection Options]],","))),,S$11),"")</f>
        <v/>
      </c>
      <c r="T47" s="29" t="str" cm="1">
        <f t="array" ref="T47">IFERROR(INDEX(_xlfn.UNIQUE(TRIM(_xlfn.TEXTSPLIT(Table26142567[[#This Row],[Selection Options]:[Selection Options]],","))),,T$11),"")</f>
        <v/>
      </c>
      <c r="U47" s="29" t="str" cm="1">
        <f t="array" ref="U47">IFERROR(INDEX(_xlfn.UNIQUE(TRIM(_xlfn.TEXTSPLIT(Table26142567[[#This Row],[Selection Options]:[Selection Options]],","))),,U$11),"")</f>
        <v/>
      </c>
      <c r="V47" s="29" t="str" cm="1">
        <f t="array" ref="V47">IFERROR(INDEX(_xlfn.UNIQUE(TRIM(_xlfn.TEXTSPLIT(Table26142567[[#This Row],[Selection Options]:[Selection Options]],","))),,V$11),"")</f>
        <v/>
      </c>
      <c r="W47" s="29" t="str" cm="1">
        <f t="array" ref="W47">IFERROR(INDEX(_xlfn.UNIQUE(TRIM(_xlfn.TEXTSPLIT(Table26142567[[#This Row],[Selection Options]:[Selection Options]],","))),,W$11),"")</f>
        <v/>
      </c>
      <c r="X47" s="29" t="str" cm="1">
        <f t="array" ref="X47">IFERROR(INDEX(_xlfn.UNIQUE(TRIM(_xlfn.TEXTSPLIT(Table26142567[[#This Row],[Selection Options]:[Selection Options]],","))),,X$11),"")</f>
        <v/>
      </c>
      <c r="Y47" s="30" cm="1">
        <f t="array" ref="Y47">IF(Table26142567[[#This Row],[1]]="","",Table26142567[[#This Row],[Weight]:[Weight]]-(Table26142567[[#This Row],[Weight]:[Weight]]*((_xlfn.XMATCH(Table26142567[[#This Row],[1]],Table26142567[[#This Row],[1]:[11]],0))-1)/(COUNTA(Table26142567[[#This Row],[1]:[11]])-COUNTBLANK(Table26142567[[#This Row],[1]:[11]])-1)))</f>
        <v>6.756756756756756E-4</v>
      </c>
      <c r="Z47" s="30" cm="1">
        <f t="array" ref="Z47">IF(Table26142567[[#This Row],[2]]="","",Table26142567[[#This Row],[Weight]:[Weight]]-(Table26142567[[#This Row],[Weight]:[Weight]]*((_xlfn.XMATCH(Table26142567[[#This Row],[2]],Table26142567[[#This Row],[1]:[11]],0))-1)/(COUNTA(Table26142567[[#This Row],[1]:[11]])-COUNTBLANK(Table26142567[[#This Row],[1]:[11]])-1)))</f>
        <v>5.0675675675675668E-4</v>
      </c>
      <c r="AA47" s="30" cm="1">
        <f t="array" ref="AA47">IF(Table26142567[[#This Row],[3]]="","",Table26142567[[#This Row],[Weight]:[Weight]]-(Table26142567[[#This Row],[Weight]:[Weight]]*((_xlfn.XMATCH(Table26142567[[#This Row],[3]],Table26142567[[#This Row],[1]:[11]],0))-1)/(COUNTA(Table26142567[[#This Row],[1]:[11]])-COUNTBLANK(Table26142567[[#This Row],[1]:[11]])-1)))</f>
        <v>3.378378378378378E-4</v>
      </c>
      <c r="AB47" s="30" cm="1">
        <f t="array" ref="AB47">IF(Table26142567[[#This Row],[4]]="","",Table26142567[[#This Row],[Weight]:[Weight]]-(Table26142567[[#This Row],[Weight]:[Weight]]*((_xlfn.XMATCH(Table26142567[[#This Row],[4]],Table26142567[[#This Row],[1]:[11]],0))-1)/(COUNTA(Table26142567[[#This Row],[1]:[11]])-COUNTBLANK(Table26142567[[#This Row],[1]:[11]])-1)))</f>
        <v>1.6891891891891893E-4</v>
      </c>
      <c r="AC47" s="30" cm="1">
        <f t="array" ref="AC47">IF(Table26142567[[#This Row],[5]]="","",Table26142567[[#This Row],[Weight]:[Weight]]-(Table26142567[[#This Row],[Weight]:[Weight]]*((_xlfn.XMATCH(Table26142567[[#This Row],[5]],Table26142567[[#This Row],[1]:[11]],0))-1)/(COUNTA(Table26142567[[#This Row],[1]:[11]])-COUNTBLANK(Table26142567[[#This Row],[1]:[11]])-1)))</f>
        <v>0</v>
      </c>
      <c r="AD47" s="30" t="str" cm="1">
        <f t="array" ref="AD47">IF(Table26142567[[#This Row],[6]]="","",Table26142567[[#This Row],[Weight]:[Weight]]-(Table26142567[[#This Row],[Weight]:[Weight]]*((_xlfn.XMATCH(Table26142567[[#This Row],[6]],Table26142567[[#This Row],[1]:[11]],0))-1)/(COUNTA(Table26142567[[#This Row],[1]:[11]])-COUNTBLANK(Table26142567[[#This Row],[1]:[11]])-1)))</f>
        <v/>
      </c>
      <c r="AE47" s="30" t="str" cm="1">
        <f t="array" ref="AE47">IF(Table26142567[[#This Row],[7]]="","",Table26142567[[#This Row],[Weight]:[Weight]]-(Table26142567[[#This Row],[Weight]:[Weight]]*((_xlfn.XMATCH(Table26142567[[#This Row],[7]],Table26142567[[#This Row],[1]:[11]],0))-1)/(COUNTA(Table26142567[[#This Row],[1]:[11]])-COUNTBLANK(Table26142567[[#This Row],[1]:[11]])-1)))</f>
        <v/>
      </c>
      <c r="AF47" s="30" t="str" cm="1">
        <f t="array" ref="AF47">IF(Table26142567[[#This Row],[8]]="","",Table26142567[[#This Row],[Weight]:[Weight]]-(Table26142567[[#This Row],[Weight]:[Weight]]*((_xlfn.XMATCH(Table26142567[[#This Row],[8]],Table26142567[[#This Row],[1]:[11]],0))-1)/(COUNTA(Table26142567[[#This Row],[1]:[11]])-COUNTBLANK(Table26142567[[#This Row],[1]:[11]])-1)))</f>
        <v/>
      </c>
      <c r="AG47" s="30" t="str" cm="1">
        <f t="array" ref="AG47">IF(Table26142567[[#This Row],[9]]="","",Table26142567[[#This Row],[Weight]:[Weight]]-(Table26142567[[#This Row],[Weight]:[Weight]]*((_xlfn.XMATCH(Table26142567[[#This Row],[9]],Table26142567[[#This Row],[1]:[11]],0))-1)/(COUNTA(Table26142567[[#This Row],[1]:[11]])-COUNTBLANK(Table26142567[[#This Row],[1]:[11]])-1)))</f>
        <v/>
      </c>
      <c r="AH47" s="30" t="str" cm="1">
        <f t="array" ref="AH47">IF(Table26142567[[#This Row],[10]]="","",Table26142567[[#This Row],[Weight]:[Weight]]-(Table26142567[[#This Row],[Weight]:[Weight]]*((_xlfn.XMATCH(Table26142567[[#This Row],[10]],Table26142567[[#This Row],[1]:[11]],0))-1)/(COUNTA(Table26142567[[#This Row],[1]:[11]])-COUNTBLANK(Table26142567[[#This Row],[1]:[11]])-1)))</f>
        <v/>
      </c>
      <c r="AI47" s="30" t="str" cm="1">
        <f t="array" ref="AI47">IF(Table26142567[[#This Row],[11]]="","",Table26142567[[#This Row],[Weight]:[Weight]]-(Table26142567[[#This Row],[Weight]:[Weight]]*((_xlfn.XMATCH(Table26142567[[#This Row],[11]],Table26142567[[#This Row],[1]:[11]],0))-1)/(COUNTA(Table26142567[[#This Row],[1]:[11]])-COUNTBLANK(Table26142567[[#This Row],[1]:[11]])-1)))</f>
        <v/>
      </c>
    </row>
    <row r="48" spans="1:35" ht="108" x14ac:dyDescent="0.2">
      <c r="A48" s="20">
        <v>36</v>
      </c>
      <c r="B48" s="90" t="s">
        <v>426</v>
      </c>
      <c r="C48" s="119" t="s">
        <v>215</v>
      </c>
      <c r="D48" s="153"/>
      <c r="E48" s="153"/>
      <c r="F48" s="121" t="s">
        <v>60</v>
      </c>
      <c r="G48" s="148" cm="1">
        <f t="array" ref="G48">_xlfn.IFS(F48="","",F48="No interest",0,F48="Nice to have",1,F48="Useful",2,F48="Important",3,F48="Very important",4,F48="Critical",5,F48="Show stopper",6)</f>
        <v>6</v>
      </c>
      <c r="H48" s="149">
        <f t="shared" si="1"/>
        <v>6.756756756756756E-4</v>
      </c>
      <c r="I48" s="150" t="s">
        <v>321</v>
      </c>
      <c r="J48" s="35" t="str" cm="1">
        <f t="array" ref="J48">_xlfn.TEXTJOIN(","&amp;CHAR(10),,TEXT(Table26142567[[#This Row],[12]:[22]],"0,00%"))</f>
        <v>0,00%,
0,00%,
0,00%,
0,00%,
0,00%</v>
      </c>
      <c r="K48" s="26"/>
      <c r="L48" s="27" t="e">
        <f>H48-(H48*((MATCH(Table26142567[[#This Row],[Evaluators Response (SELECT)]],Table26142567[[#This Row],[1]:[11]],0)-1)/(COUNTA(Table26142567[[#This Row],[1]:[11]])-COUNTBLANK(Table26142567[[#This Row],[1]:[11]])-1)))</f>
        <v>#N/A</v>
      </c>
      <c r="M48" s="28"/>
      <c r="N48" s="29" t="str" cm="1">
        <f t="array" ref="N48">IFERROR(INDEX(_xlfn.UNIQUE(TRIM(_xlfn.TEXTSPLIT(Table26142567[[#This Row],[Selection Options]:[Selection Options]],","))),,N$11),"")</f>
        <v>100%: Supported as delivered "out of the box"</v>
      </c>
      <c r="O48" s="29" t="str" cm="1">
        <f t="array" ref="O48">IFERROR(INDEX(_xlfn.UNIQUE(TRIM(_xlfn.TEXTSPLIT(Table26142567[[#This Row],[Selection Options]:[Selection Options]],","))),,O$11),"")</f>
        <v xml:space="preserve">
75%: Supported via modifications (config)</v>
      </c>
      <c r="P48" s="29" t="str" cm="1">
        <f t="array" ref="P48">IFERROR(INDEX(_xlfn.UNIQUE(TRIM(_xlfn.TEXTSPLIT(Table26142567[[#This Row],[Selection Options]:[Selection Options]],","))),,P$11),"")</f>
        <v xml:space="preserve">
50%: Supported via a third party solution</v>
      </c>
      <c r="Q48" s="29" t="str" cm="1">
        <f t="array" ref="Q48">IFERROR(INDEX(_xlfn.UNIQUE(TRIM(_xlfn.TEXTSPLIT(Table26142567[[#This Row],[Selection Options]:[Selection Options]],","))),,Q$11),"")</f>
        <v xml:space="preserve">
25%: Supported via customisation (source code changes)</v>
      </c>
      <c r="R48" s="29" t="str" cm="1">
        <f t="array" ref="R48">IFERROR(INDEX(_xlfn.UNIQUE(TRIM(_xlfn.TEXTSPLIT(Table26142567[[#This Row],[Selection Options]:[Selection Options]],","))),,R$11),"")</f>
        <v xml:space="preserve">
 0%: Not currently supported</v>
      </c>
      <c r="S48" s="29" t="str" cm="1">
        <f t="array" ref="S48">IFERROR(INDEX(_xlfn.UNIQUE(TRIM(_xlfn.TEXTSPLIT(Table26142567[[#This Row],[Selection Options]:[Selection Options]],","))),,S$11),"")</f>
        <v/>
      </c>
      <c r="T48" s="29" t="str" cm="1">
        <f t="array" ref="T48">IFERROR(INDEX(_xlfn.UNIQUE(TRIM(_xlfn.TEXTSPLIT(Table26142567[[#This Row],[Selection Options]:[Selection Options]],","))),,T$11),"")</f>
        <v/>
      </c>
      <c r="U48" s="29" t="str" cm="1">
        <f t="array" ref="U48">IFERROR(INDEX(_xlfn.UNIQUE(TRIM(_xlfn.TEXTSPLIT(Table26142567[[#This Row],[Selection Options]:[Selection Options]],","))),,U$11),"")</f>
        <v/>
      </c>
      <c r="V48" s="29" t="str" cm="1">
        <f t="array" ref="V48">IFERROR(INDEX(_xlfn.UNIQUE(TRIM(_xlfn.TEXTSPLIT(Table26142567[[#This Row],[Selection Options]:[Selection Options]],","))),,V$11),"")</f>
        <v/>
      </c>
      <c r="W48" s="29" t="str" cm="1">
        <f t="array" ref="W48">IFERROR(INDEX(_xlfn.UNIQUE(TRIM(_xlfn.TEXTSPLIT(Table26142567[[#This Row],[Selection Options]:[Selection Options]],","))),,W$11),"")</f>
        <v/>
      </c>
      <c r="X48" s="29" t="str" cm="1">
        <f t="array" ref="X48">IFERROR(INDEX(_xlfn.UNIQUE(TRIM(_xlfn.TEXTSPLIT(Table26142567[[#This Row],[Selection Options]:[Selection Options]],","))),,X$11),"")</f>
        <v/>
      </c>
      <c r="Y48" s="30" cm="1">
        <f t="array" ref="Y48">IF(Table26142567[[#This Row],[1]]="","",Table26142567[[#This Row],[Weight]:[Weight]]-(Table26142567[[#This Row],[Weight]:[Weight]]*((_xlfn.XMATCH(Table26142567[[#This Row],[1]],Table26142567[[#This Row],[1]:[11]],0))-1)/(COUNTA(Table26142567[[#This Row],[1]:[11]])-COUNTBLANK(Table26142567[[#This Row],[1]:[11]])-1)))</f>
        <v>6.756756756756756E-4</v>
      </c>
      <c r="Z48" s="30" cm="1">
        <f t="array" ref="Z48">IF(Table26142567[[#This Row],[2]]="","",Table26142567[[#This Row],[Weight]:[Weight]]-(Table26142567[[#This Row],[Weight]:[Weight]]*((_xlfn.XMATCH(Table26142567[[#This Row],[2]],Table26142567[[#This Row],[1]:[11]],0))-1)/(COUNTA(Table26142567[[#This Row],[1]:[11]])-COUNTBLANK(Table26142567[[#This Row],[1]:[11]])-1)))</f>
        <v>5.0675675675675668E-4</v>
      </c>
      <c r="AA48" s="30" cm="1">
        <f t="array" ref="AA48">IF(Table26142567[[#This Row],[3]]="","",Table26142567[[#This Row],[Weight]:[Weight]]-(Table26142567[[#This Row],[Weight]:[Weight]]*((_xlfn.XMATCH(Table26142567[[#This Row],[3]],Table26142567[[#This Row],[1]:[11]],0))-1)/(COUNTA(Table26142567[[#This Row],[1]:[11]])-COUNTBLANK(Table26142567[[#This Row],[1]:[11]])-1)))</f>
        <v>3.378378378378378E-4</v>
      </c>
      <c r="AB48" s="30" cm="1">
        <f t="array" ref="AB48">IF(Table26142567[[#This Row],[4]]="","",Table26142567[[#This Row],[Weight]:[Weight]]-(Table26142567[[#This Row],[Weight]:[Weight]]*((_xlfn.XMATCH(Table26142567[[#This Row],[4]],Table26142567[[#This Row],[1]:[11]],0))-1)/(COUNTA(Table26142567[[#This Row],[1]:[11]])-COUNTBLANK(Table26142567[[#This Row],[1]:[11]])-1)))</f>
        <v>1.6891891891891893E-4</v>
      </c>
      <c r="AC48" s="30" cm="1">
        <f t="array" ref="AC48">IF(Table26142567[[#This Row],[5]]="","",Table26142567[[#This Row],[Weight]:[Weight]]-(Table26142567[[#This Row],[Weight]:[Weight]]*((_xlfn.XMATCH(Table26142567[[#This Row],[5]],Table26142567[[#This Row],[1]:[11]],0))-1)/(COUNTA(Table26142567[[#This Row],[1]:[11]])-COUNTBLANK(Table26142567[[#This Row],[1]:[11]])-1)))</f>
        <v>0</v>
      </c>
      <c r="AD48" s="30" t="str" cm="1">
        <f t="array" ref="AD48">IF(Table26142567[[#This Row],[6]]="","",Table26142567[[#This Row],[Weight]:[Weight]]-(Table26142567[[#This Row],[Weight]:[Weight]]*((_xlfn.XMATCH(Table26142567[[#This Row],[6]],Table26142567[[#This Row],[1]:[11]],0))-1)/(COUNTA(Table26142567[[#This Row],[1]:[11]])-COUNTBLANK(Table26142567[[#This Row],[1]:[11]])-1)))</f>
        <v/>
      </c>
      <c r="AE48" s="30" t="str" cm="1">
        <f t="array" ref="AE48">IF(Table26142567[[#This Row],[7]]="","",Table26142567[[#This Row],[Weight]:[Weight]]-(Table26142567[[#This Row],[Weight]:[Weight]]*((_xlfn.XMATCH(Table26142567[[#This Row],[7]],Table26142567[[#This Row],[1]:[11]],0))-1)/(COUNTA(Table26142567[[#This Row],[1]:[11]])-COUNTBLANK(Table26142567[[#This Row],[1]:[11]])-1)))</f>
        <v/>
      </c>
      <c r="AF48" s="30" t="str" cm="1">
        <f t="array" ref="AF48">IF(Table26142567[[#This Row],[8]]="","",Table26142567[[#This Row],[Weight]:[Weight]]-(Table26142567[[#This Row],[Weight]:[Weight]]*((_xlfn.XMATCH(Table26142567[[#This Row],[8]],Table26142567[[#This Row],[1]:[11]],0))-1)/(COUNTA(Table26142567[[#This Row],[1]:[11]])-COUNTBLANK(Table26142567[[#This Row],[1]:[11]])-1)))</f>
        <v/>
      </c>
      <c r="AG48" s="30" t="str" cm="1">
        <f t="array" ref="AG48">IF(Table26142567[[#This Row],[9]]="","",Table26142567[[#This Row],[Weight]:[Weight]]-(Table26142567[[#This Row],[Weight]:[Weight]]*((_xlfn.XMATCH(Table26142567[[#This Row],[9]],Table26142567[[#This Row],[1]:[11]],0))-1)/(COUNTA(Table26142567[[#This Row],[1]:[11]])-COUNTBLANK(Table26142567[[#This Row],[1]:[11]])-1)))</f>
        <v/>
      </c>
      <c r="AH48" s="30" t="str" cm="1">
        <f t="array" ref="AH48">IF(Table26142567[[#This Row],[10]]="","",Table26142567[[#This Row],[Weight]:[Weight]]-(Table26142567[[#This Row],[Weight]:[Weight]]*((_xlfn.XMATCH(Table26142567[[#This Row],[10]],Table26142567[[#This Row],[1]:[11]],0))-1)/(COUNTA(Table26142567[[#This Row],[1]:[11]])-COUNTBLANK(Table26142567[[#This Row],[1]:[11]])-1)))</f>
        <v/>
      </c>
      <c r="AI48" s="30" t="str" cm="1">
        <f t="array" ref="AI48">IF(Table26142567[[#This Row],[11]]="","",Table26142567[[#This Row],[Weight]:[Weight]]-(Table26142567[[#This Row],[Weight]:[Weight]]*((_xlfn.XMATCH(Table26142567[[#This Row],[11]],Table26142567[[#This Row],[1]:[11]],0))-1)/(COUNTA(Table26142567[[#This Row],[1]:[11]])-COUNTBLANK(Table26142567[[#This Row],[1]:[11]])-1)))</f>
        <v/>
      </c>
    </row>
    <row r="49" spans="1:35" ht="108" x14ac:dyDescent="0.2">
      <c r="A49" s="20">
        <v>37</v>
      </c>
      <c r="B49" s="90" t="s">
        <v>427</v>
      </c>
      <c r="C49" s="119" t="s">
        <v>215</v>
      </c>
      <c r="D49" s="153"/>
      <c r="E49" s="153"/>
      <c r="F49" s="121" t="s">
        <v>60</v>
      </c>
      <c r="G49" s="148" cm="1">
        <f t="array" ref="G49">_xlfn.IFS(F49="","",F49="No interest",0,F49="Nice to have",1,F49="Useful",2,F49="Important",3,F49="Very important",4,F49="Critical",5,F49="Show stopper",6)</f>
        <v>6</v>
      </c>
      <c r="H49" s="149">
        <f t="shared" si="1"/>
        <v>6.756756756756756E-4</v>
      </c>
      <c r="I49" s="150" t="s">
        <v>321</v>
      </c>
      <c r="J49" s="35" t="str" cm="1">
        <f t="array" ref="J49">_xlfn.TEXTJOIN(","&amp;CHAR(10),,TEXT(Table26142567[[#This Row],[12]:[22]],"0,00%"))</f>
        <v>0,00%,
0,00%,
0,00%,
0,00%,
0,00%</v>
      </c>
      <c r="K49" s="26"/>
      <c r="L49" s="27" t="e">
        <f>H49-(H49*((MATCH(Table26142567[[#This Row],[Evaluators Response (SELECT)]],Table26142567[[#This Row],[1]:[11]],0)-1)/(COUNTA(Table26142567[[#This Row],[1]:[11]])-COUNTBLANK(Table26142567[[#This Row],[1]:[11]])-1)))</f>
        <v>#N/A</v>
      </c>
      <c r="M49" s="28"/>
      <c r="N49" s="29" t="str" cm="1">
        <f t="array" ref="N49">IFERROR(INDEX(_xlfn.UNIQUE(TRIM(_xlfn.TEXTSPLIT(Table26142567[[#This Row],[Selection Options]:[Selection Options]],","))),,N$11),"")</f>
        <v>100%: Supported as delivered "out of the box"</v>
      </c>
      <c r="O49" s="29" t="str" cm="1">
        <f t="array" ref="O49">IFERROR(INDEX(_xlfn.UNIQUE(TRIM(_xlfn.TEXTSPLIT(Table26142567[[#This Row],[Selection Options]:[Selection Options]],","))),,O$11),"")</f>
        <v xml:space="preserve">
75%: Supported via modifications (config)</v>
      </c>
      <c r="P49" s="29" t="str" cm="1">
        <f t="array" ref="P49">IFERROR(INDEX(_xlfn.UNIQUE(TRIM(_xlfn.TEXTSPLIT(Table26142567[[#This Row],[Selection Options]:[Selection Options]],","))),,P$11),"")</f>
        <v xml:space="preserve">
50%: Supported via a third party solution</v>
      </c>
      <c r="Q49" s="29" t="str" cm="1">
        <f t="array" ref="Q49">IFERROR(INDEX(_xlfn.UNIQUE(TRIM(_xlfn.TEXTSPLIT(Table26142567[[#This Row],[Selection Options]:[Selection Options]],","))),,Q$11),"")</f>
        <v xml:space="preserve">
25%: Supported via customisation (source code changes)</v>
      </c>
      <c r="R49" s="29" t="str" cm="1">
        <f t="array" ref="R49">IFERROR(INDEX(_xlfn.UNIQUE(TRIM(_xlfn.TEXTSPLIT(Table26142567[[#This Row],[Selection Options]:[Selection Options]],","))),,R$11),"")</f>
        <v xml:space="preserve">
 0%: Not currently supported</v>
      </c>
      <c r="S49" s="29" t="str" cm="1">
        <f t="array" ref="S49">IFERROR(INDEX(_xlfn.UNIQUE(TRIM(_xlfn.TEXTSPLIT(Table26142567[[#This Row],[Selection Options]:[Selection Options]],","))),,S$11),"")</f>
        <v/>
      </c>
      <c r="T49" s="29" t="str" cm="1">
        <f t="array" ref="T49">IFERROR(INDEX(_xlfn.UNIQUE(TRIM(_xlfn.TEXTSPLIT(Table26142567[[#This Row],[Selection Options]:[Selection Options]],","))),,T$11),"")</f>
        <v/>
      </c>
      <c r="U49" s="29" t="str" cm="1">
        <f t="array" ref="U49">IFERROR(INDEX(_xlfn.UNIQUE(TRIM(_xlfn.TEXTSPLIT(Table26142567[[#This Row],[Selection Options]:[Selection Options]],","))),,U$11),"")</f>
        <v/>
      </c>
      <c r="V49" s="29" t="str" cm="1">
        <f t="array" ref="V49">IFERROR(INDEX(_xlfn.UNIQUE(TRIM(_xlfn.TEXTSPLIT(Table26142567[[#This Row],[Selection Options]:[Selection Options]],","))),,V$11),"")</f>
        <v/>
      </c>
      <c r="W49" s="29" t="str" cm="1">
        <f t="array" ref="W49">IFERROR(INDEX(_xlfn.UNIQUE(TRIM(_xlfn.TEXTSPLIT(Table26142567[[#This Row],[Selection Options]:[Selection Options]],","))),,W$11),"")</f>
        <v/>
      </c>
      <c r="X49" s="29" t="str" cm="1">
        <f t="array" ref="X49">IFERROR(INDEX(_xlfn.UNIQUE(TRIM(_xlfn.TEXTSPLIT(Table26142567[[#This Row],[Selection Options]:[Selection Options]],","))),,X$11),"")</f>
        <v/>
      </c>
      <c r="Y49" s="30" cm="1">
        <f t="array" ref="Y49">IF(Table26142567[[#This Row],[1]]="","",Table26142567[[#This Row],[Weight]:[Weight]]-(Table26142567[[#This Row],[Weight]:[Weight]]*((_xlfn.XMATCH(Table26142567[[#This Row],[1]],Table26142567[[#This Row],[1]:[11]],0))-1)/(COUNTA(Table26142567[[#This Row],[1]:[11]])-COUNTBLANK(Table26142567[[#This Row],[1]:[11]])-1)))</f>
        <v>6.756756756756756E-4</v>
      </c>
      <c r="Z49" s="30" cm="1">
        <f t="array" ref="Z49">IF(Table26142567[[#This Row],[2]]="","",Table26142567[[#This Row],[Weight]:[Weight]]-(Table26142567[[#This Row],[Weight]:[Weight]]*((_xlfn.XMATCH(Table26142567[[#This Row],[2]],Table26142567[[#This Row],[1]:[11]],0))-1)/(COUNTA(Table26142567[[#This Row],[1]:[11]])-COUNTBLANK(Table26142567[[#This Row],[1]:[11]])-1)))</f>
        <v>5.0675675675675668E-4</v>
      </c>
      <c r="AA49" s="30" cm="1">
        <f t="array" ref="AA49">IF(Table26142567[[#This Row],[3]]="","",Table26142567[[#This Row],[Weight]:[Weight]]-(Table26142567[[#This Row],[Weight]:[Weight]]*((_xlfn.XMATCH(Table26142567[[#This Row],[3]],Table26142567[[#This Row],[1]:[11]],0))-1)/(COUNTA(Table26142567[[#This Row],[1]:[11]])-COUNTBLANK(Table26142567[[#This Row],[1]:[11]])-1)))</f>
        <v>3.378378378378378E-4</v>
      </c>
      <c r="AB49" s="30" cm="1">
        <f t="array" ref="AB49">IF(Table26142567[[#This Row],[4]]="","",Table26142567[[#This Row],[Weight]:[Weight]]-(Table26142567[[#This Row],[Weight]:[Weight]]*((_xlfn.XMATCH(Table26142567[[#This Row],[4]],Table26142567[[#This Row],[1]:[11]],0))-1)/(COUNTA(Table26142567[[#This Row],[1]:[11]])-COUNTBLANK(Table26142567[[#This Row],[1]:[11]])-1)))</f>
        <v>1.6891891891891893E-4</v>
      </c>
      <c r="AC49" s="30" cm="1">
        <f t="array" ref="AC49">IF(Table26142567[[#This Row],[5]]="","",Table26142567[[#This Row],[Weight]:[Weight]]-(Table26142567[[#This Row],[Weight]:[Weight]]*((_xlfn.XMATCH(Table26142567[[#This Row],[5]],Table26142567[[#This Row],[1]:[11]],0))-1)/(COUNTA(Table26142567[[#This Row],[1]:[11]])-COUNTBLANK(Table26142567[[#This Row],[1]:[11]])-1)))</f>
        <v>0</v>
      </c>
      <c r="AD49" s="30" t="str" cm="1">
        <f t="array" ref="AD49">IF(Table26142567[[#This Row],[6]]="","",Table26142567[[#This Row],[Weight]:[Weight]]-(Table26142567[[#This Row],[Weight]:[Weight]]*((_xlfn.XMATCH(Table26142567[[#This Row],[6]],Table26142567[[#This Row],[1]:[11]],0))-1)/(COUNTA(Table26142567[[#This Row],[1]:[11]])-COUNTBLANK(Table26142567[[#This Row],[1]:[11]])-1)))</f>
        <v/>
      </c>
      <c r="AE49" s="30" t="str" cm="1">
        <f t="array" ref="AE49">IF(Table26142567[[#This Row],[7]]="","",Table26142567[[#This Row],[Weight]:[Weight]]-(Table26142567[[#This Row],[Weight]:[Weight]]*((_xlfn.XMATCH(Table26142567[[#This Row],[7]],Table26142567[[#This Row],[1]:[11]],0))-1)/(COUNTA(Table26142567[[#This Row],[1]:[11]])-COUNTBLANK(Table26142567[[#This Row],[1]:[11]])-1)))</f>
        <v/>
      </c>
      <c r="AF49" s="30" t="str" cm="1">
        <f t="array" ref="AF49">IF(Table26142567[[#This Row],[8]]="","",Table26142567[[#This Row],[Weight]:[Weight]]-(Table26142567[[#This Row],[Weight]:[Weight]]*((_xlfn.XMATCH(Table26142567[[#This Row],[8]],Table26142567[[#This Row],[1]:[11]],0))-1)/(COUNTA(Table26142567[[#This Row],[1]:[11]])-COUNTBLANK(Table26142567[[#This Row],[1]:[11]])-1)))</f>
        <v/>
      </c>
      <c r="AG49" s="30" t="str" cm="1">
        <f t="array" ref="AG49">IF(Table26142567[[#This Row],[9]]="","",Table26142567[[#This Row],[Weight]:[Weight]]-(Table26142567[[#This Row],[Weight]:[Weight]]*((_xlfn.XMATCH(Table26142567[[#This Row],[9]],Table26142567[[#This Row],[1]:[11]],0))-1)/(COUNTA(Table26142567[[#This Row],[1]:[11]])-COUNTBLANK(Table26142567[[#This Row],[1]:[11]])-1)))</f>
        <v/>
      </c>
      <c r="AH49" s="30" t="str" cm="1">
        <f t="array" ref="AH49">IF(Table26142567[[#This Row],[10]]="","",Table26142567[[#This Row],[Weight]:[Weight]]-(Table26142567[[#This Row],[Weight]:[Weight]]*((_xlfn.XMATCH(Table26142567[[#This Row],[10]],Table26142567[[#This Row],[1]:[11]],0))-1)/(COUNTA(Table26142567[[#This Row],[1]:[11]])-COUNTBLANK(Table26142567[[#This Row],[1]:[11]])-1)))</f>
        <v/>
      </c>
      <c r="AI49" s="30" t="str" cm="1">
        <f t="array" ref="AI49">IF(Table26142567[[#This Row],[11]]="","",Table26142567[[#This Row],[Weight]:[Weight]]-(Table26142567[[#This Row],[Weight]:[Weight]]*((_xlfn.XMATCH(Table26142567[[#This Row],[11]],Table26142567[[#This Row],[1]:[11]],0))-1)/(COUNTA(Table26142567[[#This Row],[1]:[11]])-COUNTBLANK(Table26142567[[#This Row],[1]:[11]])-1)))</f>
        <v/>
      </c>
    </row>
    <row r="50" spans="1:35" ht="108" x14ac:dyDescent="0.2">
      <c r="A50" s="20">
        <v>38</v>
      </c>
      <c r="B50" s="90" t="s">
        <v>428</v>
      </c>
      <c r="C50" s="119" t="s">
        <v>215</v>
      </c>
      <c r="D50" s="153"/>
      <c r="E50" s="153"/>
      <c r="F50" s="121" t="s">
        <v>60</v>
      </c>
      <c r="G50" s="148" cm="1">
        <f t="array" ref="G50">_xlfn.IFS(F50="","",F50="No interest",0,F50="Nice to have",1,F50="Useful",2,F50="Important",3,F50="Very important",4,F50="Critical",5,F50="Show stopper",6)</f>
        <v>6</v>
      </c>
      <c r="H50" s="149">
        <f t="shared" si="1"/>
        <v>6.756756756756756E-4</v>
      </c>
      <c r="I50" s="150" t="s">
        <v>321</v>
      </c>
      <c r="J50" s="35" t="str" cm="1">
        <f t="array" ref="J50">_xlfn.TEXTJOIN(","&amp;CHAR(10),,TEXT(Table26142567[[#This Row],[12]:[22]],"0,00%"))</f>
        <v>0,00%,
0,00%,
0,00%,
0,00%,
0,00%</v>
      </c>
      <c r="K50" s="26"/>
      <c r="L50" s="27" t="e">
        <f>H50-(H50*((MATCH(Table26142567[[#This Row],[Evaluators Response (SELECT)]],Table26142567[[#This Row],[1]:[11]],0)-1)/(COUNTA(Table26142567[[#This Row],[1]:[11]])-COUNTBLANK(Table26142567[[#This Row],[1]:[11]])-1)))</f>
        <v>#N/A</v>
      </c>
      <c r="M50" s="28"/>
      <c r="N50" s="29" t="str" cm="1">
        <f t="array" ref="N50">IFERROR(INDEX(_xlfn.UNIQUE(TRIM(_xlfn.TEXTSPLIT(Table26142567[[#This Row],[Selection Options]:[Selection Options]],","))),,N$11),"")</f>
        <v>100%: Supported as delivered "out of the box"</v>
      </c>
      <c r="O50" s="29" t="str" cm="1">
        <f t="array" ref="O50">IFERROR(INDEX(_xlfn.UNIQUE(TRIM(_xlfn.TEXTSPLIT(Table26142567[[#This Row],[Selection Options]:[Selection Options]],","))),,O$11),"")</f>
        <v xml:space="preserve">
75%: Supported via modifications (config)</v>
      </c>
      <c r="P50" s="29" t="str" cm="1">
        <f t="array" ref="P50">IFERROR(INDEX(_xlfn.UNIQUE(TRIM(_xlfn.TEXTSPLIT(Table26142567[[#This Row],[Selection Options]:[Selection Options]],","))),,P$11),"")</f>
        <v xml:space="preserve">
50%: Supported via a third party solution</v>
      </c>
      <c r="Q50" s="29" t="str" cm="1">
        <f t="array" ref="Q50">IFERROR(INDEX(_xlfn.UNIQUE(TRIM(_xlfn.TEXTSPLIT(Table26142567[[#This Row],[Selection Options]:[Selection Options]],","))),,Q$11),"")</f>
        <v xml:space="preserve">
25%: Supported via customisation (source code changes)</v>
      </c>
      <c r="R50" s="29" t="str" cm="1">
        <f t="array" ref="R50">IFERROR(INDEX(_xlfn.UNIQUE(TRIM(_xlfn.TEXTSPLIT(Table26142567[[#This Row],[Selection Options]:[Selection Options]],","))),,R$11),"")</f>
        <v xml:space="preserve">
 0%: Not currently supported</v>
      </c>
      <c r="S50" s="29" t="str" cm="1">
        <f t="array" ref="S50">IFERROR(INDEX(_xlfn.UNIQUE(TRIM(_xlfn.TEXTSPLIT(Table26142567[[#This Row],[Selection Options]:[Selection Options]],","))),,S$11),"")</f>
        <v/>
      </c>
      <c r="T50" s="29" t="str" cm="1">
        <f t="array" ref="T50">IFERROR(INDEX(_xlfn.UNIQUE(TRIM(_xlfn.TEXTSPLIT(Table26142567[[#This Row],[Selection Options]:[Selection Options]],","))),,T$11),"")</f>
        <v/>
      </c>
      <c r="U50" s="29" t="str" cm="1">
        <f t="array" ref="U50">IFERROR(INDEX(_xlfn.UNIQUE(TRIM(_xlfn.TEXTSPLIT(Table26142567[[#This Row],[Selection Options]:[Selection Options]],","))),,U$11),"")</f>
        <v/>
      </c>
      <c r="V50" s="29" t="str" cm="1">
        <f t="array" ref="V50">IFERROR(INDEX(_xlfn.UNIQUE(TRIM(_xlfn.TEXTSPLIT(Table26142567[[#This Row],[Selection Options]:[Selection Options]],","))),,V$11),"")</f>
        <v/>
      </c>
      <c r="W50" s="29" t="str" cm="1">
        <f t="array" ref="W50">IFERROR(INDEX(_xlfn.UNIQUE(TRIM(_xlfn.TEXTSPLIT(Table26142567[[#This Row],[Selection Options]:[Selection Options]],","))),,W$11),"")</f>
        <v/>
      </c>
      <c r="X50" s="29" t="str" cm="1">
        <f t="array" ref="X50">IFERROR(INDEX(_xlfn.UNIQUE(TRIM(_xlfn.TEXTSPLIT(Table26142567[[#This Row],[Selection Options]:[Selection Options]],","))),,X$11),"")</f>
        <v/>
      </c>
      <c r="Y50" s="30" cm="1">
        <f t="array" ref="Y50">IF(Table26142567[[#This Row],[1]]="","",Table26142567[[#This Row],[Weight]:[Weight]]-(Table26142567[[#This Row],[Weight]:[Weight]]*((_xlfn.XMATCH(Table26142567[[#This Row],[1]],Table26142567[[#This Row],[1]:[11]],0))-1)/(COUNTA(Table26142567[[#This Row],[1]:[11]])-COUNTBLANK(Table26142567[[#This Row],[1]:[11]])-1)))</f>
        <v>6.756756756756756E-4</v>
      </c>
      <c r="Z50" s="30" cm="1">
        <f t="array" ref="Z50">IF(Table26142567[[#This Row],[2]]="","",Table26142567[[#This Row],[Weight]:[Weight]]-(Table26142567[[#This Row],[Weight]:[Weight]]*((_xlfn.XMATCH(Table26142567[[#This Row],[2]],Table26142567[[#This Row],[1]:[11]],0))-1)/(COUNTA(Table26142567[[#This Row],[1]:[11]])-COUNTBLANK(Table26142567[[#This Row],[1]:[11]])-1)))</f>
        <v>5.0675675675675668E-4</v>
      </c>
      <c r="AA50" s="30" cm="1">
        <f t="array" ref="AA50">IF(Table26142567[[#This Row],[3]]="","",Table26142567[[#This Row],[Weight]:[Weight]]-(Table26142567[[#This Row],[Weight]:[Weight]]*((_xlfn.XMATCH(Table26142567[[#This Row],[3]],Table26142567[[#This Row],[1]:[11]],0))-1)/(COUNTA(Table26142567[[#This Row],[1]:[11]])-COUNTBLANK(Table26142567[[#This Row],[1]:[11]])-1)))</f>
        <v>3.378378378378378E-4</v>
      </c>
      <c r="AB50" s="30" cm="1">
        <f t="array" ref="AB50">IF(Table26142567[[#This Row],[4]]="","",Table26142567[[#This Row],[Weight]:[Weight]]-(Table26142567[[#This Row],[Weight]:[Weight]]*((_xlfn.XMATCH(Table26142567[[#This Row],[4]],Table26142567[[#This Row],[1]:[11]],0))-1)/(COUNTA(Table26142567[[#This Row],[1]:[11]])-COUNTBLANK(Table26142567[[#This Row],[1]:[11]])-1)))</f>
        <v>1.6891891891891893E-4</v>
      </c>
      <c r="AC50" s="30" cm="1">
        <f t="array" ref="AC50">IF(Table26142567[[#This Row],[5]]="","",Table26142567[[#This Row],[Weight]:[Weight]]-(Table26142567[[#This Row],[Weight]:[Weight]]*((_xlfn.XMATCH(Table26142567[[#This Row],[5]],Table26142567[[#This Row],[1]:[11]],0))-1)/(COUNTA(Table26142567[[#This Row],[1]:[11]])-COUNTBLANK(Table26142567[[#This Row],[1]:[11]])-1)))</f>
        <v>0</v>
      </c>
      <c r="AD50" s="30" t="str" cm="1">
        <f t="array" ref="AD50">IF(Table26142567[[#This Row],[6]]="","",Table26142567[[#This Row],[Weight]:[Weight]]-(Table26142567[[#This Row],[Weight]:[Weight]]*((_xlfn.XMATCH(Table26142567[[#This Row],[6]],Table26142567[[#This Row],[1]:[11]],0))-1)/(COUNTA(Table26142567[[#This Row],[1]:[11]])-COUNTBLANK(Table26142567[[#This Row],[1]:[11]])-1)))</f>
        <v/>
      </c>
      <c r="AE50" s="30" t="str" cm="1">
        <f t="array" ref="AE50">IF(Table26142567[[#This Row],[7]]="","",Table26142567[[#This Row],[Weight]:[Weight]]-(Table26142567[[#This Row],[Weight]:[Weight]]*((_xlfn.XMATCH(Table26142567[[#This Row],[7]],Table26142567[[#This Row],[1]:[11]],0))-1)/(COUNTA(Table26142567[[#This Row],[1]:[11]])-COUNTBLANK(Table26142567[[#This Row],[1]:[11]])-1)))</f>
        <v/>
      </c>
      <c r="AF50" s="30" t="str" cm="1">
        <f t="array" ref="AF50">IF(Table26142567[[#This Row],[8]]="","",Table26142567[[#This Row],[Weight]:[Weight]]-(Table26142567[[#This Row],[Weight]:[Weight]]*((_xlfn.XMATCH(Table26142567[[#This Row],[8]],Table26142567[[#This Row],[1]:[11]],0))-1)/(COUNTA(Table26142567[[#This Row],[1]:[11]])-COUNTBLANK(Table26142567[[#This Row],[1]:[11]])-1)))</f>
        <v/>
      </c>
      <c r="AG50" s="30" t="str" cm="1">
        <f t="array" ref="AG50">IF(Table26142567[[#This Row],[9]]="","",Table26142567[[#This Row],[Weight]:[Weight]]-(Table26142567[[#This Row],[Weight]:[Weight]]*((_xlfn.XMATCH(Table26142567[[#This Row],[9]],Table26142567[[#This Row],[1]:[11]],0))-1)/(COUNTA(Table26142567[[#This Row],[1]:[11]])-COUNTBLANK(Table26142567[[#This Row],[1]:[11]])-1)))</f>
        <v/>
      </c>
      <c r="AH50" s="30" t="str" cm="1">
        <f t="array" ref="AH50">IF(Table26142567[[#This Row],[10]]="","",Table26142567[[#This Row],[Weight]:[Weight]]-(Table26142567[[#This Row],[Weight]:[Weight]]*((_xlfn.XMATCH(Table26142567[[#This Row],[10]],Table26142567[[#This Row],[1]:[11]],0))-1)/(COUNTA(Table26142567[[#This Row],[1]:[11]])-COUNTBLANK(Table26142567[[#This Row],[1]:[11]])-1)))</f>
        <v/>
      </c>
      <c r="AI50" s="30" t="str" cm="1">
        <f t="array" ref="AI50">IF(Table26142567[[#This Row],[11]]="","",Table26142567[[#This Row],[Weight]:[Weight]]-(Table26142567[[#This Row],[Weight]:[Weight]]*((_xlfn.XMATCH(Table26142567[[#This Row],[11]],Table26142567[[#This Row],[1]:[11]],0))-1)/(COUNTA(Table26142567[[#This Row],[1]:[11]])-COUNTBLANK(Table26142567[[#This Row],[1]:[11]])-1)))</f>
        <v/>
      </c>
    </row>
    <row r="51" spans="1:35" ht="108" x14ac:dyDescent="0.2">
      <c r="A51" s="20">
        <v>39</v>
      </c>
      <c r="B51" s="90" t="s">
        <v>429</v>
      </c>
      <c r="C51" s="119" t="s">
        <v>215</v>
      </c>
      <c r="D51" s="153"/>
      <c r="E51" s="153"/>
      <c r="F51" s="121" t="s">
        <v>60</v>
      </c>
      <c r="G51" s="148" cm="1">
        <f t="array" ref="G51">_xlfn.IFS(F51="","",F51="No interest",0,F51="Nice to have",1,F51="Useful",2,F51="Important",3,F51="Very important",4,F51="Critical",5,F51="Show stopper",6)</f>
        <v>6</v>
      </c>
      <c r="H51" s="149">
        <f t="shared" si="1"/>
        <v>6.756756756756756E-4</v>
      </c>
      <c r="I51" s="150" t="s">
        <v>321</v>
      </c>
      <c r="J51" s="35" t="str" cm="1">
        <f t="array" ref="J51">_xlfn.TEXTJOIN(","&amp;CHAR(10),,TEXT(Table26142567[[#This Row],[12]:[22]],"0,00%"))</f>
        <v>0,00%,
0,00%,
0,00%,
0,00%,
0,00%</v>
      </c>
      <c r="K51" s="26"/>
      <c r="L51" s="27" t="e">
        <f>H51-(H51*((MATCH(Table26142567[[#This Row],[Evaluators Response (SELECT)]],Table26142567[[#This Row],[1]:[11]],0)-1)/(COUNTA(Table26142567[[#This Row],[1]:[11]])-COUNTBLANK(Table26142567[[#This Row],[1]:[11]])-1)))</f>
        <v>#N/A</v>
      </c>
      <c r="M51" s="28"/>
      <c r="N51" s="29" t="str" cm="1">
        <f t="array" ref="N51">IFERROR(INDEX(_xlfn.UNIQUE(TRIM(_xlfn.TEXTSPLIT(Table26142567[[#This Row],[Selection Options]:[Selection Options]],","))),,N$11),"")</f>
        <v>100%: Supported as delivered "out of the box"</v>
      </c>
      <c r="O51" s="29" t="str" cm="1">
        <f t="array" ref="O51">IFERROR(INDEX(_xlfn.UNIQUE(TRIM(_xlfn.TEXTSPLIT(Table26142567[[#This Row],[Selection Options]:[Selection Options]],","))),,O$11),"")</f>
        <v xml:space="preserve">
75%: Supported via modifications (config)</v>
      </c>
      <c r="P51" s="29" t="str" cm="1">
        <f t="array" ref="P51">IFERROR(INDEX(_xlfn.UNIQUE(TRIM(_xlfn.TEXTSPLIT(Table26142567[[#This Row],[Selection Options]:[Selection Options]],","))),,P$11),"")</f>
        <v xml:space="preserve">
50%: Supported via a third party solution</v>
      </c>
      <c r="Q51" s="29" t="str" cm="1">
        <f t="array" ref="Q51">IFERROR(INDEX(_xlfn.UNIQUE(TRIM(_xlfn.TEXTSPLIT(Table26142567[[#This Row],[Selection Options]:[Selection Options]],","))),,Q$11),"")</f>
        <v xml:space="preserve">
25%: Supported via customisation (source code changes)</v>
      </c>
      <c r="R51" s="29" t="str" cm="1">
        <f t="array" ref="R51">IFERROR(INDEX(_xlfn.UNIQUE(TRIM(_xlfn.TEXTSPLIT(Table26142567[[#This Row],[Selection Options]:[Selection Options]],","))),,R$11),"")</f>
        <v xml:space="preserve">
 0%: Not currently supported</v>
      </c>
      <c r="S51" s="29" t="str" cm="1">
        <f t="array" ref="S51">IFERROR(INDEX(_xlfn.UNIQUE(TRIM(_xlfn.TEXTSPLIT(Table26142567[[#This Row],[Selection Options]:[Selection Options]],","))),,S$11),"")</f>
        <v/>
      </c>
      <c r="T51" s="29" t="str" cm="1">
        <f t="array" ref="T51">IFERROR(INDEX(_xlfn.UNIQUE(TRIM(_xlfn.TEXTSPLIT(Table26142567[[#This Row],[Selection Options]:[Selection Options]],","))),,T$11),"")</f>
        <v/>
      </c>
      <c r="U51" s="29" t="str" cm="1">
        <f t="array" ref="U51">IFERROR(INDEX(_xlfn.UNIQUE(TRIM(_xlfn.TEXTSPLIT(Table26142567[[#This Row],[Selection Options]:[Selection Options]],","))),,U$11),"")</f>
        <v/>
      </c>
      <c r="V51" s="29" t="str" cm="1">
        <f t="array" ref="V51">IFERROR(INDEX(_xlfn.UNIQUE(TRIM(_xlfn.TEXTSPLIT(Table26142567[[#This Row],[Selection Options]:[Selection Options]],","))),,V$11),"")</f>
        <v/>
      </c>
      <c r="W51" s="29" t="str" cm="1">
        <f t="array" ref="W51">IFERROR(INDEX(_xlfn.UNIQUE(TRIM(_xlfn.TEXTSPLIT(Table26142567[[#This Row],[Selection Options]:[Selection Options]],","))),,W$11),"")</f>
        <v/>
      </c>
      <c r="X51" s="29" t="str" cm="1">
        <f t="array" ref="X51">IFERROR(INDEX(_xlfn.UNIQUE(TRIM(_xlfn.TEXTSPLIT(Table26142567[[#This Row],[Selection Options]:[Selection Options]],","))),,X$11),"")</f>
        <v/>
      </c>
      <c r="Y51" s="30" cm="1">
        <f t="array" ref="Y51">IF(Table26142567[[#This Row],[1]]="","",Table26142567[[#This Row],[Weight]:[Weight]]-(Table26142567[[#This Row],[Weight]:[Weight]]*((_xlfn.XMATCH(Table26142567[[#This Row],[1]],Table26142567[[#This Row],[1]:[11]],0))-1)/(COUNTA(Table26142567[[#This Row],[1]:[11]])-COUNTBLANK(Table26142567[[#This Row],[1]:[11]])-1)))</f>
        <v>6.756756756756756E-4</v>
      </c>
      <c r="Z51" s="30" cm="1">
        <f t="array" ref="Z51">IF(Table26142567[[#This Row],[2]]="","",Table26142567[[#This Row],[Weight]:[Weight]]-(Table26142567[[#This Row],[Weight]:[Weight]]*((_xlfn.XMATCH(Table26142567[[#This Row],[2]],Table26142567[[#This Row],[1]:[11]],0))-1)/(COUNTA(Table26142567[[#This Row],[1]:[11]])-COUNTBLANK(Table26142567[[#This Row],[1]:[11]])-1)))</f>
        <v>5.0675675675675668E-4</v>
      </c>
      <c r="AA51" s="30" cm="1">
        <f t="array" ref="AA51">IF(Table26142567[[#This Row],[3]]="","",Table26142567[[#This Row],[Weight]:[Weight]]-(Table26142567[[#This Row],[Weight]:[Weight]]*((_xlfn.XMATCH(Table26142567[[#This Row],[3]],Table26142567[[#This Row],[1]:[11]],0))-1)/(COUNTA(Table26142567[[#This Row],[1]:[11]])-COUNTBLANK(Table26142567[[#This Row],[1]:[11]])-1)))</f>
        <v>3.378378378378378E-4</v>
      </c>
      <c r="AB51" s="30" cm="1">
        <f t="array" ref="AB51">IF(Table26142567[[#This Row],[4]]="","",Table26142567[[#This Row],[Weight]:[Weight]]-(Table26142567[[#This Row],[Weight]:[Weight]]*((_xlfn.XMATCH(Table26142567[[#This Row],[4]],Table26142567[[#This Row],[1]:[11]],0))-1)/(COUNTA(Table26142567[[#This Row],[1]:[11]])-COUNTBLANK(Table26142567[[#This Row],[1]:[11]])-1)))</f>
        <v>1.6891891891891893E-4</v>
      </c>
      <c r="AC51" s="30" cm="1">
        <f t="array" ref="AC51">IF(Table26142567[[#This Row],[5]]="","",Table26142567[[#This Row],[Weight]:[Weight]]-(Table26142567[[#This Row],[Weight]:[Weight]]*((_xlfn.XMATCH(Table26142567[[#This Row],[5]],Table26142567[[#This Row],[1]:[11]],0))-1)/(COUNTA(Table26142567[[#This Row],[1]:[11]])-COUNTBLANK(Table26142567[[#This Row],[1]:[11]])-1)))</f>
        <v>0</v>
      </c>
      <c r="AD51" s="30" t="str" cm="1">
        <f t="array" ref="AD51">IF(Table26142567[[#This Row],[6]]="","",Table26142567[[#This Row],[Weight]:[Weight]]-(Table26142567[[#This Row],[Weight]:[Weight]]*((_xlfn.XMATCH(Table26142567[[#This Row],[6]],Table26142567[[#This Row],[1]:[11]],0))-1)/(COUNTA(Table26142567[[#This Row],[1]:[11]])-COUNTBLANK(Table26142567[[#This Row],[1]:[11]])-1)))</f>
        <v/>
      </c>
      <c r="AE51" s="30" t="str" cm="1">
        <f t="array" ref="AE51">IF(Table26142567[[#This Row],[7]]="","",Table26142567[[#This Row],[Weight]:[Weight]]-(Table26142567[[#This Row],[Weight]:[Weight]]*((_xlfn.XMATCH(Table26142567[[#This Row],[7]],Table26142567[[#This Row],[1]:[11]],0))-1)/(COUNTA(Table26142567[[#This Row],[1]:[11]])-COUNTBLANK(Table26142567[[#This Row],[1]:[11]])-1)))</f>
        <v/>
      </c>
      <c r="AF51" s="30" t="str" cm="1">
        <f t="array" ref="AF51">IF(Table26142567[[#This Row],[8]]="","",Table26142567[[#This Row],[Weight]:[Weight]]-(Table26142567[[#This Row],[Weight]:[Weight]]*((_xlfn.XMATCH(Table26142567[[#This Row],[8]],Table26142567[[#This Row],[1]:[11]],0))-1)/(COUNTA(Table26142567[[#This Row],[1]:[11]])-COUNTBLANK(Table26142567[[#This Row],[1]:[11]])-1)))</f>
        <v/>
      </c>
      <c r="AG51" s="30" t="str" cm="1">
        <f t="array" ref="AG51">IF(Table26142567[[#This Row],[9]]="","",Table26142567[[#This Row],[Weight]:[Weight]]-(Table26142567[[#This Row],[Weight]:[Weight]]*((_xlfn.XMATCH(Table26142567[[#This Row],[9]],Table26142567[[#This Row],[1]:[11]],0))-1)/(COUNTA(Table26142567[[#This Row],[1]:[11]])-COUNTBLANK(Table26142567[[#This Row],[1]:[11]])-1)))</f>
        <v/>
      </c>
      <c r="AH51" s="30" t="str" cm="1">
        <f t="array" ref="AH51">IF(Table26142567[[#This Row],[10]]="","",Table26142567[[#This Row],[Weight]:[Weight]]-(Table26142567[[#This Row],[Weight]:[Weight]]*((_xlfn.XMATCH(Table26142567[[#This Row],[10]],Table26142567[[#This Row],[1]:[11]],0))-1)/(COUNTA(Table26142567[[#This Row],[1]:[11]])-COUNTBLANK(Table26142567[[#This Row],[1]:[11]])-1)))</f>
        <v/>
      </c>
      <c r="AI51" s="30" t="str" cm="1">
        <f t="array" ref="AI51">IF(Table26142567[[#This Row],[11]]="","",Table26142567[[#This Row],[Weight]:[Weight]]-(Table26142567[[#This Row],[Weight]:[Weight]]*((_xlfn.XMATCH(Table26142567[[#This Row],[11]],Table26142567[[#This Row],[1]:[11]],0))-1)/(COUNTA(Table26142567[[#This Row],[1]:[11]])-COUNTBLANK(Table26142567[[#This Row],[1]:[11]])-1)))</f>
        <v/>
      </c>
    </row>
    <row r="52" spans="1:35" ht="108" x14ac:dyDescent="0.2">
      <c r="A52" s="20">
        <v>40</v>
      </c>
      <c r="B52" s="90" t="s">
        <v>430</v>
      </c>
      <c r="C52" s="119" t="s">
        <v>215</v>
      </c>
      <c r="D52" s="153"/>
      <c r="E52" s="153"/>
      <c r="F52" s="121" t="s">
        <v>60</v>
      </c>
      <c r="G52" s="148" cm="1">
        <f t="array" ref="G52">_xlfn.IFS(F52="","",F52="No interest",0,F52="Nice to have",1,F52="Useful",2,F52="Important",3,F52="Very important",4,F52="Critical",5,F52="Show stopper",6)</f>
        <v>6</v>
      </c>
      <c r="H52" s="149">
        <f t="shared" si="1"/>
        <v>6.756756756756756E-4</v>
      </c>
      <c r="I52" s="150" t="s">
        <v>321</v>
      </c>
      <c r="J52" s="35" t="str" cm="1">
        <f t="array" ref="J52">_xlfn.TEXTJOIN(","&amp;CHAR(10),,TEXT(Table26142567[[#This Row],[12]:[22]],"0,00%"))</f>
        <v>0,00%,
0,00%,
0,00%,
0,00%,
0,00%</v>
      </c>
      <c r="K52" s="26"/>
      <c r="L52" s="27" t="e">
        <f>H52-(H52*((MATCH(Table26142567[[#This Row],[Evaluators Response (SELECT)]],Table26142567[[#This Row],[1]:[11]],0)-1)/(COUNTA(Table26142567[[#This Row],[1]:[11]])-COUNTBLANK(Table26142567[[#This Row],[1]:[11]])-1)))</f>
        <v>#N/A</v>
      </c>
      <c r="M52" s="28"/>
      <c r="N52" s="29" t="str" cm="1">
        <f t="array" ref="N52">IFERROR(INDEX(_xlfn.UNIQUE(TRIM(_xlfn.TEXTSPLIT(Table26142567[[#This Row],[Selection Options]:[Selection Options]],","))),,N$11),"")</f>
        <v>100%: Supported as delivered "out of the box"</v>
      </c>
      <c r="O52" s="29" t="str" cm="1">
        <f t="array" ref="O52">IFERROR(INDEX(_xlfn.UNIQUE(TRIM(_xlfn.TEXTSPLIT(Table26142567[[#This Row],[Selection Options]:[Selection Options]],","))),,O$11),"")</f>
        <v xml:space="preserve">
75%: Supported via modifications (config)</v>
      </c>
      <c r="P52" s="29" t="str" cm="1">
        <f t="array" ref="P52">IFERROR(INDEX(_xlfn.UNIQUE(TRIM(_xlfn.TEXTSPLIT(Table26142567[[#This Row],[Selection Options]:[Selection Options]],","))),,P$11),"")</f>
        <v xml:space="preserve">
50%: Supported via a third party solution</v>
      </c>
      <c r="Q52" s="29" t="str" cm="1">
        <f t="array" ref="Q52">IFERROR(INDEX(_xlfn.UNIQUE(TRIM(_xlfn.TEXTSPLIT(Table26142567[[#This Row],[Selection Options]:[Selection Options]],","))),,Q$11),"")</f>
        <v xml:space="preserve">
25%: Supported via customisation (source code changes)</v>
      </c>
      <c r="R52" s="29" t="str" cm="1">
        <f t="array" ref="R52">IFERROR(INDEX(_xlfn.UNIQUE(TRIM(_xlfn.TEXTSPLIT(Table26142567[[#This Row],[Selection Options]:[Selection Options]],","))),,R$11),"")</f>
        <v xml:space="preserve">
 0%: Not currently supported</v>
      </c>
      <c r="S52" s="29" t="str" cm="1">
        <f t="array" ref="S52">IFERROR(INDEX(_xlfn.UNIQUE(TRIM(_xlfn.TEXTSPLIT(Table26142567[[#This Row],[Selection Options]:[Selection Options]],","))),,S$11),"")</f>
        <v/>
      </c>
      <c r="T52" s="29" t="str" cm="1">
        <f t="array" ref="T52">IFERROR(INDEX(_xlfn.UNIQUE(TRIM(_xlfn.TEXTSPLIT(Table26142567[[#This Row],[Selection Options]:[Selection Options]],","))),,T$11),"")</f>
        <v/>
      </c>
      <c r="U52" s="29" t="str" cm="1">
        <f t="array" ref="U52">IFERROR(INDEX(_xlfn.UNIQUE(TRIM(_xlfn.TEXTSPLIT(Table26142567[[#This Row],[Selection Options]:[Selection Options]],","))),,U$11),"")</f>
        <v/>
      </c>
      <c r="V52" s="29" t="str" cm="1">
        <f t="array" ref="V52">IFERROR(INDEX(_xlfn.UNIQUE(TRIM(_xlfn.TEXTSPLIT(Table26142567[[#This Row],[Selection Options]:[Selection Options]],","))),,V$11),"")</f>
        <v/>
      </c>
      <c r="W52" s="29" t="str" cm="1">
        <f t="array" ref="W52">IFERROR(INDEX(_xlfn.UNIQUE(TRIM(_xlfn.TEXTSPLIT(Table26142567[[#This Row],[Selection Options]:[Selection Options]],","))),,W$11),"")</f>
        <v/>
      </c>
      <c r="X52" s="29" t="str" cm="1">
        <f t="array" ref="X52">IFERROR(INDEX(_xlfn.UNIQUE(TRIM(_xlfn.TEXTSPLIT(Table26142567[[#This Row],[Selection Options]:[Selection Options]],","))),,X$11),"")</f>
        <v/>
      </c>
      <c r="Y52" s="30" cm="1">
        <f t="array" ref="Y52">IF(Table26142567[[#This Row],[1]]="","",Table26142567[[#This Row],[Weight]:[Weight]]-(Table26142567[[#This Row],[Weight]:[Weight]]*((_xlfn.XMATCH(Table26142567[[#This Row],[1]],Table26142567[[#This Row],[1]:[11]],0))-1)/(COUNTA(Table26142567[[#This Row],[1]:[11]])-COUNTBLANK(Table26142567[[#This Row],[1]:[11]])-1)))</f>
        <v>6.756756756756756E-4</v>
      </c>
      <c r="Z52" s="30" cm="1">
        <f t="array" ref="Z52">IF(Table26142567[[#This Row],[2]]="","",Table26142567[[#This Row],[Weight]:[Weight]]-(Table26142567[[#This Row],[Weight]:[Weight]]*((_xlfn.XMATCH(Table26142567[[#This Row],[2]],Table26142567[[#This Row],[1]:[11]],0))-1)/(COUNTA(Table26142567[[#This Row],[1]:[11]])-COUNTBLANK(Table26142567[[#This Row],[1]:[11]])-1)))</f>
        <v>5.0675675675675668E-4</v>
      </c>
      <c r="AA52" s="30" cm="1">
        <f t="array" ref="AA52">IF(Table26142567[[#This Row],[3]]="","",Table26142567[[#This Row],[Weight]:[Weight]]-(Table26142567[[#This Row],[Weight]:[Weight]]*((_xlfn.XMATCH(Table26142567[[#This Row],[3]],Table26142567[[#This Row],[1]:[11]],0))-1)/(COUNTA(Table26142567[[#This Row],[1]:[11]])-COUNTBLANK(Table26142567[[#This Row],[1]:[11]])-1)))</f>
        <v>3.378378378378378E-4</v>
      </c>
      <c r="AB52" s="30" cm="1">
        <f t="array" ref="AB52">IF(Table26142567[[#This Row],[4]]="","",Table26142567[[#This Row],[Weight]:[Weight]]-(Table26142567[[#This Row],[Weight]:[Weight]]*((_xlfn.XMATCH(Table26142567[[#This Row],[4]],Table26142567[[#This Row],[1]:[11]],0))-1)/(COUNTA(Table26142567[[#This Row],[1]:[11]])-COUNTBLANK(Table26142567[[#This Row],[1]:[11]])-1)))</f>
        <v>1.6891891891891893E-4</v>
      </c>
      <c r="AC52" s="30" cm="1">
        <f t="array" ref="AC52">IF(Table26142567[[#This Row],[5]]="","",Table26142567[[#This Row],[Weight]:[Weight]]-(Table26142567[[#This Row],[Weight]:[Weight]]*((_xlfn.XMATCH(Table26142567[[#This Row],[5]],Table26142567[[#This Row],[1]:[11]],0))-1)/(COUNTA(Table26142567[[#This Row],[1]:[11]])-COUNTBLANK(Table26142567[[#This Row],[1]:[11]])-1)))</f>
        <v>0</v>
      </c>
      <c r="AD52" s="30" t="str" cm="1">
        <f t="array" ref="AD52">IF(Table26142567[[#This Row],[6]]="","",Table26142567[[#This Row],[Weight]:[Weight]]-(Table26142567[[#This Row],[Weight]:[Weight]]*((_xlfn.XMATCH(Table26142567[[#This Row],[6]],Table26142567[[#This Row],[1]:[11]],0))-1)/(COUNTA(Table26142567[[#This Row],[1]:[11]])-COUNTBLANK(Table26142567[[#This Row],[1]:[11]])-1)))</f>
        <v/>
      </c>
      <c r="AE52" s="30" t="str" cm="1">
        <f t="array" ref="AE52">IF(Table26142567[[#This Row],[7]]="","",Table26142567[[#This Row],[Weight]:[Weight]]-(Table26142567[[#This Row],[Weight]:[Weight]]*((_xlfn.XMATCH(Table26142567[[#This Row],[7]],Table26142567[[#This Row],[1]:[11]],0))-1)/(COUNTA(Table26142567[[#This Row],[1]:[11]])-COUNTBLANK(Table26142567[[#This Row],[1]:[11]])-1)))</f>
        <v/>
      </c>
      <c r="AF52" s="30" t="str" cm="1">
        <f t="array" ref="AF52">IF(Table26142567[[#This Row],[8]]="","",Table26142567[[#This Row],[Weight]:[Weight]]-(Table26142567[[#This Row],[Weight]:[Weight]]*((_xlfn.XMATCH(Table26142567[[#This Row],[8]],Table26142567[[#This Row],[1]:[11]],0))-1)/(COUNTA(Table26142567[[#This Row],[1]:[11]])-COUNTBLANK(Table26142567[[#This Row],[1]:[11]])-1)))</f>
        <v/>
      </c>
      <c r="AG52" s="30" t="str" cm="1">
        <f t="array" ref="AG52">IF(Table26142567[[#This Row],[9]]="","",Table26142567[[#This Row],[Weight]:[Weight]]-(Table26142567[[#This Row],[Weight]:[Weight]]*((_xlfn.XMATCH(Table26142567[[#This Row],[9]],Table26142567[[#This Row],[1]:[11]],0))-1)/(COUNTA(Table26142567[[#This Row],[1]:[11]])-COUNTBLANK(Table26142567[[#This Row],[1]:[11]])-1)))</f>
        <v/>
      </c>
      <c r="AH52" s="30" t="str" cm="1">
        <f t="array" ref="AH52">IF(Table26142567[[#This Row],[10]]="","",Table26142567[[#This Row],[Weight]:[Weight]]-(Table26142567[[#This Row],[Weight]:[Weight]]*((_xlfn.XMATCH(Table26142567[[#This Row],[10]],Table26142567[[#This Row],[1]:[11]],0))-1)/(COUNTA(Table26142567[[#This Row],[1]:[11]])-COUNTBLANK(Table26142567[[#This Row],[1]:[11]])-1)))</f>
        <v/>
      </c>
      <c r="AI52" s="30" t="str" cm="1">
        <f t="array" ref="AI52">IF(Table26142567[[#This Row],[11]]="","",Table26142567[[#This Row],[Weight]:[Weight]]-(Table26142567[[#This Row],[Weight]:[Weight]]*((_xlfn.XMATCH(Table26142567[[#This Row],[11]],Table26142567[[#This Row],[1]:[11]],0))-1)/(COUNTA(Table26142567[[#This Row],[1]:[11]])-COUNTBLANK(Table26142567[[#This Row],[1]:[11]])-1)))</f>
        <v/>
      </c>
    </row>
    <row r="53" spans="1:35" ht="108" x14ac:dyDescent="0.2">
      <c r="A53" s="20">
        <v>41</v>
      </c>
      <c r="B53" s="90" t="s">
        <v>431</v>
      </c>
      <c r="C53" s="119" t="s">
        <v>215</v>
      </c>
      <c r="D53" s="153"/>
      <c r="E53" s="153"/>
      <c r="F53" s="121" t="s">
        <v>60</v>
      </c>
      <c r="G53" s="148" cm="1">
        <f t="array" ref="G53">_xlfn.IFS(F53="","",F53="No interest",0,F53="Nice to have",1,F53="Useful",2,F53="Important",3,F53="Very important",4,F53="Critical",5,F53="Show stopper",6)</f>
        <v>6</v>
      </c>
      <c r="H53" s="149">
        <f t="shared" si="1"/>
        <v>6.756756756756756E-4</v>
      </c>
      <c r="I53" s="150" t="s">
        <v>321</v>
      </c>
      <c r="J53" s="35" t="str" cm="1">
        <f t="array" ref="J53">_xlfn.TEXTJOIN(","&amp;CHAR(10),,TEXT(Table26142567[[#This Row],[12]:[22]],"0,00%"))</f>
        <v>0,00%,
0,00%,
0,00%,
0,00%,
0,00%</v>
      </c>
      <c r="K53" s="26"/>
      <c r="L53" s="27" t="e">
        <f>H53-(H53*((MATCH(Table26142567[[#This Row],[Evaluators Response (SELECT)]],Table26142567[[#This Row],[1]:[11]],0)-1)/(COUNTA(Table26142567[[#This Row],[1]:[11]])-COUNTBLANK(Table26142567[[#This Row],[1]:[11]])-1)))</f>
        <v>#N/A</v>
      </c>
      <c r="M53" s="28"/>
      <c r="N53" s="29" t="str" cm="1">
        <f t="array" ref="N53">IFERROR(INDEX(_xlfn.UNIQUE(TRIM(_xlfn.TEXTSPLIT(Table26142567[[#This Row],[Selection Options]:[Selection Options]],","))),,N$11),"")</f>
        <v>100%: Supported as delivered "out of the box"</v>
      </c>
      <c r="O53" s="29" t="str" cm="1">
        <f t="array" ref="O53">IFERROR(INDEX(_xlfn.UNIQUE(TRIM(_xlfn.TEXTSPLIT(Table26142567[[#This Row],[Selection Options]:[Selection Options]],","))),,O$11),"")</f>
        <v xml:space="preserve">
75%: Supported via modifications (config)</v>
      </c>
      <c r="P53" s="29" t="str" cm="1">
        <f t="array" ref="P53">IFERROR(INDEX(_xlfn.UNIQUE(TRIM(_xlfn.TEXTSPLIT(Table26142567[[#This Row],[Selection Options]:[Selection Options]],","))),,P$11),"")</f>
        <v xml:space="preserve">
50%: Supported via a third party solution</v>
      </c>
      <c r="Q53" s="29" t="str" cm="1">
        <f t="array" ref="Q53">IFERROR(INDEX(_xlfn.UNIQUE(TRIM(_xlfn.TEXTSPLIT(Table26142567[[#This Row],[Selection Options]:[Selection Options]],","))),,Q$11),"")</f>
        <v xml:space="preserve">
25%: Supported via customisation (source code changes)</v>
      </c>
      <c r="R53" s="29" t="str" cm="1">
        <f t="array" ref="R53">IFERROR(INDEX(_xlfn.UNIQUE(TRIM(_xlfn.TEXTSPLIT(Table26142567[[#This Row],[Selection Options]:[Selection Options]],","))),,R$11),"")</f>
        <v xml:space="preserve">
 0%: Not currently supported</v>
      </c>
      <c r="S53" s="29" t="str" cm="1">
        <f t="array" ref="S53">IFERROR(INDEX(_xlfn.UNIQUE(TRIM(_xlfn.TEXTSPLIT(Table26142567[[#This Row],[Selection Options]:[Selection Options]],","))),,S$11),"")</f>
        <v/>
      </c>
      <c r="T53" s="29" t="str" cm="1">
        <f t="array" ref="T53">IFERROR(INDEX(_xlfn.UNIQUE(TRIM(_xlfn.TEXTSPLIT(Table26142567[[#This Row],[Selection Options]:[Selection Options]],","))),,T$11),"")</f>
        <v/>
      </c>
      <c r="U53" s="29" t="str" cm="1">
        <f t="array" ref="U53">IFERROR(INDEX(_xlfn.UNIQUE(TRIM(_xlfn.TEXTSPLIT(Table26142567[[#This Row],[Selection Options]:[Selection Options]],","))),,U$11),"")</f>
        <v/>
      </c>
      <c r="V53" s="29" t="str" cm="1">
        <f t="array" ref="V53">IFERROR(INDEX(_xlfn.UNIQUE(TRIM(_xlfn.TEXTSPLIT(Table26142567[[#This Row],[Selection Options]:[Selection Options]],","))),,V$11),"")</f>
        <v/>
      </c>
      <c r="W53" s="29" t="str" cm="1">
        <f t="array" ref="W53">IFERROR(INDEX(_xlfn.UNIQUE(TRIM(_xlfn.TEXTSPLIT(Table26142567[[#This Row],[Selection Options]:[Selection Options]],","))),,W$11),"")</f>
        <v/>
      </c>
      <c r="X53" s="29" t="str" cm="1">
        <f t="array" ref="X53">IFERROR(INDEX(_xlfn.UNIQUE(TRIM(_xlfn.TEXTSPLIT(Table26142567[[#This Row],[Selection Options]:[Selection Options]],","))),,X$11),"")</f>
        <v/>
      </c>
      <c r="Y53" s="30" cm="1">
        <f t="array" ref="Y53">IF(Table26142567[[#This Row],[1]]="","",Table26142567[[#This Row],[Weight]:[Weight]]-(Table26142567[[#This Row],[Weight]:[Weight]]*((_xlfn.XMATCH(Table26142567[[#This Row],[1]],Table26142567[[#This Row],[1]:[11]],0))-1)/(COUNTA(Table26142567[[#This Row],[1]:[11]])-COUNTBLANK(Table26142567[[#This Row],[1]:[11]])-1)))</f>
        <v>6.756756756756756E-4</v>
      </c>
      <c r="Z53" s="30" cm="1">
        <f t="array" ref="Z53">IF(Table26142567[[#This Row],[2]]="","",Table26142567[[#This Row],[Weight]:[Weight]]-(Table26142567[[#This Row],[Weight]:[Weight]]*((_xlfn.XMATCH(Table26142567[[#This Row],[2]],Table26142567[[#This Row],[1]:[11]],0))-1)/(COUNTA(Table26142567[[#This Row],[1]:[11]])-COUNTBLANK(Table26142567[[#This Row],[1]:[11]])-1)))</f>
        <v>5.0675675675675668E-4</v>
      </c>
      <c r="AA53" s="30" cm="1">
        <f t="array" ref="AA53">IF(Table26142567[[#This Row],[3]]="","",Table26142567[[#This Row],[Weight]:[Weight]]-(Table26142567[[#This Row],[Weight]:[Weight]]*((_xlfn.XMATCH(Table26142567[[#This Row],[3]],Table26142567[[#This Row],[1]:[11]],0))-1)/(COUNTA(Table26142567[[#This Row],[1]:[11]])-COUNTBLANK(Table26142567[[#This Row],[1]:[11]])-1)))</f>
        <v>3.378378378378378E-4</v>
      </c>
      <c r="AB53" s="30" cm="1">
        <f t="array" ref="AB53">IF(Table26142567[[#This Row],[4]]="","",Table26142567[[#This Row],[Weight]:[Weight]]-(Table26142567[[#This Row],[Weight]:[Weight]]*((_xlfn.XMATCH(Table26142567[[#This Row],[4]],Table26142567[[#This Row],[1]:[11]],0))-1)/(COUNTA(Table26142567[[#This Row],[1]:[11]])-COUNTBLANK(Table26142567[[#This Row],[1]:[11]])-1)))</f>
        <v>1.6891891891891893E-4</v>
      </c>
      <c r="AC53" s="30" cm="1">
        <f t="array" ref="AC53">IF(Table26142567[[#This Row],[5]]="","",Table26142567[[#This Row],[Weight]:[Weight]]-(Table26142567[[#This Row],[Weight]:[Weight]]*((_xlfn.XMATCH(Table26142567[[#This Row],[5]],Table26142567[[#This Row],[1]:[11]],0))-1)/(COUNTA(Table26142567[[#This Row],[1]:[11]])-COUNTBLANK(Table26142567[[#This Row],[1]:[11]])-1)))</f>
        <v>0</v>
      </c>
      <c r="AD53" s="30" t="str" cm="1">
        <f t="array" ref="AD53">IF(Table26142567[[#This Row],[6]]="","",Table26142567[[#This Row],[Weight]:[Weight]]-(Table26142567[[#This Row],[Weight]:[Weight]]*((_xlfn.XMATCH(Table26142567[[#This Row],[6]],Table26142567[[#This Row],[1]:[11]],0))-1)/(COUNTA(Table26142567[[#This Row],[1]:[11]])-COUNTBLANK(Table26142567[[#This Row],[1]:[11]])-1)))</f>
        <v/>
      </c>
      <c r="AE53" s="30" t="str" cm="1">
        <f t="array" ref="AE53">IF(Table26142567[[#This Row],[7]]="","",Table26142567[[#This Row],[Weight]:[Weight]]-(Table26142567[[#This Row],[Weight]:[Weight]]*((_xlfn.XMATCH(Table26142567[[#This Row],[7]],Table26142567[[#This Row],[1]:[11]],0))-1)/(COUNTA(Table26142567[[#This Row],[1]:[11]])-COUNTBLANK(Table26142567[[#This Row],[1]:[11]])-1)))</f>
        <v/>
      </c>
      <c r="AF53" s="30" t="str" cm="1">
        <f t="array" ref="AF53">IF(Table26142567[[#This Row],[8]]="","",Table26142567[[#This Row],[Weight]:[Weight]]-(Table26142567[[#This Row],[Weight]:[Weight]]*((_xlfn.XMATCH(Table26142567[[#This Row],[8]],Table26142567[[#This Row],[1]:[11]],0))-1)/(COUNTA(Table26142567[[#This Row],[1]:[11]])-COUNTBLANK(Table26142567[[#This Row],[1]:[11]])-1)))</f>
        <v/>
      </c>
      <c r="AG53" s="30" t="str" cm="1">
        <f t="array" ref="AG53">IF(Table26142567[[#This Row],[9]]="","",Table26142567[[#This Row],[Weight]:[Weight]]-(Table26142567[[#This Row],[Weight]:[Weight]]*((_xlfn.XMATCH(Table26142567[[#This Row],[9]],Table26142567[[#This Row],[1]:[11]],0))-1)/(COUNTA(Table26142567[[#This Row],[1]:[11]])-COUNTBLANK(Table26142567[[#This Row],[1]:[11]])-1)))</f>
        <v/>
      </c>
      <c r="AH53" s="30" t="str" cm="1">
        <f t="array" ref="AH53">IF(Table26142567[[#This Row],[10]]="","",Table26142567[[#This Row],[Weight]:[Weight]]-(Table26142567[[#This Row],[Weight]:[Weight]]*((_xlfn.XMATCH(Table26142567[[#This Row],[10]],Table26142567[[#This Row],[1]:[11]],0))-1)/(COUNTA(Table26142567[[#This Row],[1]:[11]])-COUNTBLANK(Table26142567[[#This Row],[1]:[11]])-1)))</f>
        <v/>
      </c>
      <c r="AI53" s="30" t="str" cm="1">
        <f t="array" ref="AI53">IF(Table26142567[[#This Row],[11]]="","",Table26142567[[#This Row],[Weight]:[Weight]]-(Table26142567[[#This Row],[Weight]:[Weight]]*((_xlfn.XMATCH(Table26142567[[#This Row],[11]],Table26142567[[#This Row],[1]:[11]],0))-1)/(COUNTA(Table26142567[[#This Row],[1]:[11]])-COUNTBLANK(Table26142567[[#This Row],[1]:[11]])-1)))</f>
        <v/>
      </c>
    </row>
    <row r="54" spans="1:35" ht="108" x14ac:dyDescent="0.2">
      <c r="A54" s="20">
        <v>42</v>
      </c>
      <c r="B54" s="90" t="s">
        <v>432</v>
      </c>
      <c r="C54" s="119" t="s">
        <v>215</v>
      </c>
      <c r="D54" s="153"/>
      <c r="E54" s="153"/>
      <c r="F54" s="121" t="s">
        <v>183</v>
      </c>
      <c r="G54" s="148" cm="1">
        <f t="array" ref="G54">_xlfn.IFS(F54="","",F54="No interest",0,F54="Nice to have",1,F54="Useful",2,F54="Important",3,F54="Very important",4,F54="Critical",5,F54="Show stopper",6)</f>
        <v>4</v>
      </c>
      <c r="H54" s="149">
        <f t="shared" si="1"/>
        <v>4.504504504504504E-4</v>
      </c>
      <c r="I54" s="150" t="s">
        <v>321</v>
      </c>
      <c r="J54" s="35" t="str" cm="1">
        <f t="array" ref="J54">_xlfn.TEXTJOIN(","&amp;CHAR(10),,TEXT(Table26142567[[#This Row],[12]:[22]],"0,00%"))</f>
        <v>0,00%,
0,00%,
0,00%,
0,00%,
0,00%</v>
      </c>
      <c r="K54" s="26"/>
      <c r="L54" s="27" t="e">
        <f>H54-(H54*((MATCH(Table26142567[[#This Row],[Evaluators Response (SELECT)]],Table26142567[[#This Row],[1]:[11]],0)-1)/(COUNTA(Table26142567[[#This Row],[1]:[11]])-COUNTBLANK(Table26142567[[#This Row],[1]:[11]])-1)))</f>
        <v>#N/A</v>
      </c>
      <c r="M54" s="28"/>
      <c r="N54" s="29" t="str" cm="1">
        <f t="array" ref="N54">IFERROR(INDEX(_xlfn.UNIQUE(TRIM(_xlfn.TEXTSPLIT(Table26142567[[#This Row],[Selection Options]:[Selection Options]],","))),,N$11),"")</f>
        <v>100%: Supported as delivered "out of the box"</v>
      </c>
      <c r="O54" s="29" t="str" cm="1">
        <f t="array" ref="O54">IFERROR(INDEX(_xlfn.UNIQUE(TRIM(_xlfn.TEXTSPLIT(Table26142567[[#This Row],[Selection Options]:[Selection Options]],","))),,O$11),"")</f>
        <v xml:space="preserve">
75%: Supported via modifications (config)</v>
      </c>
      <c r="P54" s="29" t="str" cm="1">
        <f t="array" ref="P54">IFERROR(INDEX(_xlfn.UNIQUE(TRIM(_xlfn.TEXTSPLIT(Table26142567[[#This Row],[Selection Options]:[Selection Options]],","))),,P$11),"")</f>
        <v xml:space="preserve">
50%: Supported via a third party solution</v>
      </c>
      <c r="Q54" s="29" t="str" cm="1">
        <f t="array" ref="Q54">IFERROR(INDEX(_xlfn.UNIQUE(TRIM(_xlfn.TEXTSPLIT(Table26142567[[#This Row],[Selection Options]:[Selection Options]],","))),,Q$11),"")</f>
        <v xml:space="preserve">
25%: Supported via customisation (source code changes)</v>
      </c>
      <c r="R54" s="29" t="str" cm="1">
        <f t="array" ref="R54">IFERROR(INDEX(_xlfn.UNIQUE(TRIM(_xlfn.TEXTSPLIT(Table26142567[[#This Row],[Selection Options]:[Selection Options]],","))),,R$11),"")</f>
        <v xml:space="preserve">
 0%: Not currently supported</v>
      </c>
      <c r="S54" s="29" t="str" cm="1">
        <f t="array" ref="S54">IFERROR(INDEX(_xlfn.UNIQUE(TRIM(_xlfn.TEXTSPLIT(Table26142567[[#This Row],[Selection Options]:[Selection Options]],","))),,S$11),"")</f>
        <v/>
      </c>
      <c r="T54" s="29" t="str" cm="1">
        <f t="array" ref="T54">IFERROR(INDEX(_xlfn.UNIQUE(TRIM(_xlfn.TEXTSPLIT(Table26142567[[#This Row],[Selection Options]:[Selection Options]],","))),,T$11),"")</f>
        <v/>
      </c>
      <c r="U54" s="29" t="str" cm="1">
        <f t="array" ref="U54">IFERROR(INDEX(_xlfn.UNIQUE(TRIM(_xlfn.TEXTSPLIT(Table26142567[[#This Row],[Selection Options]:[Selection Options]],","))),,U$11),"")</f>
        <v/>
      </c>
      <c r="V54" s="29" t="str" cm="1">
        <f t="array" ref="V54">IFERROR(INDEX(_xlfn.UNIQUE(TRIM(_xlfn.TEXTSPLIT(Table26142567[[#This Row],[Selection Options]:[Selection Options]],","))),,V$11),"")</f>
        <v/>
      </c>
      <c r="W54" s="29" t="str" cm="1">
        <f t="array" ref="W54">IFERROR(INDEX(_xlfn.UNIQUE(TRIM(_xlfn.TEXTSPLIT(Table26142567[[#This Row],[Selection Options]:[Selection Options]],","))),,W$11),"")</f>
        <v/>
      </c>
      <c r="X54" s="29" t="str" cm="1">
        <f t="array" ref="X54">IFERROR(INDEX(_xlfn.UNIQUE(TRIM(_xlfn.TEXTSPLIT(Table26142567[[#This Row],[Selection Options]:[Selection Options]],","))),,X$11),"")</f>
        <v/>
      </c>
      <c r="Y54" s="30" cm="1">
        <f t="array" ref="Y54">IF(Table26142567[[#This Row],[1]]="","",Table26142567[[#This Row],[Weight]:[Weight]]-(Table26142567[[#This Row],[Weight]:[Weight]]*((_xlfn.XMATCH(Table26142567[[#This Row],[1]],Table26142567[[#This Row],[1]:[11]],0))-1)/(COUNTA(Table26142567[[#This Row],[1]:[11]])-COUNTBLANK(Table26142567[[#This Row],[1]:[11]])-1)))</f>
        <v>4.504504504504504E-4</v>
      </c>
      <c r="Z54" s="30" cm="1">
        <f t="array" ref="Z54">IF(Table26142567[[#This Row],[2]]="","",Table26142567[[#This Row],[Weight]:[Weight]]-(Table26142567[[#This Row],[Weight]:[Weight]]*((_xlfn.XMATCH(Table26142567[[#This Row],[2]],Table26142567[[#This Row],[1]:[11]],0))-1)/(COUNTA(Table26142567[[#This Row],[1]:[11]])-COUNTBLANK(Table26142567[[#This Row],[1]:[11]])-1)))</f>
        <v>3.378378378378378E-4</v>
      </c>
      <c r="AA54" s="30" cm="1">
        <f t="array" ref="AA54">IF(Table26142567[[#This Row],[3]]="","",Table26142567[[#This Row],[Weight]:[Weight]]-(Table26142567[[#This Row],[Weight]:[Weight]]*((_xlfn.XMATCH(Table26142567[[#This Row],[3]],Table26142567[[#This Row],[1]:[11]],0))-1)/(COUNTA(Table26142567[[#This Row],[1]:[11]])-COUNTBLANK(Table26142567[[#This Row],[1]:[11]])-1)))</f>
        <v>2.252252252252252E-4</v>
      </c>
      <c r="AB54" s="30" cm="1">
        <f t="array" ref="AB54">IF(Table26142567[[#This Row],[4]]="","",Table26142567[[#This Row],[Weight]:[Weight]]-(Table26142567[[#This Row],[Weight]:[Weight]]*((_xlfn.XMATCH(Table26142567[[#This Row],[4]],Table26142567[[#This Row],[1]:[11]],0))-1)/(COUNTA(Table26142567[[#This Row],[1]:[11]])-COUNTBLANK(Table26142567[[#This Row],[1]:[11]])-1)))</f>
        <v>1.126126126126126E-4</v>
      </c>
      <c r="AC54" s="30" cm="1">
        <f t="array" ref="AC54">IF(Table26142567[[#This Row],[5]]="","",Table26142567[[#This Row],[Weight]:[Weight]]-(Table26142567[[#This Row],[Weight]:[Weight]]*((_xlfn.XMATCH(Table26142567[[#This Row],[5]],Table26142567[[#This Row],[1]:[11]],0))-1)/(COUNTA(Table26142567[[#This Row],[1]:[11]])-COUNTBLANK(Table26142567[[#This Row],[1]:[11]])-1)))</f>
        <v>0</v>
      </c>
      <c r="AD54" s="30" t="str" cm="1">
        <f t="array" ref="AD54">IF(Table26142567[[#This Row],[6]]="","",Table26142567[[#This Row],[Weight]:[Weight]]-(Table26142567[[#This Row],[Weight]:[Weight]]*((_xlfn.XMATCH(Table26142567[[#This Row],[6]],Table26142567[[#This Row],[1]:[11]],0))-1)/(COUNTA(Table26142567[[#This Row],[1]:[11]])-COUNTBLANK(Table26142567[[#This Row],[1]:[11]])-1)))</f>
        <v/>
      </c>
      <c r="AE54" s="30" t="str" cm="1">
        <f t="array" ref="AE54">IF(Table26142567[[#This Row],[7]]="","",Table26142567[[#This Row],[Weight]:[Weight]]-(Table26142567[[#This Row],[Weight]:[Weight]]*((_xlfn.XMATCH(Table26142567[[#This Row],[7]],Table26142567[[#This Row],[1]:[11]],0))-1)/(COUNTA(Table26142567[[#This Row],[1]:[11]])-COUNTBLANK(Table26142567[[#This Row],[1]:[11]])-1)))</f>
        <v/>
      </c>
      <c r="AF54" s="30" t="str" cm="1">
        <f t="array" ref="AF54">IF(Table26142567[[#This Row],[8]]="","",Table26142567[[#This Row],[Weight]:[Weight]]-(Table26142567[[#This Row],[Weight]:[Weight]]*((_xlfn.XMATCH(Table26142567[[#This Row],[8]],Table26142567[[#This Row],[1]:[11]],0))-1)/(COUNTA(Table26142567[[#This Row],[1]:[11]])-COUNTBLANK(Table26142567[[#This Row],[1]:[11]])-1)))</f>
        <v/>
      </c>
      <c r="AG54" s="30" t="str" cm="1">
        <f t="array" ref="AG54">IF(Table26142567[[#This Row],[9]]="","",Table26142567[[#This Row],[Weight]:[Weight]]-(Table26142567[[#This Row],[Weight]:[Weight]]*((_xlfn.XMATCH(Table26142567[[#This Row],[9]],Table26142567[[#This Row],[1]:[11]],0))-1)/(COUNTA(Table26142567[[#This Row],[1]:[11]])-COUNTBLANK(Table26142567[[#This Row],[1]:[11]])-1)))</f>
        <v/>
      </c>
      <c r="AH54" s="30" t="str" cm="1">
        <f t="array" ref="AH54">IF(Table26142567[[#This Row],[10]]="","",Table26142567[[#This Row],[Weight]:[Weight]]-(Table26142567[[#This Row],[Weight]:[Weight]]*((_xlfn.XMATCH(Table26142567[[#This Row],[10]],Table26142567[[#This Row],[1]:[11]],0))-1)/(COUNTA(Table26142567[[#This Row],[1]:[11]])-COUNTBLANK(Table26142567[[#This Row],[1]:[11]])-1)))</f>
        <v/>
      </c>
      <c r="AI54" s="30" t="str" cm="1">
        <f t="array" ref="AI54">IF(Table26142567[[#This Row],[11]]="","",Table26142567[[#This Row],[Weight]:[Weight]]-(Table26142567[[#This Row],[Weight]:[Weight]]*((_xlfn.XMATCH(Table26142567[[#This Row],[11]],Table26142567[[#This Row],[1]:[11]],0))-1)/(COUNTA(Table26142567[[#This Row],[1]:[11]])-COUNTBLANK(Table26142567[[#This Row],[1]:[11]])-1)))</f>
        <v/>
      </c>
    </row>
    <row r="55" spans="1:35" ht="108" x14ac:dyDescent="0.2">
      <c r="A55" s="20">
        <v>43</v>
      </c>
      <c r="B55" s="90" t="s">
        <v>433</v>
      </c>
      <c r="C55" s="119" t="s">
        <v>215</v>
      </c>
      <c r="D55" s="153"/>
      <c r="E55" s="153"/>
      <c r="F55" s="121" t="s">
        <v>60</v>
      </c>
      <c r="G55" s="148" cm="1">
        <f t="array" ref="G55">_xlfn.IFS(F55="","",F55="No interest",0,F55="Nice to have",1,F55="Useful",2,F55="Important",3,F55="Very important",4,F55="Critical",5,F55="Show stopper",6)</f>
        <v>6</v>
      </c>
      <c r="H55" s="149">
        <f t="shared" si="1"/>
        <v>6.756756756756756E-4</v>
      </c>
      <c r="I55" s="150" t="s">
        <v>321</v>
      </c>
      <c r="J55" s="35" t="str" cm="1">
        <f t="array" ref="J55">_xlfn.TEXTJOIN(","&amp;CHAR(10),,TEXT(Table26142567[[#This Row],[12]:[22]],"0,00%"))</f>
        <v>0,00%,
0,00%,
0,00%,
0,00%,
0,00%</v>
      </c>
      <c r="K55" s="26"/>
      <c r="L55" s="27" t="e">
        <f>H55-(H55*((MATCH(Table26142567[[#This Row],[Evaluators Response (SELECT)]],Table26142567[[#This Row],[1]:[11]],0)-1)/(COUNTA(Table26142567[[#This Row],[1]:[11]])-COUNTBLANK(Table26142567[[#This Row],[1]:[11]])-1)))</f>
        <v>#N/A</v>
      </c>
      <c r="M55" s="28"/>
      <c r="N55" s="29" t="str" cm="1">
        <f t="array" ref="N55">IFERROR(INDEX(_xlfn.UNIQUE(TRIM(_xlfn.TEXTSPLIT(Table26142567[[#This Row],[Selection Options]:[Selection Options]],","))),,N$11),"")</f>
        <v>100%: Supported as delivered "out of the box"</v>
      </c>
      <c r="O55" s="29" t="str" cm="1">
        <f t="array" ref="O55">IFERROR(INDEX(_xlfn.UNIQUE(TRIM(_xlfn.TEXTSPLIT(Table26142567[[#This Row],[Selection Options]:[Selection Options]],","))),,O$11),"")</f>
        <v xml:space="preserve">
75%: Supported via modifications (config)</v>
      </c>
      <c r="P55" s="29" t="str" cm="1">
        <f t="array" ref="P55">IFERROR(INDEX(_xlfn.UNIQUE(TRIM(_xlfn.TEXTSPLIT(Table26142567[[#This Row],[Selection Options]:[Selection Options]],","))),,P$11),"")</f>
        <v xml:space="preserve">
50%: Supported via a third party solution</v>
      </c>
      <c r="Q55" s="29" t="str" cm="1">
        <f t="array" ref="Q55">IFERROR(INDEX(_xlfn.UNIQUE(TRIM(_xlfn.TEXTSPLIT(Table26142567[[#This Row],[Selection Options]:[Selection Options]],","))),,Q$11),"")</f>
        <v xml:space="preserve">
25%: Supported via customisation (source code changes)</v>
      </c>
      <c r="R55" s="29" t="str" cm="1">
        <f t="array" ref="R55">IFERROR(INDEX(_xlfn.UNIQUE(TRIM(_xlfn.TEXTSPLIT(Table26142567[[#This Row],[Selection Options]:[Selection Options]],","))),,R$11),"")</f>
        <v xml:space="preserve">
 0%: Not currently supported</v>
      </c>
      <c r="S55" s="29" t="str" cm="1">
        <f t="array" ref="S55">IFERROR(INDEX(_xlfn.UNIQUE(TRIM(_xlfn.TEXTSPLIT(Table26142567[[#This Row],[Selection Options]:[Selection Options]],","))),,S$11),"")</f>
        <v/>
      </c>
      <c r="T55" s="29" t="str" cm="1">
        <f t="array" ref="T55">IFERROR(INDEX(_xlfn.UNIQUE(TRIM(_xlfn.TEXTSPLIT(Table26142567[[#This Row],[Selection Options]:[Selection Options]],","))),,T$11),"")</f>
        <v/>
      </c>
      <c r="U55" s="29" t="str" cm="1">
        <f t="array" ref="U55">IFERROR(INDEX(_xlfn.UNIQUE(TRIM(_xlfn.TEXTSPLIT(Table26142567[[#This Row],[Selection Options]:[Selection Options]],","))),,U$11),"")</f>
        <v/>
      </c>
      <c r="V55" s="29" t="str" cm="1">
        <f t="array" ref="V55">IFERROR(INDEX(_xlfn.UNIQUE(TRIM(_xlfn.TEXTSPLIT(Table26142567[[#This Row],[Selection Options]:[Selection Options]],","))),,V$11),"")</f>
        <v/>
      </c>
      <c r="W55" s="29" t="str" cm="1">
        <f t="array" ref="W55">IFERROR(INDEX(_xlfn.UNIQUE(TRIM(_xlfn.TEXTSPLIT(Table26142567[[#This Row],[Selection Options]:[Selection Options]],","))),,W$11),"")</f>
        <v/>
      </c>
      <c r="X55" s="29" t="str" cm="1">
        <f t="array" ref="X55">IFERROR(INDEX(_xlfn.UNIQUE(TRIM(_xlfn.TEXTSPLIT(Table26142567[[#This Row],[Selection Options]:[Selection Options]],","))),,X$11),"")</f>
        <v/>
      </c>
      <c r="Y55" s="30" cm="1">
        <f t="array" ref="Y55">IF(Table26142567[[#This Row],[1]]="","",Table26142567[[#This Row],[Weight]:[Weight]]-(Table26142567[[#This Row],[Weight]:[Weight]]*((_xlfn.XMATCH(Table26142567[[#This Row],[1]],Table26142567[[#This Row],[1]:[11]],0))-1)/(COUNTA(Table26142567[[#This Row],[1]:[11]])-COUNTBLANK(Table26142567[[#This Row],[1]:[11]])-1)))</f>
        <v>6.756756756756756E-4</v>
      </c>
      <c r="Z55" s="30" cm="1">
        <f t="array" ref="Z55">IF(Table26142567[[#This Row],[2]]="","",Table26142567[[#This Row],[Weight]:[Weight]]-(Table26142567[[#This Row],[Weight]:[Weight]]*((_xlfn.XMATCH(Table26142567[[#This Row],[2]],Table26142567[[#This Row],[1]:[11]],0))-1)/(COUNTA(Table26142567[[#This Row],[1]:[11]])-COUNTBLANK(Table26142567[[#This Row],[1]:[11]])-1)))</f>
        <v>5.0675675675675668E-4</v>
      </c>
      <c r="AA55" s="30" cm="1">
        <f t="array" ref="AA55">IF(Table26142567[[#This Row],[3]]="","",Table26142567[[#This Row],[Weight]:[Weight]]-(Table26142567[[#This Row],[Weight]:[Weight]]*((_xlfn.XMATCH(Table26142567[[#This Row],[3]],Table26142567[[#This Row],[1]:[11]],0))-1)/(COUNTA(Table26142567[[#This Row],[1]:[11]])-COUNTBLANK(Table26142567[[#This Row],[1]:[11]])-1)))</f>
        <v>3.378378378378378E-4</v>
      </c>
      <c r="AB55" s="30" cm="1">
        <f t="array" ref="AB55">IF(Table26142567[[#This Row],[4]]="","",Table26142567[[#This Row],[Weight]:[Weight]]-(Table26142567[[#This Row],[Weight]:[Weight]]*((_xlfn.XMATCH(Table26142567[[#This Row],[4]],Table26142567[[#This Row],[1]:[11]],0))-1)/(COUNTA(Table26142567[[#This Row],[1]:[11]])-COUNTBLANK(Table26142567[[#This Row],[1]:[11]])-1)))</f>
        <v>1.6891891891891893E-4</v>
      </c>
      <c r="AC55" s="30" cm="1">
        <f t="array" ref="AC55">IF(Table26142567[[#This Row],[5]]="","",Table26142567[[#This Row],[Weight]:[Weight]]-(Table26142567[[#This Row],[Weight]:[Weight]]*((_xlfn.XMATCH(Table26142567[[#This Row],[5]],Table26142567[[#This Row],[1]:[11]],0))-1)/(COUNTA(Table26142567[[#This Row],[1]:[11]])-COUNTBLANK(Table26142567[[#This Row],[1]:[11]])-1)))</f>
        <v>0</v>
      </c>
      <c r="AD55" s="30" t="str" cm="1">
        <f t="array" ref="AD55">IF(Table26142567[[#This Row],[6]]="","",Table26142567[[#This Row],[Weight]:[Weight]]-(Table26142567[[#This Row],[Weight]:[Weight]]*((_xlfn.XMATCH(Table26142567[[#This Row],[6]],Table26142567[[#This Row],[1]:[11]],0))-1)/(COUNTA(Table26142567[[#This Row],[1]:[11]])-COUNTBLANK(Table26142567[[#This Row],[1]:[11]])-1)))</f>
        <v/>
      </c>
      <c r="AE55" s="30" t="str" cm="1">
        <f t="array" ref="AE55">IF(Table26142567[[#This Row],[7]]="","",Table26142567[[#This Row],[Weight]:[Weight]]-(Table26142567[[#This Row],[Weight]:[Weight]]*((_xlfn.XMATCH(Table26142567[[#This Row],[7]],Table26142567[[#This Row],[1]:[11]],0))-1)/(COUNTA(Table26142567[[#This Row],[1]:[11]])-COUNTBLANK(Table26142567[[#This Row],[1]:[11]])-1)))</f>
        <v/>
      </c>
      <c r="AF55" s="30" t="str" cm="1">
        <f t="array" ref="AF55">IF(Table26142567[[#This Row],[8]]="","",Table26142567[[#This Row],[Weight]:[Weight]]-(Table26142567[[#This Row],[Weight]:[Weight]]*((_xlfn.XMATCH(Table26142567[[#This Row],[8]],Table26142567[[#This Row],[1]:[11]],0))-1)/(COUNTA(Table26142567[[#This Row],[1]:[11]])-COUNTBLANK(Table26142567[[#This Row],[1]:[11]])-1)))</f>
        <v/>
      </c>
      <c r="AG55" s="30" t="str" cm="1">
        <f t="array" ref="AG55">IF(Table26142567[[#This Row],[9]]="","",Table26142567[[#This Row],[Weight]:[Weight]]-(Table26142567[[#This Row],[Weight]:[Weight]]*((_xlfn.XMATCH(Table26142567[[#This Row],[9]],Table26142567[[#This Row],[1]:[11]],0))-1)/(COUNTA(Table26142567[[#This Row],[1]:[11]])-COUNTBLANK(Table26142567[[#This Row],[1]:[11]])-1)))</f>
        <v/>
      </c>
      <c r="AH55" s="30" t="str" cm="1">
        <f t="array" ref="AH55">IF(Table26142567[[#This Row],[10]]="","",Table26142567[[#This Row],[Weight]:[Weight]]-(Table26142567[[#This Row],[Weight]:[Weight]]*((_xlfn.XMATCH(Table26142567[[#This Row],[10]],Table26142567[[#This Row],[1]:[11]],0))-1)/(COUNTA(Table26142567[[#This Row],[1]:[11]])-COUNTBLANK(Table26142567[[#This Row],[1]:[11]])-1)))</f>
        <v/>
      </c>
      <c r="AI55" s="30" t="str" cm="1">
        <f t="array" ref="AI55">IF(Table26142567[[#This Row],[11]]="","",Table26142567[[#This Row],[Weight]:[Weight]]-(Table26142567[[#This Row],[Weight]:[Weight]]*((_xlfn.XMATCH(Table26142567[[#This Row],[11]],Table26142567[[#This Row],[1]:[11]],0))-1)/(COUNTA(Table26142567[[#This Row],[1]:[11]])-COUNTBLANK(Table26142567[[#This Row],[1]:[11]])-1)))</f>
        <v/>
      </c>
    </row>
    <row r="56" spans="1:35" ht="108" x14ac:dyDescent="0.2">
      <c r="A56" s="20">
        <v>44</v>
      </c>
      <c r="B56" s="90" t="s">
        <v>434</v>
      </c>
      <c r="C56" s="119" t="s">
        <v>215</v>
      </c>
      <c r="D56" s="153"/>
      <c r="E56" s="153"/>
      <c r="F56" s="121" t="s">
        <v>60</v>
      </c>
      <c r="G56" s="148" cm="1">
        <f t="array" ref="G56">_xlfn.IFS(F56="","",F56="No interest",0,F56="Nice to have",1,F56="Useful",2,F56="Important",3,F56="Very important",4,F56="Critical",5,F56="Show stopper",6)</f>
        <v>6</v>
      </c>
      <c r="H56" s="149">
        <f t="shared" si="1"/>
        <v>6.756756756756756E-4</v>
      </c>
      <c r="I56" s="150" t="s">
        <v>321</v>
      </c>
      <c r="J56" s="35" t="str" cm="1">
        <f t="array" ref="J56">_xlfn.TEXTJOIN(","&amp;CHAR(10),,TEXT(Table26142567[[#This Row],[12]:[22]],"0,00%"))</f>
        <v>0,00%,
0,00%,
0,00%,
0,00%,
0,00%</v>
      </c>
      <c r="K56" s="26"/>
      <c r="L56" s="27" t="e">
        <f>H56-(H56*((MATCH(Table26142567[[#This Row],[Evaluators Response (SELECT)]],Table26142567[[#This Row],[1]:[11]],0)-1)/(COUNTA(Table26142567[[#This Row],[1]:[11]])-COUNTBLANK(Table26142567[[#This Row],[1]:[11]])-1)))</f>
        <v>#N/A</v>
      </c>
      <c r="M56" s="28"/>
      <c r="N56" s="29" t="str" cm="1">
        <f t="array" ref="N56">IFERROR(INDEX(_xlfn.UNIQUE(TRIM(_xlfn.TEXTSPLIT(Table26142567[[#This Row],[Selection Options]:[Selection Options]],","))),,N$11),"")</f>
        <v>100%: Supported as delivered "out of the box"</v>
      </c>
      <c r="O56" s="29" t="str" cm="1">
        <f t="array" ref="O56">IFERROR(INDEX(_xlfn.UNIQUE(TRIM(_xlfn.TEXTSPLIT(Table26142567[[#This Row],[Selection Options]:[Selection Options]],","))),,O$11),"")</f>
        <v xml:space="preserve">
75%: Supported via modifications (config)</v>
      </c>
      <c r="P56" s="29" t="str" cm="1">
        <f t="array" ref="P56">IFERROR(INDEX(_xlfn.UNIQUE(TRIM(_xlfn.TEXTSPLIT(Table26142567[[#This Row],[Selection Options]:[Selection Options]],","))),,P$11),"")</f>
        <v xml:space="preserve">
50%: Supported via a third party solution</v>
      </c>
      <c r="Q56" s="29" t="str" cm="1">
        <f t="array" ref="Q56">IFERROR(INDEX(_xlfn.UNIQUE(TRIM(_xlfn.TEXTSPLIT(Table26142567[[#This Row],[Selection Options]:[Selection Options]],","))),,Q$11),"")</f>
        <v xml:space="preserve">
25%: Supported via customisation (source code changes)</v>
      </c>
      <c r="R56" s="29" t="str" cm="1">
        <f t="array" ref="R56">IFERROR(INDEX(_xlfn.UNIQUE(TRIM(_xlfn.TEXTSPLIT(Table26142567[[#This Row],[Selection Options]:[Selection Options]],","))),,R$11),"")</f>
        <v xml:space="preserve">
 0%: Not currently supported</v>
      </c>
      <c r="S56" s="29" t="str" cm="1">
        <f t="array" ref="S56">IFERROR(INDEX(_xlfn.UNIQUE(TRIM(_xlfn.TEXTSPLIT(Table26142567[[#This Row],[Selection Options]:[Selection Options]],","))),,S$11),"")</f>
        <v/>
      </c>
      <c r="T56" s="29" t="str" cm="1">
        <f t="array" ref="T56">IFERROR(INDEX(_xlfn.UNIQUE(TRIM(_xlfn.TEXTSPLIT(Table26142567[[#This Row],[Selection Options]:[Selection Options]],","))),,T$11),"")</f>
        <v/>
      </c>
      <c r="U56" s="29" t="str" cm="1">
        <f t="array" ref="U56">IFERROR(INDEX(_xlfn.UNIQUE(TRIM(_xlfn.TEXTSPLIT(Table26142567[[#This Row],[Selection Options]:[Selection Options]],","))),,U$11),"")</f>
        <v/>
      </c>
      <c r="V56" s="29" t="str" cm="1">
        <f t="array" ref="V56">IFERROR(INDEX(_xlfn.UNIQUE(TRIM(_xlfn.TEXTSPLIT(Table26142567[[#This Row],[Selection Options]:[Selection Options]],","))),,V$11),"")</f>
        <v/>
      </c>
      <c r="W56" s="29" t="str" cm="1">
        <f t="array" ref="W56">IFERROR(INDEX(_xlfn.UNIQUE(TRIM(_xlfn.TEXTSPLIT(Table26142567[[#This Row],[Selection Options]:[Selection Options]],","))),,W$11),"")</f>
        <v/>
      </c>
      <c r="X56" s="29" t="str" cm="1">
        <f t="array" ref="X56">IFERROR(INDEX(_xlfn.UNIQUE(TRIM(_xlfn.TEXTSPLIT(Table26142567[[#This Row],[Selection Options]:[Selection Options]],","))),,X$11),"")</f>
        <v/>
      </c>
      <c r="Y56" s="30" cm="1">
        <f t="array" ref="Y56">IF(Table26142567[[#This Row],[1]]="","",Table26142567[[#This Row],[Weight]:[Weight]]-(Table26142567[[#This Row],[Weight]:[Weight]]*((_xlfn.XMATCH(Table26142567[[#This Row],[1]],Table26142567[[#This Row],[1]:[11]],0))-1)/(COUNTA(Table26142567[[#This Row],[1]:[11]])-COUNTBLANK(Table26142567[[#This Row],[1]:[11]])-1)))</f>
        <v>6.756756756756756E-4</v>
      </c>
      <c r="Z56" s="30" cm="1">
        <f t="array" ref="Z56">IF(Table26142567[[#This Row],[2]]="","",Table26142567[[#This Row],[Weight]:[Weight]]-(Table26142567[[#This Row],[Weight]:[Weight]]*((_xlfn.XMATCH(Table26142567[[#This Row],[2]],Table26142567[[#This Row],[1]:[11]],0))-1)/(COUNTA(Table26142567[[#This Row],[1]:[11]])-COUNTBLANK(Table26142567[[#This Row],[1]:[11]])-1)))</f>
        <v>5.0675675675675668E-4</v>
      </c>
      <c r="AA56" s="30" cm="1">
        <f t="array" ref="AA56">IF(Table26142567[[#This Row],[3]]="","",Table26142567[[#This Row],[Weight]:[Weight]]-(Table26142567[[#This Row],[Weight]:[Weight]]*((_xlfn.XMATCH(Table26142567[[#This Row],[3]],Table26142567[[#This Row],[1]:[11]],0))-1)/(COUNTA(Table26142567[[#This Row],[1]:[11]])-COUNTBLANK(Table26142567[[#This Row],[1]:[11]])-1)))</f>
        <v>3.378378378378378E-4</v>
      </c>
      <c r="AB56" s="30" cm="1">
        <f t="array" ref="AB56">IF(Table26142567[[#This Row],[4]]="","",Table26142567[[#This Row],[Weight]:[Weight]]-(Table26142567[[#This Row],[Weight]:[Weight]]*((_xlfn.XMATCH(Table26142567[[#This Row],[4]],Table26142567[[#This Row],[1]:[11]],0))-1)/(COUNTA(Table26142567[[#This Row],[1]:[11]])-COUNTBLANK(Table26142567[[#This Row],[1]:[11]])-1)))</f>
        <v>1.6891891891891893E-4</v>
      </c>
      <c r="AC56" s="30" cm="1">
        <f t="array" ref="AC56">IF(Table26142567[[#This Row],[5]]="","",Table26142567[[#This Row],[Weight]:[Weight]]-(Table26142567[[#This Row],[Weight]:[Weight]]*((_xlfn.XMATCH(Table26142567[[#This Row],[5]],Table26142567[[#This Row],[1]:[11]],0))-1)/(COUNTA(Table26142567[[#This Row],[1]:[11]])-COUNTBLANK(Table26142567[[#This Row],[1]:[11]])-1)))</f>
        <v>0</v>
      </c>
      <c r="AD56" s="30" t="str" cm="1">
        <f t="array" ref="AD56">IF(Table26142567[[#This Row],[6]]="","",Table26142567[[#This Row],[Weight]:[Weight]]-(Table26142567[[#This Row],[Weight]:[Weight]]*((_xlfn.XMATCH(Table26142567[[#This Row],[6]],Table26142567[[#This Row],[1]:[11]],0))-1)/(COUNTA(Table26142567[[#This Row],[1]:[11]])-COUNTBLANK(Table26142567[[#This Row],[1]:[11]])-1)))</f>
        <v/>
      </c>
      <c r="AE56" s="30" t="str" cm="1">
        <f t="array" ref="AE56">IF(Table26142567[[#This Row],[7]]="","",Table26142567[[#This Row],[Weight]:[Weight]]-(Table26142567[[#This Row],[Weight]:[Weight]]*((_xlfn.XMATCH(Table26142567[[#This Row],[7]],Table26142567[[#This Row],[1]:[11]],0))-1)/(COUNTA(Table26142567[[#This Row],[1]:[11]])-COUNTBLANK(Table26142567[[#This Row],[1]:[11]])-1)))</f>
        <v/>
      </c>
      <c r="AF56" s="30" t="str" cm="1">
        <f t="array" ref="AF56">IF(Table26142567[[#This Row],[8]]="","",Table26142567[[#This Row],[Weight]:[Weight]]-(Table26142567[[#This Row],[Weight]:[Weight]]*((_xlfn.XMATCH(Table26142567[[#This Row],[8]],Table26142567[[#This Row],[1]:[11]],0))-1)/(COUNTA(Table26142567[[#This Row],[1]:[11]])-COUNTBLANK(Table26142567[[#This Row],[1]:[11]])-1)))</f>
        <v/>
      </c>
      <c r="AG56" s="30" t="str" cm="1">
        <f t="array" ref="AG56">IF(Table26142567[[#This Row],[9]]="","",Table26142567[[#This Row],[Weight]:[Weight]]-(Table26142567[[#This Row],[Weight]:[Weight]]*((_xlfn.XMATCH(Table26142567[[#This Row],[9]],Table26142567[[#This Row],[1]:[11]],0))-1)/(COUNTA(Table26142567[[#This Row],[1]:[11]])-COUNTBLANK(Table26142567[[#This Row],[1]:[11]])-1)))</f>
        <v/>
      </c>
      <c r="AH56" s="30" t="str" cm="1">
        <f t="array" ref="AH56">IF(Table26142567[[#This Row],[10]]="","",Table26142567[[#This Row],[Weight]:[Weight]]-(Table26142567[[#This Row],[Weight]:[Weight]]*((_xlfn.XMATCH(Table26142567[[#This Row],[10]],Table26142567[[#This Row],[1]:[11]],0))-1)/(COUNTA(Table26142567[[#This Row],[1]:[11]])-COUNTBLANK(Table26142567[[#This Row],[1]:[11]])-1)))</f>
        <v/>
      </c>
      <c r="AI56" s="30" t="str" cm="1">
        <f t="array" ref="AI56">IF(Table26142567[[#This Row],[11]]="","",Table26142567[[#This Row],[Weight]:[Weight]]-(Table26142567[[#This Row],[Weight]:[Weight]]*((_xlfn.XMATCH(Table26142567[[#This Row],[11]],Table26142567[[#This Row],[1]:[11]],0))-1)/(COUNTA(Table26142567[[#This Row],[1]:[11]])-COUNTBLANK(Table26142567[[#This Row],[1]:[11]])-1)))</f>
        <v/>
      </c>
    </row>
    <row r="57" spans="1:35" ht="108" x14ac:dyDescent="0.2">
      <c r="A57" s="20">
        <v>45</v>
      </c>
      <c r="B57" s="90" t="s">
        <v>435</v>
      </c>
      <c r="C57" s="119" t="s">
        <v>215</v>
      </c>
      <c r="D57" s="153"/>
      <c r="E57" s="153"/>
      <c r="F57" s="121" t="s">
        <v>60</v>
      </c>
      <c r="G57" s="148" cm="1">
        <f t="array" ref="G57">_xlfn.IFS(F57="","",F57="No interest",0,F57="Nice to have",1,F57="Useful",2,F57="Important",3,F57="Very important",4,F57="Critical",5,F57="Show stopper",6)</f>
        <v>6</v>
      </c>
      <c r="H57" s="149">
        <f t="shared" si="1"/>
        <v>6.756756756756756E-4</v>
      </c>
      <c r="I57" s="150" t="s">
        <v>321</v>
      </c>
      <c r="J57" s="35" t="str" cm="1">
        <f t="array" ref="J57">_xlfn.TEXTJOIN(","&amp;CHAR(10),,TEXT(Table26142567[[#This Row],[12]:[22]],"0,00%"))</f>
        <v>0,00%,
0,00%,
0,00%,
0,00%,
0,00%</v>
      </c>
      <c r="K57" s="26"/>
      <c r="L57" s="27" t="e">
        <f>H57-(H57*((MATCH(Table26142567[[#This Row],[Evaluators Response (SELECT)]],Table26142567[[#This Row],[1]:[11]],0)-1)/(COUNTA(Table26142567[[#This Row],[1]:[11]])-COUNTBLANK(Table26142567[[#This Row],[1]:[11]])-1)))</f>
        <v>#N/A</v>
      </c>
      <c r="M57" s="28"/>
      <c r="N57" s="29" t="str" cm="1">
        <f t="array" ref="N57">IFERROR(INDEX(_xlfn.UNIQUE(TRIM(_xlfn.TEXTSPLIT(Table26142567[[#This Row],[Selection Options]:[Selection Options]],","))),,N$11),"")</f>
        <v>100%: Supported as delivered "out of the box"</v>
      </c>
      <c r="O57" s="29" t="str" cm="1">
        <f t="array" ref="O57">IFERROR(INDEX(_xlfn.UNIQUE(TRIM(_xlfn.TEXTSPLIT(Table26142567[[#This Row],[Selection Options]:[Selection Options]],","))),,O$11),"")</f>
        <v xml:space="preserve">
75%: Supported via modifications (config)</v>
      </c>
      <c r="P57" s="29" t="str" cm="1">
        <f t="array" ref="P57">IFERROR(INDEX(_xlfn.UNIQUE(TRIM(_xlfn.TEXTSPLIT(Table26142567[[#This Row],[Selection Options]:[Selection Options]],","))),,P$11),"")</f>
        <v xml:space="preserve">
50%: Supported via a third party solution</v>
      </c>
      <c r="Q57" s="29" t="str" cm="1">
        <f t="array" ref="Q57">IFERROR(INDEX(_xlfn.UNIQUE(TRIM(_xlfn.TEXTSPLIT(Table26142567[[#This Row],[Selection Options]:[Selection Options]],","))),,Q$11),"")</f>
        <v xml:space="preserve">
25%: Supported via customisation (source code changes)</v>
      </c>
      <c r="R57" s="29" t="str" cm="1">
        <f t="array" ref="R57">IFERROR(INDEX(_xlfn.UNIQUE(TRIM(_xlfn.TEXTSPLIT(Table26142567[[#This Row],[Selection Options]:[Selection Options]],","))),,R$11),"")</f>
        <v xml:space="preserve">
 0%: Not currently supported</v>
      </c>
      <c r="S57" s="29" t="str" cm="1">
        <f t="array" ref="S57">IFERROR(INDEX(_xlfn.UNIQUE(TRIM(_xlfn.TEXTSPLIT(Table26142567[[#This Row],[Selection Options]:[Selection Options]],","))),,S$11),"")</f>
        <v/>
      </c>
      <c r="T57" s="29" t="str" cm="1">
        <f t="array" ref="T57">IFERROR(INDEX(_xlfn.UNIQUE(TRIM(_xlfn.TEXTSPLIT(Table26142567[[#This Row],[Selection Options]:[Selection Options]],","))),,T$11),"")</f>
        <v/>
      </c>
      <c r="U57" s="29" t="str" cm="1">
        <f t="array" ref="U57">IFERROR(INDEX(_xlfn.UNIQUE(TRIM(_xlfn.TEXTSPLIT(Table26142567[[#This Row],[Selection Options]:[Selection Options]],","))),,U$11),"")</f>
        <v/>
      </c>
      <c r="V57" s="29" t="str" cm="1">
        <f t="array" ref="V57">IFERROR(INDEX(_xlfn.UNIQUE(TRIM(_xlfn.TEXTSPLIT(Table26142567[[#This Row],[Selection Options]:[Selection Options]],","))),,V$11),"")</f>
        <v/>
      </c>
      <c r="W57" s="29" t="str" cm="1">
        <f t="array" ref="W57">IFERROR(INDEX(_xlfn.UNIQUE(TRIM(_xlfn.TEXTSPLIT(Table26142567[[#This Row],[Selection Options]:[Selection Options]],","))),,W$11),"")</f>
        <v/>
      </c>
      <c r="X57" s="29" t="str" cm="1">
        <f t="array" ref="X57">IFERROR(INDEX(_xlfn.UNIQUE(TRIM(_xlfn.TEXTSPLIT(Table26142567[[#This Row],[Selection Options]:[Selection Options]],","))),,X$11),"")</f>
        <v/>
      </c>
      <c r="Y57" s="30" cm="1">
        <f t="array" ref="Y57">IF(Table26142567[[#This Row],[1]]="","",Table26142567[[#This Row],[Weight]:[Weight]]-(Table26142567[[#This Row],[Weight]:[Weight]]*((_xlfn.XMATCH(Table26142567[[#This Row],[1]],Table26142567[[#This Row],[1]:[11]],0))-1)/(COUNTA(Table26142567[[#This Row],[1]:[11]])-COUNTBLANK(Table26142567[[#This Row],[1]:[11]])-1)))</f>
        <v>6.756756756756756E-4</v>
      </c>
      <c r="Z57" s="30" cm="1">
        <f t="array" ref="Z57">IF(Table26142567[[#This Row],[2]]="","",Table26142567[[#This Row],[Weight]:[Weight]]-(Table26142567[[#This Row],[Weight]:[Weight]]*((_xlfn.XMATCH(Table26142567[[#This Row],[2]],Table26142567[[#This Row],[1]:[11]],0))-1)/(COUNTA(Table26142567[[#This Row],[1]:[11]])-COUNTBLANK(Table26142567[[#This Row],[1]:[11]])-1)))</f>
        <v>5.0675675675675668E-4</v>
      </c>
      <c r="AA57" s="30" cm="1">
        <f t="array" ref="AA57">IF(Table26142567[[#This Row],[3]]="","",Table26142567[[#This Row],[Weight]:[Weight]]-(Table26142567[[#This Row],[Weight]:[Weight]]*((_xlfn.XMATCH(Table26142567[[#This Row],[3]],Table26142567[[#This Row],[1]:[11]],0))-1)/(COUNTA(Table26142567[[#This Row],[1]:[11]])-COUNTBLANK(Table26142567[[#This Row],[1]:[11]])-1)))</f>
        <v>3.378378378378378E-4</v>
      </c>
      <c r="AB57" s="30" cm="1">
        <f t="array" ref="AB57">IF(Table26142567[[#This Row],[4]]="","",Table26142567[[#This Row],[Weight]:[Weight]]-(Table26142567[[#This Row],[Weight]:[Weight]]*((_xlfn.XMATCH(Table26142567[[#This Row],[4]],Table26142567[[#This Row],[1]:[11]],0))-1)/(COUNTA(Table26142567[[#This Row],[1]:[11]])-COUNTBLANK(Table26142567[[#This Row],[1]:[11]])-1)))</f>
        <v>1.6891891891891893E-4</v>
      </c>
      <c r="AC57" s="30" cm="1">
        <f t="array" ref="AC57">IF(Table26142567[[#This Row],[5]]="","",Table26142567[[#This Row],[Weight]:[Weight]]-(Table26142567[[#This Row],[Weight]:[Weight]]*((_xlfn.XMATCH(Table26142567[[#This Row],[5]],Table26142567[[#This Row],[1]:[11]],0))-1)/(COUNTA(Table26142567[[#This Row],[1]:[11]])-COUNTBLANK(Table26142567[[#This Row],[1]:[11]])-1)))</f>
        <v>0</v>
      </c>
      <c r="AD57" s="30" t="str" cm="1">
        <f t="array" ref="AD57">IF(Table26142567[[#This Row],[6]]="","",Table26142567[[#This Row],[Weight]:[Weight]]-(Table26142567[[#This Row],[Weight]:[Weight]]*((_xlfn.XMATCH(Table26142567[[#This Row],[6]],Table26142567[[#This Row],[1]:[11]],0))-1)/(COUNTA(Table26142567[[#This Row],[1]:[11]])-COUNTBLANK(Table26142567[[#This Row],[1]:[11]])-1)))</f>
        <v/>
      </c>
      <c r="AE57" s="30" t="str" cm="1">
        <f t="array" ref="AE57">IF(Table26142567[[#This Row],[7]]="","",Table26142567[[#This Row],[Weight]:[Weight]]-(Table26142567[[#This Row],[Weight]:[Weight]]*((_xlfn.XMATCH(Table26142567[[#This Row],[7]],Table26142567[[#This Row],[1]:[11]],0))-1)/(COUNTA(Table26142567[[#This Row],[1]:[11]])-COUNTBLANK(Table26142567[[#This Row],[1]:[11]])-1)))</f>
        <v/>
      </c>
      <c r="AF57" s="30" t="str" cm="1">
        <f t="array" ref="AF57">IF(Table26142567[[#This Row],[8]]="","",Table26142567[[#This Row],[Weight]:[Weight]]-(Table26142567[[#This Row],[Weight]:[Weight]]*((_xlfn.XMATCH(Table26142567[[#This Row],[8]],Table26142567[[#This Row],[1]:[11]],0))-1)/(COUNTA(Table26142567[[#This Row],[1]:[11]])-COUNTBLANK(Table26142567[[#This Row],[1]:[11]])-1)))</f>
        <v/>
      </c>
      <c r="AG57" s="30" t="str" cm="1">
        <f t="array" ref="AG57">IF(Table26142567[[#This Row],[9]]="","",Table26142567[[#This Row],[Weight]:[Weight]]-(Table26142567[[#This Row],[Weight]:[Weight]]*((_xlfn.XMATCH(Table26142567[[#This Row],[9]],Table26142567[[#This Row],[1]:[11]],0))-1)/(COUNTA(Table26142567[[#This Row],[1]:[11]])-COUNTBLANK(Table26142567[[#This Row],[1]:[11]])-1)))</f>
        <v/>
      </c>
      <c r="AH57" s="30" t="str" cm="1">
        <f t="array" ref="AH57">IF(Table26142567[[#This Row],[10]]="","",Table26142567[[#This Row],[Weight]:[Weight]]-(Table26142567[[#This Row],[Weight]:[Weight]]*((_xlfn.XMATCH(Table26142567[[#This Row],[10]],Table26142567[[#This Row],[1]:[11]],0))-1)/(COUNTA(Table26142567[[#This Row],[1]:[11]])-COUNTBLANK(Table26142567[[#This Row],[1]:[11]])-1)))</f>
        <v/>
      </c>
      <c r="AI57" s="30" t="str" cm="1">
        <f t="array" ref="AI57">IF(Table26142567[[#This Row],[11]]="","",Table26142567[[#This Row],[Weight]:[Weight]]-(Table26142567[[#This Row],[Weight]:[Weight]]*((_xlfn.XMATCH(Table26142567[[#This Row],[11]],Table26142567[[#This Row],[1]:[11]],0))-1)/(COUNTA(Table26142567[[#This Row],[1]:[11]])-COUNTBLANK(Table26142567[[#This Row],[1]:[11]])-1)))</f>
        <v/>
      </c>
    </row>
    <row r="58" spans="1:35" ht="108" x14ac:dyDescent="0.2">
      <c r="A58" s="20">
        <v>46</v>
      </c>
      <c r="B58" s="90" t="s">
        <v>436</v>
      </c>
      <c r="C58" s="119" t="s">
        <v>215</v>
      </c>
      <c r="D58" s="153"/>
      <c r="E58" s="153"/>
      <c r="F58" s="121" t="s">
        <v>60</v>
      </c>
      <c r="G58" s="148" cm="1">
        <f t="array" ref="G58">_xlfn.IFS(F58="","",F58="No interest",0,F58="Nice to have",1,F58="Useful",2,F58="Important",3,F58="Very important",4,F58="Critical",5,F58="Show stopper",6)</f>
        <v>6</v>
      </c>
      <c r="H58" s="149">
        <f t="shared" si="1"/>
        <v>6.756756756756756E-4</v>
      </c>
      <c r="I58" s="150" t="s">
        <v>321</v>
      </c>
      <c r="J58" s="35" t="str" cm="1">
        <f t="array" ref="J58">_xlfn.TEXTJOIN(","&amp;CHAR(10),,TEXT(Table26142567[[#This Row],[12]:[22]],"0,00%"))</f>
        <v>0,00%,
0,00%,
0,00%,
0,00%,
0,00%</v>
      </c>
      <c r="K58" s="26"/>
      <c r="L58" s="27" t="e">
        <f>H58-(H58*((MATCH(Table26142567[[#This Row],[Evaluators Response (SELECT)]],Table26142567[[#This Row],[1]:[11]],0)-1)/(COUNTA(Table26142567[[#This Row],[1]:[11]])-COUNTBLANK(Table26142567[[#This Row],[1]:[11]])-1)))</f>
        <v>#N/A</v>
      </c>
      <c r="M58" s="28"/>
      <c r="N58" s="29" t="str" cm="1">
        <f t="array" ref="N58">IFERROR(INDEX(_xlfn.UNIQUE(TRIM(_xlfn.TEXTSPLIT(Table26142567[[#This Row],[Selection Options]:[Selection Options]],","))),,N$11),"")</f>
        <v>100%: Supported as delivered "out of the box"</v>
      </c>
      <c r="O58" s="29" t="str" cm="1">
        <f t="array" ref="O58">IFERROR(INDEX(_xlfn.UNIQUE(TRIM(_xlfn.TEXTSPLIT(Table26142567[[#This Row],[Selection Options]:[Selection Options]],","))),,O$11),"")</f>
        <v xml:space="preserve">
75%: Supported via modifications (config)</v>
      </c>
      <c r="P58" s="29" t="str" cm="1">
        <f t="array" ref="P58">IFERROR(INDEX(_xlfn.UNIQUE(TRIM(_xlfn.TEXTSPLIT(Table26142567[[#This Row],[Selection Options]:[Selection Options]],","))),,P$11),"")</f>
        <v xml:space="preserve">
50%: Supported via a third party solution</v>
      </c>
      <c r="Q58" s="29" t="str" cm="1">
        <f t="array" ref="Q58">IFERROR(INDEX(_xlfn.UNIQUE(TRIM(_xlfn.TEXTSPLIT(Table26142567[[#This Row],[Selection Options]:[Selection Options]],","))),,Q$11),"")</f>
        <v xml:space="preserve">
25%: Supported via customisation (source code changes)</v>
      </c>
      <c r="R58" s="29" t="str" cm="1">
        <f t="array" ref="R58">IFERROR(INDEX(_xlfn.UNIQUE(TRIM(_xlfn.TEXTSPLIT(Table26142567[[#This Row],[Selection Options]:[Selection Options]],","))),,R$11),"")</f>
        <v xml:space="preserve">
 0%: Not currently supported</v>
      </c>
      <c r="S58" s="29" t="str" cm="1">
        <f t="array" ref="S58">IFERROR(INDEX(_xlfn.UNIQUE(TRIM(_xlfn.TEXTSPLIT(Table26142567[[#This Row],[Selection Options]:[Selection Options]],","))),,S$11),"")</f>
        <v/>
      </c>
      <c r="T58" s="29" t="str" cm="1">
        <f t="array" ref="T58">IFERROR(INDEX(_xlfn.UNIQUE(TRIM(_xlfn.TEXTSPLIT(Table26142567[[#This Row],[Selection Options]:[Selection Options]],","))),,T$11),"")</f>
        <v/>
      </c>
      <c r="U58" s="29" t="str" cm="1">
        <f t="array" ref="U58">IFERROR(INDEX(_xlfn.UNIQUE(TRIM(_xlfn.TEXTSPLIT(Table26142567[[#This Row],[Selection Options]:[Selection Options]],","))),,U$11),"")</f>
        <v/>
      </c>
      <c r="V58" s="29" t="str" cm="1">
        <f t="array" ref="V58">IFERROR(INDEX(_xlfn.UNIQUE(TRIM(_xlfn.TEXTSPLIT(Table26142567[[#This Row],[Selection Options]:[Selection Options]],","))),,V$11),"")</f>
        <v/>
      </c>
      <c r="W58" s="29" t="str" cm="1">
        <f t="array" ref="W58">IFERROR(INDEX(_xlfn.UNIQUE(TRIM(_xlfn.TEXTSPLIT(Table26142567[[#This Row],[Selection Options]:[Selection Options]],","))),,W$11),"")</f>
        <v/>
      </c>
      <c r="X58" s="29" t="str" cm="1">
        <f t="array" ref="X58">IFERROR(INDEX(_xlfn.UNIQUE(TRIM(_xlfn.TEXTSPLIT(Table26142567[[#This Row],[Selection Options]:[Selection Options]],","))),,X$11),"")</f>
        <v/>
      </c>
      <c r="Y58" s="30" cm="1">
        <f t="array" ref="Y58">IF(Table26142567[[#This Row],[1]]="","",Table26142567[[#This Row],[Weight]:[Weight]]-(Table26142567[[#This Row],[Weight]:[Weight]]*((_xlfn.XMATCH(Table26142567[[#This Row],[1]],Table26142567[[#This Row],[1]:[11]],0))-1)/(COUNTA(Table26142567[[#This Row],[1]:[11]])-COUNTBLANK(Table26142567[[#This Row],[1]:[11]])-1)))</f>
        <v>6.756756756756756E-4</v>
      </c>
      <c r="Z58" s="30" cm="1">
        <f t="array" ref="Z58">IF(Table26142567[[#This Row],[2]]="","",Table26142567[[#This Row],[Weight]:[Weight]]-(Table26142567[[#This Row],[Weight]:[Weight]]*((_xlfn.XMATCH(Table26142567[[#This Row],[2]],Table26142567[[#This Row],[1]:[11]],0))-1)/(COUNTA(Table26142567[[#This Row],[1]:[11]])-COUNTBLANK(Table26142567[[#This Row],[1]:[11]])-1)))</f>
        <v>5.0675675675675668E-4</v>
      </c>
      <c r="AA58" s="30" cm="1">
        <f t="array" ref="AA58">IF(Table26142567[[#This Row],[3]]="","",Table26142567[[#This Row],[Weight]:[Weight]]-(Table26142567[[#This Row],[Weight]:[Weight]]*((_xlfn.XMATCH(Table26142567[[#This Row],[3]],Table26142567[[#This Row],[1]:[11]],0))-1)/(COUNTA(Table26142567[[#This Row],[1]:[11]])-COUNTBLANK(Table26142567[[#This Row],[1]:[11]])-1)))</f>
        <v>3.378378378378378E-4</v>
      </c>
      <c r="AB58" s="30" cm="1">
        <f t="array" ref="AB58">IF(Table26142567[[#This Row],[4]]="","",Table26142567[[#This Row],[Weight]:[Weight]]-(Table26142567[[#This Row],[Weight]:[Weight]]*((_xlfn.XMATCH(Table26142567[[#This Row],[4]],Table26142567[[#This Row],[1]:[11]],0))-1)/(COUNTA(Table26142567[[#This Row],[1]:[11]])-COUNTBLANK(Table26142567[[#This Row],[1]:[11]])-1)))</f>
        <v>1.6891891891891893E-4</v>
      </c>
      <c r="AC58" s="30" cm="1">
        <f t="array" ref="AC58">IF(Table26142567[[#This Row],[5]]="","",Table26142567[[#This Row],[Weight]:[Weight]]-(Table26142567[[#This Row],[Weight]:[Weight]]*((_xlfn.XMATCH(Table26142567[[#This Row],[5]],Table26142567[[#This Row],[1]:[11]],0))-1)/(COUNTA(Table26142567[[#This Row],[1]:[11]])-COUNTBLANK(Table26142567[[#This Row],[1]:[11]])-1)))</f>
        <v>0</v>
      </c>
      <c r="AD58" s="30" t="str" cm="1">
        <f t="array" ref="AD58">IF(Table26142567[[#This Row],[6]]="","",Table26142567[[#This Row],[Weight]:[Weight]]-(Table26142567[[#This Row],[Weight]:[Weight]]*((_xlfn.XMATCH(Table26142567[[#This Row],[6]],Table26142567[[#This Row],[1]:[11]],0))-1)/(COUNTA(Table26142567[[#This Row],[1]:[11]])-COUNTBLANK(Table26142567[[#This Row],[1]:[11]])-1)))</f>
        <v/>
      </c>
      <c r="AE58" s="30" t="str" cm="1">
        <f t="array" ref="AE58">IF(Table26142567[[#This Row],[7]]="","",Table26142567[[#This Row],[Weight]:[Weight]]-(Table26142567[[#This Row],[Weight]:[Weight]]*((_xlfn.XMATCH(Table26142567[[#This Row],[7]],Table26142567[[#This Row],[1]:[11]],0))-1)/(COUNTA(Table26142567[[#This Row],[1]:[11]])-COUNTBLANK(Table26142567[[#This Row],[1]:[11]])-1)))</f>
        <v/>
      </c>
      <c r="AF58" s="30" t="str" cm="1">
        <f t="array" ref="AF58">IF(Table26142567[[#This Row],[8]]="","",Table26142567[[#This Row],[Weight]:[Weight]]-(Table26142567[[#This Row],[Weight]:[Weight]]*((_xlfn.XMATCH(Table26142567[[#This Row],[8]],Table26142567[[#This Row],[1]:[11]],0))-1)/(COUNTA(Table26142567[[#This Row],[1]:[11]])-COUNTBLANK(Table26142567[[#This Row],[1]:[11]])-1)))</f>
        <v/>
      </c>
      <c r="AG58" s="30" t="str" cm="1">
        <f t="array" ref="AG58">IF(Table26142567[[#This Row],[9]]="","",Table26142567[[#This Row],[Weight]:[Weight]]-(Table26142567[[#This Row],[Weight]:[Weight]]*((_xlfn.XMATCH(Table26142567[[#This Row],[9]],Table26142567[[#This Row],[1]:[11]],0))-1)/(COUNTA(Table26142567[[#This Row],[1]:[11]])-COUNTBLANK(Table26142567[[#This Row],[1]:[11]])-1)))</f>
        <v/>
      </c>
      <c r="AH58" s="30" t="str" cm="1">
        <f t="array" ref="AH58">IF(Table26142567[[#This Row],[10]]="","",Table26142567[[#This Row],[Weight]:[Weight]]-(Table26142567[[#This Row],[Weight]:[Weight]]*((_xlfn.XMATCH(Table26142567[[#This Row],[10]],Table26142567[[#This Row],[1]:[11]],0))-1)/(COUNTA(Table26142567[[#This Row],[1]:[11]])-COUNTBLANK(Table26142567[[#This Row],[1]:[11]])-1)))</f>
        <v/>
      </c>
      <c r="AI58" s="30" t="str" cm="1">
        <f t="array" ref="AI58">IF(Table26142567[[#This Row],[11]]="","",Table26142567[[#This Row],[Weight]:[Weight]]-(Table26142567[[#This Row],[Weight]:[Weight]]*((_xlfn.XMATCH(Table26142567[[#This Row],[11]],Table26142567[[#This Row],[1]:[11]],0))-1)/(COUNTA(Table26142567[[#This Row],[1]:[11]])-COUNTBLANK(Table26142567[[#This Row],[1]:[11]])-1)))</f>
        <v/>
      </c>
    </row>
    <row r="59" spans="1:35" ht="108" x14ac:dyDescent="0.2">
      <c r="A59" s="20">
        <v>47</v>
      </c>
      <c r="B59" s="90" t="s">
        <v>437</v>
      </c>
      <c r="C59" s="119" t="s">
        <v>215</v>
      </c>
      <c r="D59" s="153"/>
      <c r="E59" s="153"/>
      <c r="F59" s="121" t="s">
        <v>183</v>
      </c>
      <c r="G59" s="148" cm="1">
        <f t="array" ref="G59">_xlfn.IFS(F59="","",F59="No interest",0,F59="Nice to have",1,F59="Useful",2,F59="Important",3,F59="Very important",4,F59="Critical",5,F59="Show stopper",6)</f>
        <v>4</v>
      </c>
      <c r="H59" s="149">
        <f t="shared" si="1"/>
        <v>4.504504504504504E-4</v>
      </c>
      <c r="I59" s="150" t="s">
        <v>321</v>
      </c>
      <c r="J59" s="35" t="str" cm="1">
        <f t="array" ref="J59">_xlfn.TEXTJOIN(","&amp;CHAR(10),,TEXT(Table26142567[[#This Row],[12]:[22]],"0,00%"))</f>
        <v>0,00%,
0,00%,
0,00%,
0,00%,
0,00%</v>
      </c>
      <c r="K59" s="26"/>
      <c r="L59" s="27" t="e">
        <f>H59-(H59*((MATCH(Table26142567[[#This Row],[Evaluators Response (SELECT)]],Table26142567[[#This Row],[1]:[11]],0)-1)/(COUNTA(Table26142567[[#This Row],[1]:[11]])-COUNTBLANK(Table26142567[[#This Row],[1]:[11]])-1)))</f>
        <v>#N/A</v>
      </c>
      <c r="M59" s="28"/>
      <c r="N59" s="29" t="str" cm="1">
        <f t="array" ref="N59">IFERROR(INDEX(_xlfn.UNIQUE(TRIM(_xlfn.TEXTSPLIT(Table26142567[[#This Row],[Selection Options]:[Selection Options]],","))),,N$11),"")</f>
        <v>100%: Supported as delivered "out of the box"</v>
      </c>
      <c r="O59" s="29" t="str" cm="1">
        <f t="array" ref="O59">IFERROR(INDEX(_xlfn.UNIQUE(TRIM(_xlfn.TEXTSPLIT(Table26142567[[#This Row],[Selection Options]:[Selection Options]],","))),,O$11),"")</f>
        <v xml:space="preserve">
75%: Supported via modifications (config)</v>
      </c>
      <c r="P59" s="29" t="str" cm="1">
        <f t="array" ref="P59">IFERROR(INDEX(_xlfn.UNIQUE(TRIM(_xlfn.TEXTSPLIT(Table26142567[[#This Row],[Selection Options]:[Selection Options]],","))),,P$11),"")</f>
        <v xml:space="preserve">
50%: Supported via a third party solution</v>
      </c>
      <c r="Q59" s="29" t="str" cm="1">
        <f t="array" ref="Q59">IFERROR(INDEX(_xlfn.UNIQUE(TRIM(_xlfn.TEXTSPLIT(Table26142567[[#This Row],[Selection Options]:[Selection Options]],","))),,Q$11),"")</f>
        <v xml:space="preserve">
25%: Supported via customisation (source code changes)</v>
      </c>
      <c r="R59" s="29" t="str" cm="1">
        <f t="array" ref="R59">IFERROR(INDEX(_xlfn.UNIQUE(TRIM(_xlfn.TEXTSPLIT(Table26142567[[#This Row],[Selection Options]:[Selection Options]],","))),,R$11),"")</f>
        <v xml:space="preserve">
 0%: Not currently supported</v>
      </c>
      <c r="S59" s="29" t="str" cm="1">
        <f t="array" ref="S59">IFERROR(INDEX(_xlfn.UNIQUE(TRIM(_xlfn.TEXTSPLIT(Table26142567[[#This Row],[Selection Options]:[Selection Options]],","))),,S$11),"")</f>
        <v/>
      </c>
      <c r="T59" s="29" t="str" cm="1">
        <f t="array" ref="T59">IFERROR(INDEX(_xlfn.UNIQUE(TRIM(_xlfn.TEXTSPLIT(Table26142567[[#This Row],[Selection Options]:[Selection Options]],","))),,T$11),"")</f>
        <v/>
      </c>
      <c r="U59" s="29" t="str" cm="1">
        <f t="array" ref="U59">IFERROR(INDEX(_xlfn.UNIQUE(TRIM(_xlfn.TEXTSPLIT(Table26142567[[#This Row],[Selection Options]:[Selection Options]],","))),,U$11),"")</f>
        <v/>
      </c>
      <c r="V59" s="29" t="str" cm="1">
        <f t="array" ref="V59">IFERROR(INDEX(_xlfn.UNIQUE(TRIM(_xlfn.TEXTSPLIT(Table26142567[[#This Row],[Selection Options]:[Selection Options]],","))),,V$11),"")</f>
        <v/>
      </c>
      <c r="W59" s="29" t="str" cm="1">
        <f t="array" ref="W59">IFERROR(INDEX(_xlfn.UNIQUE(TRIM(_xlfn.TEXTSPLIT(Table26142567[[#This Row],[Selection Options]:[Selection Options]],","))),,W$11),"")</f>
        <v/>
      </c>
      <c r="X59" s="29" t="str" cm="1">
        <f t="array" ref="X59">IFERROR(INDEX(_xlfn.UNIQUE(TRIM(_xlfn.TEXTSPLIT(Table26142567[[#This Row],[Selection Options]:[Selection Options]],","))),,X$11),"")</f>
        <v/>
      </c>
      <c r="Y59" s="30" cm="1">
        <f t="array" ref="Y59">IF(Table26142567[[#This Row],[1]]="","",Table26142567[[#This Row],[Weight]:[Weight]]-(Table26142567[[#This Row],[Weight]:[Weight]]*((_xlfn.XMATCH(Table26142567[[#This Row],[1]],Table26142567[[#This Row],[1]:[11]],0))-1)/(COUNTA(Table26142567[[#This Row],[1]:[11]])-COUNTBLANK(Table26142567[[#This Row],[1]:[11]])-1)))</f>
        <v>4.504504504504504E-4</v>
      </c>
      <c r="Z59" s="30" cm="1">
        <f t="array" ref="Z59">IF(Table26142567[[#This Row],[2]]="","",Table26142567[[#This Row],[Weight]:[Weight]]-(Table26142567[[#This Row],[Weight]:[Weight]]*((_xlfn.XMATCH(Table26142567[[#This Row],[2]],Table26142567[[#This Row],[1]:[11]],0))-1)/(COUNTA(Table26142567[[#This Row],[1]:[11]])-COUNTBLANK(Table26142567[[#This Row],[1]:[11]])-1)))</f>
        <v>3.378378378378378E-4</v>
      </c>
      <c r="AA59" s="30" cm="1">
        <f t="array" ref="AA59">IF(Table26142567[[#This Row],[3]]="","",Table26142567[[#This Row],[Weight]:[Weight]]-(Table26142567[[#This Row],[Weight]:[Weight]]*((_xlfn.XMATCH(Table26142567[[#This Row],[3]],Table26142567[[#This Row],[1]:[11]],0))-1)/(COUNTA(Table26142567[[#This Row],[1]:[11]])-COUNTBLANK(Table26142567[[#This Row],[1]:[11]])-1)))</f>
        <v>2.252252252252252E-4</v>
      </c>
      <c r="AB59" s="30" cm="1">
        <f t="array" ref="AB59">IF(Table26142567[[#This Row],[4]]="","",Table26142567[[#This Row],[Weight]:[Weight]]-(Table26142567[[#This Row],[Weight]:[Weight]]*((_xlfn.XMATCH(Table26142567[[#This Row],[4]],Table26142567[[#This Row],[1]:[11]],0))-1)/(COUNTA(Table26142567[[#This Row],[1]:[11]])-COUNTBLANK(Table26142567[[#This Row],[1]:[11]])-1)))</f>
        <v>1.126126126126126E-4</v>
      </c>
      <c r="AC59" s="30" cm="1">
        <f t="array" ref="AC59">IF(Table26142567[[#This Row],[5]]="","",Table26142567[[#This Row],[Weight]:[Weight]]-(Table26142567[[#This Row],[Weight]:[Weight]]*((_xlfn.XMATCH(Table26142567[[#This Row],[5]],Table26142567[[#This Row],[1]:[11]],0))-1)/(COUNTA(Table26142567[[#This Row],[1]:[11]])-COUNTBLANK(Table26142567[[#This Row],[1]:[11]])-1)))</f>
        <v>0</v>
      </c>
      <c r="AD59" s="30" t="str" cm="1">
        <f t="array" ref="AD59">IF(Table26142567[[#This Row],[6]]="","",Table26142567[[#This Row],[Weight]:[Weight]]-(Table26142567[[#This Row],[Weight]:[Weight]]*((_xlfn.XMATCH(Table26142567[[#This Row],[6]],Table26142567[[#This Row],[1]:[11]],0))-1)/(COUNTA(Table26142567[[#This Row],[1]:[11]])-COUNTBLANK(Table26142567[[#This Row],[1]:[11]])-1)))</f>
        <v/>
      </c>
      <c r="AE59" s="30" t="str" cm="1">
        <f t="array" ref="AE59">IF(Table26142567[[#This Row],[7]]="","",Table26142567[[#This Row],[Weight]:[Weight]]-(Table26142567[[#This Row],[Weight]:[Weight]]*((_xlfn.XMATCH(Table26142567[[#This Row],[7]],Table26142567[[#This Row],[1]:[11]],0))-1)/(COUNTA(Table26142567[[#This Row],[1]:[11]])-COUNTBLANK(Table26142567[[#This Row],[1]:[11]])-1)))</f>
        <v/>
      </c>
      <c r="AF59" s="30" t="str" cm="1">
        <f t="array" ref="AF59">IF(Table26142567[[#This Row],[8]]="","",Table26142567[[#This Row],[Weight]:[Weight]]-(Table26142567[[#This Row],[Weight]:[Weight]]*((_xlfn.XMATCH(Table26142567[[#This Row],[8]],Table26142567[[#This Row],[1]:[11]],0))-1)/(COUNTA(Table26142567[[#This Row],[1]:[11]])-COUNTBLANK(Table26142567[[#This Row],[1]:[11]])-1)))</f>
        <v/>
      </c>
      <c r="AG59" s="30" t="str" cm="1">
        <f t="array" ref="AG59">IF(Table26142567[[#This Row],[9]]="","",Table26142567[[#This Row],[Weight]:[Weight]]-(Table26142567[[#This Row],[Weight]:[Weight]]*((_xlfn.XMATCH(Table26142567[[#This Row],[9]],Table26142567[[#This Row],[1]:[11]],0))-1)/(COUNTA(Table26142567[[#This Row],[1]:[11]])-COUNTBLANK(Table26142567[[#This Row],[1]:[11]])-1)))</f>
        <v/>
      </c>
      <c r="AH59" s="30" t="str" cm="1">
        <f t="array" ref="AH59">IF(Table26142567[[#This Row],[10]]="","",Table26142567[[#This Row],[Weight]:[Weight]]-(Table26142567[[#This Row],[Weight]:[Weight]]*((_xlfn.XMATCH(Table26142567[[#This Row],[10]],Table26142567[[#This Row],[1]:[11]],0))-1)/(COUNTA(Table26142567[[#This Row],[1]:[11]])-COUNTBLANK(Table26142567[[#This Row],[1]:[11]])-1)))</f>
        <v/>
      </c>
      <c r="AI59" s="30" t="str" cm="1">
        <f t="array" ref="AI59">IF(Table26142567[[#This Row],[11]]="","",Table26142567[[#This Row],[Weight]:[Weight]]-(Table26142567[[#This Row],[Weight]:[Weight]]*((_xlfn.XMATCH(Table26142567[[#This Row],[11]],Table26142567[[#This Row],[1]:[11]],0))-1)/(COUNTA(Table26142567[[#This Row],[1]:[11]])-COUNTBLANK(Table26142567[[#This Row],[1]:[11]])-1)))</f>
        <v/>
      </c>
    </row>
    <row r="60" spans="1:35" ht="108" x14ac:dyDescent="0.2">
      <c r="A60" s="20">
        <v>48</v>
      </c>
      <c r="B60" s="90" t="s">
        <v>438</v>
      </c>
      <c r="C60" s="119" t="s">
        <v>215</v>
      </c>
      <c r="D60" s="153"/>
      <c r="E60" s="153"/>
      <c r="F60" s="121" t="s">
        <v>188</v>
      </c>
      <c r="G60" s="148" cm="1">
        <f t="array" ref="G60">_xlfn.IFS(F60="","",F60="No interest",0,F60="Nice to have",1,F60="Useful",2,F60="Important",3,F60="Very important",4,F60="Critical",5,F60="Show stopper",6)</f>
        <v>5</v>
      </c>
      <c r="H60" s="149">
        <f t="shared" si="1"/>
        <v>5.6306306306306306E-4</v>
      </c>
      <c r="I60" s="150" t="s">
        <v>321</v>
      </c>
      <c r="J60" s="35" t="str" cm="1">
        <f t="array" ref="J60">_xlfn.TEXTJOIN(","&amp;CHAR(10),,TEXT(Table26142567[[#This Row],[12]:[22]],"0,00%"))</f>
        <v>0,00%,
0,00%,
0,00%,
0,00%,
0,00%</v>
      </c>
      <c r="K60" s="26"/>
      <c r="L60" s="27" t="e">
        <f>H60-(H60*((MATCH(Table26142567[[#This Row],[Evaluators Response (SELECT)]],Table26142567[[#This Row],[1]:[11]],0)-1)/(COUNTA(Table26142567[[#This Row],[1]:[11]])-COUNTBLANK(Table26142567[[#This Row],[1]:[11]])-1)))</f>
        <v>#N/A</v>
      </c>
      <c r="M60" s="28"/>
      <c r="N60" s="29" t="str" cm="1">
        <f t="array" ref="N60">IFERROR(INDEX(_xlfn.UNIQUE(TRIM(_xlfn.TEXTSPLIT(Table26142567[[#This Row],[Selection Options]:[Selection Options]],","))),,N$11),"")</f>
        <v>100%: Supported as delivered "out of the box"</v>
      </c>
      <c r="O60" s="29" t="str" cm="1">
        <f t="array" ref="O60">IFERROR(INDEX(_xlfn.UNIQUE(TRIM(_xlfn.TEXTSPLIT(Table26142567[[#This Row],[Selection Options]:[Selection Options]],","))),,O$11),"")</f>
        <v xml:space="preserve">
75%: Supported via modifications (config)</v>
      </c>
      <c r="P60" s="29" t="str" cm="1">
        <f t="array" ref="P60">IFERROR(INDEX(_xlfn.UNIQUE(TRIM(_xlfn.TEXTSPLIT(Table26142567[[#This Row],[Selection Options]:[Selection Options]],","))),,P$11),"")</f>
        <v xml:space="preserve">
50%: Supported via a third party solution</v>
      </c>
      <c r="Q60" s="29" t="str" cm="1">
        <f t="array" ref="Q60">IFERROR(INDEX(_xlfn.UNIQUE(TRIM(_xlfn.TEXTSPLIT(Table26142567[[#This Row],[Selection Options]:[Selection Options]],","))),,Q$11),"")</f>
        <v xml:space="preserve">
25%: Supported via customisation (source code changes)</v>
      </c>
      <c r="R60" s="29" t="str" cm="1">
        <f t="array" ref="R60">IFERROR(INDEX(_xlfn.UNIQUE(TRIM(_xlfn.TEXTSPLIT(Table26142567[[#This Row],[Selection Options]:[Selection Options]],","))),,R$11),"")</f>
        <v xml:space="preserve">
 0%: Not currently supported</v>
      </c>
      <c r="S60" s="29" t="str" cm="1">
        <f t="array" ref="S60">IFERROR(INDEX(_xlfn.UNIQUE(TRIM(_xlfn.TEXTSPLIT(Table26142567[[#This Row],[Selection Options]:[Selection Options]],","))),,S$11),"")</f>
        <v/>
      </c>
      <c r="T60" s="29" t="str" cm="1">
        <f t="array" ref="T60">IFERROR(INDEX(_xlfn.UNIQUE(TRIM(_xlfn.TEXTSPLIT(Table26142567[[#This Row],[Selection Options]:[Selection Options]],","))),,T$11),"")</f>
        <v/>
      </c>
      <c r="U60" s="29" t="str" cm="1">
        <f t="array" ref="U60">IFERROR(INDEX(_xlfn.UNIQUE(TRIM(_xlfn.TEXTSPLIT(Table26142567[[#This Row],[Selection Options]:[Selection Options]],","))),,U$11),"")</f>
        <v/>
      </c>
      <c r="V60" s="29" t="str" cm="1">
        <f t="array" ref="V60">IFERROR(INDEX(_xlfn.UNIQUE(TRIM(_xlfn.TEXTSPLIT(Table26142567[[#This Row],[Selection Options]:[Selection Options]],","))),,V$11),"")</f>
        <v/>
      </c>
      <c r="W60" s="29" t="str" cm="1">
        <f t="array" ref="W60">IFERROR(INDEX(_xlfn.UNIQUE(TRIM(_xlfn.TEXTSPLIT(Table26142567[[#This Row],[Selection Options]:[Selection Options]],","))),,W$11),"")</f>
        <v/>
      </c>
      <c r="X60" s="29" t="str" cm="1">
        <f t="array" ref="X60">IFERROR(INDEX(_xlfn.UNIQUE(TRIM(_xlfn.TEXTSPLIT(Table26142567[[#This Row],[Selection Options]:[Selection Options]],","))),,X$11),"")</f>
        <v/>
      </c>
      <c r="Y60" s="30" cm="1">
        <f t="array" ref="Y60">IF(Table26142567[[#This Row],[1]]="","",Table26142567[[#This Row],[Weight]:[Weight]]-(Table26142567[[#This Row],[Weight]:[Weight]]*((_xlfn.XMATCH(Table26142567[[#This Row],[1]],Table26142567[[#This Row],[1]:[11]],0))-1)/(COUNTA(Table26142567[[#This Row],[1]:[11]])-COUNTBLANK(Table26142567[[#This Row],[1]:[11]])-1)))</f>
        <v>5.6306306306306306E-4</v>
      </c>
      <c r="Z60" s="30" cm="1">
        <f t="array" ref="Z60">IF(Table26142567[[#This Row],[2]]="","",Table26142567[[#This Row],[Weight]:[Weight]]-(Table26142567[[#This Row],[Weight]:[Weight]]*((_xlfn.XMATCH(Table26142567[[#This Row],[2]],Table26142567[[#This Row],[1]:[11]],0))-1)/(COUNTA(Table26142567[[#This Row],[1]:[11]])-COUNTBLANK(Table26142567[[#This Row],[1]:[11]])-1)))</f>
        <v>4.2229729729729732E-4</v>
      </c>
      <c r="AA60" s="30" cm="1">
        <f t="array" ref="AA60">IF(Table26142567[[#This Row],[3]]="","",Table26142567[[#This Row],[Weight]:[Weight]]-(Table26142567[[#This Row],[Weight]:[Weight]]*((_xlfn.XMATCH(Table26142567[[#This Row],[3]],Table26142567[[#This Row],[1]:[11]],0))-1)/(COUNTA(Table26142567[[#This Row],[1]:[11]])-COUNTBLANK(Table26142567[[#This Row],[1]:[11]])-1)))</f>
        <v>2.8153153153153153E-4</v>
      </c>
      <c r="AB60" s="30" cm="1">
        <f t="array" ref="AB60">IF(Table26142567[[#This Row],[4]]="","",Table26142567[[#This Row],[Weight]:[Weight]]-(Table26142567[[#This Row],[Weight]:[Weight]]*((_xlfn.XMATCH(Table26142567[[#This Row],[4]],Table26142567[[#This Row],[1]:[11]],0))-1)/(COUNTA(Table26142567[[#This Row],[1]:[11]])-COUNTBLANK(Table26142567[[#This Row],[1]:[11]])-1)))</f>
        <v>1.4076576576576574E-4</v>
      </c>
      <c r="AC60" s="30" cm="1">
        <f t="array" ref="AC60">IF(Table26142567[[#This Row],[5]]="","",Table26142567[[#This Row],[Weight]:[Weight]]-(Table26142567[[#This Row],[Weight]:[Weight]]*((_xlfn.XMATCH(Table26142567[[#This Row],[5]],Table26142567[[#This Row],[1]:[11]],0))-1)/(COUNTA(Table26142567[[#This Row],[1]:[11]])-COUNTBLANK(Table26142567[[#This Row],[1]:[11]])-1)))</f>
        <v>0</v>
      </c>
      <c r="AD60" s="30" t="str" cm="1">
        <f t="array" ref="AD60">IF(Table26142567[[#This Row],[6]]="","",Table26142567[[#This Row],[Weight]:[Weight]]-(Table26142567[[#This Row],[Weight]:[Weight]]*((_xlfn.XMATCH(Table26142567[[#This Row],[6]],Table26142567[[#This Row],[1]:[11]],0))-1)/(COUNTA(Table26142567[[#This Row],[1]:[11]])-COUNTBLANK(Table26142567[[#This Row],[1]:[11]])-1)))</f>
        <v/>
      </c>
      <c r="AE60" s="30" t="str" cm="1">
        <f t="array" ref="AE60">IF(Table26142567[[#This Row],[7]]="","",Table26142567[[#This Row],[Weight]:[Weight]]-(Table26142567[[#This Row],[Weight]:[Weight]]*((_xlfn.XMATCH(Table26142567[[#This Row],[7]],Table26142567[[#This Row],[1]:[11]],0))-1)/(COUNTA(Table26142567[[#This Row],[1]:[11]])-COUNTBLANK(Table26142567[[#This Row],[1]:[11]])-1)))</f>
        <v/>
      </c>
      <c r="AF60" s="30" t="str" cm="1">
        <f t="array" ref="AF60">IF(Table26142567[[#This Row],[8]]="","",Table26142567[[#This Row],[Weight]:[Weight]]-(Table26142567[[#This Row],[Weight]:[Weight]]*((_xlfn.XMATCH(Table26142567[[#This Row],[8]],Table26142567[[#This Row],[1]:[11]],0))-1)/(COUNTA(Table26142567[[#This Row],[1]:[11]])-COUNTBLANK(Table26142567[[#This Row],[1]:[11]])-1)))</f>
        <v/>
      </c>
      <c r="AG60" s="30" t="str" cm="1">
        <f t="array" ref="AG60">IF(Table26142567[[#This Row],[9]]="","",Table26142567[[#This Row],[Weight]:[Weight]]-(Table26142567[[#This Row],[Weight]:[Weight]]*((_xlfn.XMATCH(Table26142567[[#This Row],[9]],Table26142567[[#This Row],[1]:[11]],0))-1)/(COUNTA(Table26142567[[#This Row],[1]:[11]])-COUNTBLANK(Table26142567[[#This Row],[1]:[11]])-1)))</f>
        <v/>
      </c>
      <c r="AH60" s="30" t="str" cm="1">
        <f t="array" ref="AH60">IF(Table26142567[[#This Row],[10]]="","",Table26142567[[#This Row],[Weight]:[Weight]]-(Table26142567[[#This Row],[Weight]:[Weight]]*((_xlfn.XMATCH(Table26142567[[#This Row],[10]],Table26142567[[#This Row],[1]:[11]],0))-1)/(COUNTA(Table26142567[[#This Row],[1]:[11]])-COUNTBLANK(Table26142567[[#This Row],[1]:[11]])-1)))</f>
        <v/>
      </c>
      <c r="AI60" s="30" t="str" cm="1">
        <f t="array" ref="AI60">IF(Table26142567[[#This Row],[11]]="","",Table26142567[[#This Row],[Weight]:[Weight]]-(Table26142567[[#This Row],[Weight]:[Weight]]*((_xlfn.XMATCH(Table26142567[[#This Row],[11]],Table26142567[[#This Row],[1]:[11]],0))-1)/(COUNTA(Table26142567[[#This Row],[1]:[11]])-COUNTBLANK(Table26142567[[#This Row],[1]:[11]])-1)))</f>
        <v/>
      </c>
    </row>
    <row r="61" spans="1:35" ht="108" x14ac:dyDescent="0.2">
      <c r="A61" s="20">
        <v>49</v>
      </c>
      <c r="B61" s="90" t="s">
        <v>439</v>
      </c>
      <c r="C61" s="119" t="s">
        <v>215</v>
      </c>
      <c r="D61" s="153"/>
      <c r="E61" s="153"/>
      <c r="F61" s="121" t="s">
        <v>60</v>
      </c>
      <c r="G61" s="148" cm="1">
        <f t="array" ref="G61">_xlfn.IFS(F61="","",F61="No interest",0,F61="Nice to have",1,F61="Useful",2,F61="Important",3,F61="Very important",4,F61="Critical",5,F61="Show stopper",6)</f>
        <v>6</v>
      </c>
      <c r="H61" s="149">
        <f t="shared" si="1"/>
        <v>6.756756756756756E-4</v>
      </c>
      <c r="I61" s="150" t="s">
        <v>321</v>
      </c>
      <c r="J61" s="35" t="str" cm="1">
        <f t="array" ref="J61">_xlfn.TEXTJOIN(","&amp;CHAR(10),,TEXT(Table26142567[[#This Row],[12]:[22]],"0,00%"))</f>
        <v>0,00%,
0,00%,
0,00%,
0,00%,
0,00%</v>
      </c>
      <c r="K61" s="26"/>
      <c r="L61" s="27" t="e">
        <f>H61-(H61*((MATCH(Table26142567[[#This Row],[Evaluators Response (SELECT)]],Table26142567[[#This Row],[1]:[11]],0)-1)/(COUNTA(Table26142567[[#This Row],[1]:[11]])-COUNTBLANK(Table26142567[[#This Row],[1]:[11]])-1)))</f>
        <v>#N/A</v>
      </c>
      <c r="M61" s="28"/>
      <c r="N61" s="29" t="str" cm="1">
        <f t="array" ref="N61">IFERROR(INDEX(_xlfn.UNIQUE(TRIM(_xlfn.TEXTSPLIT(Table26142567[[#This Row],[Selection Options]:[Selection Options]],","))),,N$11),"")</f>
        <v>100%: Supported as delivered "out of the box"</v>
      </c>
      <c r="O61" s="29" t="str" cm="1">
        <f t="array" ref="O61">IFERROR(INDEX(_xlfn.UNIQUE(TRIM(_xlfn.TEXTSPLIT(Table26142567[[#This Row],[Selection Options]:[Selection Options]],","))),,O$11),"")</f>
        <v xml:space="preserve">
75%: Supported via modifications (config)</v>
      </c>
      <c r="P61" s="29" t="str" cm="1">
        <f t="array" ref="P61">IFERROR(INDEX(_xlfn.UNIQUE(TRIM(_xlfn.TEXTSPLIT(Table26142567[[#This Row],[Selection Options]:[Selection Options]],","))),,P$11),"")</f>
        <v xml:space="preserve">
50%: Supported via a third party solution</v>
      </c>
      <c r="Q61" s="29" t="str" cm="1">
        <f t="array" ref="Q61">IFERROR(INDEX(_xlfn.UNIQUE(TRIM(_xlfn.TEXTSPLIT(Table26142567[[#This Row],[Selection Options]:[Selection Options]],","))),,Q$11),"")</f>
        <v xml:space="preserve">
25%: Supported via customisation (source code changes)</v>
      </c>
      <c r="R61" s="29" t="str" cm="1">
        <f t="array" ref="R61">IFERROR(INDEX(_xlfn.UNIQUE(TRIM(_xlfn.TEXTSPLIT(Table26142567[[#This Row],[Selection Options]:[Selection Options]],","))),,R$11),"")</f>
        <v xml:space="preserve">
 0%: Not currently supported</v>
      </c>
      <c r="S61" s="29" t="str" cm="1">
        <f t="array" ref="S61">IFERROR(INDEX(_xlfn.UNIQUE(TRIM(_xlfn.TEXTSPLIT(Table26142567[[#This Row],[Selection Options]:[Selection Options]],","))),,S$11),"")</f>
        <v/>
      </c>
      <c r="T61" s="29" t="str" cm="1">
        <f t="array" ref="T61">IFERROR(INDEX(_xlfn.UNIQUE(TRIM(_xlfn.TEXTSPLIT(Table26142567[[#This Row],[Selection Options]:[Selection Options]],","))),,T$11),"")</f>
        <v/>
      </c>
      <c r="U61" s="29" t="str" cm="1">
        <f t="array" ref="U61">IFERROR(INDEX(_xlfn.UNIQUE(TRIM(_xlfn.TEXTSPLIT(Table26142567[[#This Row],[Selection Options]:[Selection Options]],","))),,U$11),"")</f>
        <v/>
      </c>
      <c r="V61" s="29" t="str" cm="1">
        <f t="array" ref="V61">IFERROR(INDEX(_xlfn.UNIQUE(TRIM(_xlfn.TEXTSPLIT(Table26142567[[#This Row],[Selection Options]:[Selection Options]],","))),,V$11),"")</f>
        <v/>
      </c>
      <c r="W61" s="29" t="str" cm="1">
        <f t="array" ref="W61">IFERROR(INDEX(_xlfn.UNIQUE(TRIM(_xlfn.TEXTSPLIT(Table26142567[[#This Row],[Selection Options]:[Selection Options]],","))),,W$11),"")</f>
        <v/>
      </c>
      <c r="X61" s="29" t="str" cm="1">
        <f t="array" ref="X61">IFERROR(INDEX(_xlfn.UNIQUE(TRIM(_xlfn.TEXTSPLIT(Table26142567[[#This Row],[Selection Options]:[Selection Options]],","))),,X$11),"")</f>
        <v/>
      </c>
      <c r="Y61" s="30" cm="1">
        <f t="array" ref="Y61">IF(Table26142567[[#This Row],[1]]="","",Table26142567[[#This Row],[Weight]:[Weight]]-(Table26142567[[#This Row],[Weight]:[Weight]]*((_xlfn.XMATCH(Table26142567[[#This Row],[1]],Table26142567[[#This Row],[1]:[11]],0))-1)/(COUNTA(Table26142567[[#This Row],[1]:[11]])-COUNTBLANK(Table26142567[[#This Row],[1]:[11]])-1)))</f>
        <v>6.756756756756756E-4</v>
      </c>
      <c r="Z61" s="30" cm="1">
        <f t="array" ref="Z61">IF(Table26142567[[#This Row],[2]]="","",Table26142567[[#This Row],[Weight]:[Weight]]-(Table26142567[[#This Row],[Weight]:[Weight]]*((_xlfn.XMATCH(Table26142567[[#This Row],[2]],Table26142567[[#This Row],[1]:[11]],0))-1)/(COUNTA(Table26142567[[#This Row],[1]:[11]])-COUNTBLANK(Table26142567[[#This Row],[1]:[11]])-1)))</f>
        <v>5.0675675675675668E-4</v>
      </c>
      <c r="AA61" s="30" cm="1">
        <f t="array" ref="AA61">IF(Table26142567[[#This Row],[3]]="","",Table26142567[[#This Row],[Weight]:[Weight]]-(Table26142567[[#This Row],[Weight]:[Weight]]*((_xlfn.XMATCH(Table26142567[[#This Row],[3]],Table26142567[[#This Row],[1]:[11]],0))-1)/(COUNTA(Table26142567[[#This Row],[1]:[11]])-COUNTBLANK(Table26142567[[#This Row],[1]:[11]])-1)))</f>
        <v>3.378378378378378E-4</v>
      </c>
      <c r="AB61" s="30" cm="1">
        <f t="array" ref="AB61">IF(Table26142567[[#This Row],[4]]="","",Table26142567[[#This Row],[Weight]:[Weight]]-(Table26142567[[#This Row],[Weight]:[Weight]]*((_xlfn.XMATCH(Table26142567[[#This Row],[4]],Table26142567[[#This Row],[1]:[11]],0))-1)/(COUNTA(Table26142567[[#This Row],[1]:[11]])-COUNTBLANK(Table26142567[[#This Row],[1]:[11]])-1)))</f>
        <v>1.6891891891891893E-4</v>
      </c>
      <c r="AC61" s="30" cm="1">
        <f t="array" ref="AC61">IF(Table26142567[[#This Row],[5]]="","",Table26142567[[#This Row],[Weight]:[Weight]]-(Table26142567[[#This Row],[Weight]:[Weight]]*((_xlfn.XMATCH(Table26142567[[#This Row],[5]],Table26142567[[#This Row],[1]:[11]],0))-1)/(COUNTA(Table26142567[[#This Row],[1]:[11]])-COUNTBLANK(Table26142567[[#This Row],[1]:[11]])-1)))</f>
        <v>0</v>
      </c>
      <c r="AD61" s="30" t="str" cm="1">
        <f t="array" ref="AD61">IF(Table26142567[[#This Row],[6]]="","",Table26142567[[#This Row],[Weight]:[Weight]]-(Table26142567[[#This Row],[Weight]:[Weight]]*((_xlfn.XMATCH(Table26142567[[#This Row],[6]],Table26142567[[#This Row],[1]:[11]],0))-1)/(COUNTA(Table26142567[[#This Row],[1]:[11]])-COUNTBLANK(Table26142567[[#This Row],[1]:[11]])-1)))</f>
        <v/>
      </c>
      <c r="AE61" s="30" t="str" cm="1">
        <f t="array" ref="AE61">IF(Table26142567[[#This Row],[7]]="","",Table26142567[[#This Row],[Weight]:[Weight]]-(Table26142567[[#This Row],[Weight]:[Weight]]*((_xlfn.XMATCH(Table26142567[[#This Row],[7]],Table26142567[[#This Row],[1]:[11]],0))-1)/(COUNTA(Table26142567[[#This Row],[1]:[11]])-COUNTBLANK(Table26142567[[#This Row],[1]:[11]])-1)))</f>
        <v/>
      </c>
      <c r="AF61" s="30" t="str" cm="1">
        <f t="array" ref="AF61">IF(Table26142567[[#This Row],[8]]="","",Table26142567[[#This Row],[Weight]:[Weight]]-(Table26142567[[#This Row],[Weight]:[Weight]]*((_xlfn.XMATCH(Table26142567[[#This Row],[8]],Table26142567[[#This Row],[1]:[11]],0))-1)/(COUNTA(Table26142567[[#This Row],[1]:[11]])-COUNTBLANK(Table26142567[[#This Row],[1]:[11]])-1)))</f>
        <v/>
      </c>
      <c r="AG61" s="30" t="str" cm="1">
        <f t="array" ref="AG61">IF(Table26142567[[#This Row],[9]]="","",Table26142567[[#This Row],[Weight]:[Weight]]-(Table26142567[[#This Row],[Weight]:[Weight]]*((_xlfn.XMATCH(Table26142567[[#This Row],[9]],Table26142567[[#This Row],[1]:[11]],0))-1)/(COUNTA(Table26142567[[#This Row],[1]:[11]])-COUNTBLANK(Table26142567[[#This Row],[1]:[11]])-1)))</f>
        <v/>
      </c>
      <c r="AH61" s="30" t="str" cm="1">
        <f t="array" ref="AH61">IF(Table26142567[[#This Row],[10]]="","",Table26142567[[#This Row],[Weight]:[Weight]]-(Table26142567[[#This Row],[Weight]:[Weight]]*((_xlfn.XMATCH(Table26142567[[#This Row],[10]],Table26142567[[#This Row],[1]:[11]],0))-1)/(COUNTA(Table26142567[[#This Row],[1]:[11]])-COUNTBLANK(Table26142567[[#This Row],[1]:[11]])-1)))</f>
        <v/>
      </c>
      <c r="AI61" s="30" t="str" cm="1">
        <f t="array" ref="AI61">IF(Table26142567[[#This Row],[11]]="","",Table26142567[[#This Row],[Weight]:[Weight]]-(Table26142567[[#This Row],[Weight]:[Weight]]*((_xlfn.XMATCH(Table26142567[[#This Row],[11]],Table26142567[[#This Row],[1]:[11]],0))-1)/(COUNTA(Table26142567[[#This Row],[1]:[11]])-COUNTBLANK(Table26142567[[#This Row],[1]:[11]])-1)))</f>
        <v/>
      </c>
    </row>
    <row r="62" spans="1:35" ht="108" x14ac:dyDescent="0.2">
      <c r="A62" s="20">
        <v>50</v>
      </c>
      <c r="B62" s="90" t="s">
        <v>440</v>
      </c>
      <c r="C62" s="119" t="s">
        <v>215</v>
      </c>
      <c r="D62" s="153"/>
      <c r="E62" s="153"/>
      <c r="F62" s="121" t="s">
        <v>60</v>
      </c>
      <c r="G62" s="148" cm="1">
        <f t="array" ref="G62">_xlfn.IFS(F62="","",F62="No interest",0,F62="Nice to have",1,F62="Useful",2,F62="Important",3,F62="Very important",4,F62="Critical",5,F62="Show stopper",6)</f>
        <v>6</v>
      </c>
      <c r="H62" s="149">
        <f t="shared" si="1"/>
        <v>6.756756756756756E-4</v>
      </c>
      <c r="I62" s="150" t="s">
        <v>321</v>
      </c>
      <c r="J62" s="35" t="str" cm="1">
        <f t="array" ref="J62">_xlfn.TEXTJOIN(","&amp;CHAR(10),,TEXT(Table26142567[[#This Row],[12]:[22]],"0,00%"))</f>
        <v>0,00%,
0,00%,
0,00%,
0,00%,
0,00%</v>
      </c>
      <c r="K62" s="26"/>
      <c r="L62" s="27" t="e">
        <f>H62-(H62*((MATCH(Table26142567[[#This Row],[Evaluators Response (SELECT)]],Table26142567[[#This Row],[1]:[11]],0)-1)/(COUNTA(Table26142567[[#This Row],[1]:[11]])-COUNTBLANK(Table26142567[[#This Row],[1]:[11]])-1)))</f>
        <v>#N/A</v>
      </c>
      <c r="M62" s="28"/>
      <c r="N62" s="29" t="str" cm="1">
        <f t="array" ref="N62">IFERROR(INDEX(_xlfn.UNIQUE(TRIM(_xlfn.TEXTSPLIT(Table26142567[[#This Row],[Selection Options]:[Selection Options]],","))),,N$11),"")</f>
        <v>100%: Supported as delivered "out of the box"</v>
      </c>
      <c r="O62" s="29" t="str" cm="1">
        <f t="array" ref="O62">IFERROR(INDEX(_xlfn.UNIQUE(TRIM(_xlfn.TEXTSPLIT(Table26142567[[#This Row],[Selection Options]:[Selection Options]],","))),,O$11),"")</f>
        <v xml:space="preserve">
75%: Supported via modifications (config)</v>
      </c>
      <c r="P62" s="29" t="str" cm="1">
        <f t="array" ref="P62">IFERROR(INDEX(_xlfn.UNIQUE(TRIM(_xlfn.TEXTSPLIT(Table26142567[[#This Row],[Selection Options]:[Selection Options]],","))),,P$11),"")</f>
        <v xml:space="preserve">
50%: Supported via a third party solution</v>
      </c>
      <c r="Q62" s="29" t="str" cm="1">
        <f t="array" ref="Q62">IFERROR(INDEX(_xlfn.UNIQUE(TRIM(_xlfn.TEXTSPLIT(Table26142567[[#This Row],[Selection Options]:[Selection Options]],","))),,Q$11),"")</f>
        <v xml:space="preserve">
25%: Supported via customisation (source code changes)</v>
      </c>
      <c r="R62" s="29" t="str" cm="1">
        <f t="array" ref="R62">IFERROR(INDEX(_xlfn.UNIQUE(TRIM(_xlfn.TEXTSPLIT(Table26142567[[#This Row],[Selection Options]:[Selection Options]],","))),,R$11),"")</f>
        <v xml:space="preserve">
 0%: Not currently supported</v>
      </c>
      <c r="S62" s="29" t="str" cm="1">
        <f t="array" ref="S62">IFERROR(INDEX(_xlfn.UNIQUE(TRIM(_xlfn.TEXTSPLIT(Table26142567[[#This Row],[Selection Options]:[Selection Options]],","))),,S$11),"")</f>
        <v/>
      </c>
      <c r="T62" s="29" t="str" cm="1">
        <f t="array" ref="T62">IFERROR(INDEX(_xlfn.UNIQUE(TRIM(_xlfn.TEXTSPLIT(Table26142567[[#This Row],[Selection Options]:[Selection Options]],","))),,T$11),"")</f>
        <v/>
      </c>
      <c r="U62" s="29" t="str" cm="1">
        <f t="array" ref="U62">IFERROR(INDEX(_xlfn.UNIQUE(TRIM(_xlfn.TEXTSPLIT(Table26142567[[#This Row],[Selection Options]:[Selection Options]],","))),,U$11),"")</f>
        <v/>
      </c>
      <c r="V62" s="29" t="str" cm="1">
        <f t="array" ref="V62">IFERROR(INDEX(_xlfn.UNIQUE(TRIM(_xlfn.TEXTSPLIT(Table26142567[[#This Row],[Selection Options]:[Selection Options]],","))),,V$11),"")</f>
        <v/>
      </c>
      <c r="W62" s="29" t="str" cm="1">
        <f t="array" ref="W62">IFERROR(INDEX(_xlfn.UNIQUE(TRIM(_xlfn.TEXTSPLIT(Table26142567[[#This Row],[Selection Options]:[Selection Options]],","))),,W$11),"")</f>
        <v/>
      </c>
      <c r="X62" s="29" t="str" cm="1">
        <f t="array" ref="X62">IFERROR(INDEX(_xlfn.UNIQUE(TRIM(_xlfn.TEXTSPLIT(Table26142567[[#This Row],[Selection Options]:[Selection Options]],","))),,X$11),"")</f>
        <v/>
      </c>
      <c r="Y62" s="30" cm="1">
        <f t="array" ref="Y62">IF(Table26142567[[#This Row],[1]]="","",Table26142567[[#This Row],[Weight]:[Weight]]-(Table26142567[[#This Row],[Weight]:[Weight]]*((_xlfn.XMATCH(Table26142567[[#This Row],[1]],Table26142567[[#This Row],[1]:[11]],0))-1)/(COUNTA(Table26142567[[#This Row],[1]:[11]])-COUNTBLANK(Table26142567[[#This Row],[1]:[11]])-1)))</f>
        <v>6.756756756756756E-4</v>
      </c>
      <c r="Z62" s="30" cm="1">
        <f t="array" ref="Z62">IF(Table26142567[[#This Row],[2]]="","",Table26142567[[#This Row],[Weight]:[Weight]]-(Table26142567[[#This Row],[Weight]:[Weight]]*((_xlfn.XMATCH(Table26142567[[#This Row],[2]],Table26142567[[#This Row],[1]:[11]],0))-1)/(COUNTA(Table26142567[[#This Row],[1]:[11]])-COUNTBLANK(Table26142567[[#This Row],[1]:[11]])-1)))</f>
        <v>5.0675675675675668E-4</v>
      </c>
      <c r="AA62" s="30" cm="1">
        <f t="array" ref="AA62">IF(Table26142567[[#This Row],[3]]="","",Table26142567[[#This Row],[Weight]:[Weight]]-(Table26142567[[#This Row],[Weight]:[Weight]]*((_xlfn.XMATCH(Table26142567[[#This Row],[3]],Table26142567[[#This Row],[1]:[11]],0))-1)/(COUNTA(Table26142567[[#This Row],[1]:[11]])-COUNTBLANK(Table26142567[[#This Row],[1]:[11]])-1)))</f>
        <v>3.378378378378378E-4</v>
      </c>
      <c r="AB62" s="30" cm="1">
        <f t="array" ref="AB62">IF(Table26142567[[#This Row],[4]]="","",Table26142567[[#This Row],[Weight]:[Weight]]-(Table26142567[[#This Row],[Weight]:[Weight]]*((_xlfn.XMATCH(Table26142567[[#This Row],[4]],Table26142567[[#This Row],[1]:[11]],0))-1)/(COUNTA(Table26142567[[#This Row],[1]:[11]])-COUNTBLANK(Table26142567[[#This Row],[1]:[11]])-1)))</f>
        <v>1.6891891891891893E-4</v>
      </c>
      <c r="AC62" s="30" cm="1">
        <f t="array" ref="AC62">IF(Table26142567[[#This Row],[5]]="","",Table26142567[[#This Row],[Weight]:[Weight]]-(Table26142567[[#This Row],[Weight]:[Weight]]*((_xlfn.XMATCH(Table26142567[[#This Row],[5]],Table26142567[[#This Row],[1]:[11]],0))-1)/(COUNTA(Table26142567[[#This Row],[1]:[11]])-COUNTBLANK(Table26142567[[#This Row],[1]:[11]])-1)))</f>
        <v>0</v>
      </c>
      <c r="AD62" s="30" t="str" cm="1">
        <f t="array" ref="AD62">IF(Table26142567[[#This Row],[6]]="","",Table26142567[[#This Row],[Weight]:[Weight]]-(Table26142567[[#This Row],[Weight]:[Weight]]*((_xlfn.XMATCH(Table26142567[[#This Row],[6]],Table26142567[[#This Row],[1]:[11]],0))-1)/(COUNTA(Table26142567[[#This Row],[1]:[11]])-COUNTBLANK(Table26142567[[#This Row],[1]:[11]])-1)))</f>
        <v/>
      </c>
      <c r="AE62" s="30" t="str" cm="1">
        <f t="array" ref="AE62">IF(Table26142567[[#This Row],[7]]="","",Table26142567[[#This Row],[Weight]:[Weight]]-(Table26142567[[#This Row],[Weight]:[Weight]]*((_xlfn.XMATCH(Table26142567[[#This Row],[7]],Table26142567[[#This Row],[1]:[11]],0))-1)/(COUNTA(Table26142567[[#This Row],[1]:[11]])-COUNTBLANK(Table26142567[[#This Row],[1]:[11]])-1)))</f>
        <v/>
      </c>
      <c r="AF62" s="30" t="str" cm="1">
        <f t="array" ref="AF62">IF(Table26142567[[#This Row],[8]]="","",Table26142567[[#This Row],[Weight]:[Weight]]-(Table26142567[[#This Row],[Weight]:[Weight]]*((_xlfn.XMATCH(Table26142567[[#This Row],[8]],Table26142567[[#This Row],[1]:[11]],0))-1)/(COUNTA(Table26142567[[#This Row],[1]:[11]])-COUNTBLANK(Table26142567[[#This Row],[1]:[11]])-1)))</f>
        <v/>
      </c>
      <c r="AG62" s="30" t="str" cm="1">
        <f t="array" ref="AG62">IF(Table26142567[[#This Row],[9]]="","",Table26142567[[#This Row],[Weight]:[Weight]]-(Table26142567[[#This Row],[Weight]:[Weight]]*((_xlfn.XMATCH(Table26142567[[#This Row],[9]],Table26142567[[#This Row],[1]:[11]],0))-1)/(COUNTA(Table26142567[[#This Row],[1]:[11]])-COUNTBLANK(Table26142567[[#This Row],[1]:[11]])-1)))</f>
        <v/>
      </c>
      <c r="AH62" s="30" t="str" cm="1">
        <f t="array" ref="AH62">IF(Table26142567[[#This Row],[10]]="","",Table26142567[[#This Row],[Weight]:[Weight]]-(Table26142567[[#This Row],[Weight]:[Weight]]*((_xlfn.XMATCH(Table26142567[[#This Row],[10]],Table26142567[[#This Row],[1]:[11]],0))-1)/(COUNTA(Table26142567[[#This Row],[1]:[11]])-COUNTBLANK(Table26142567[[#This Row],[1]:[11]])-1)))</f>
        <v/>
      </c>
      <c r="AI62" s="30" t="str" cm="1">
        <f t="array" ref="AI62">IF(Table26142567[[#This Row],[11]]="","",Table26142567[[#This Row],[Weight]:[Weight]]-(Table26142567[[#This Row],[Weight]:[Weight]]*((_xlfn.XMATCH(Table26142567[[#This Row],[11]],Table26142567[[#This Row],[1]:[11]],0))-1)/(COUNTA(Table26142567[[#This Row],[1]:[11]])-COUNTBLANK(Table26142567[[#This Row],[1]:[11]])-1)))</f>
        <v/>
      </c>
    </row>
    <row r="63" spans="1:35" ht="108" x14ac:dyDescent="0.2">
      <c r="A63" s="20">
        <v>51</v>
      </c>
      <c r="B63" s="90" t="s">
        <v>441</v>
      </c>
      <c r="C63" s="119" t="s">
        <v>215</v>
      </c>
      <c r="D63" s="153"/>
      <c r="E63" s="153"/>
      <c r="F63" s="121" t="s">
        <v>60</v>
      </c>
      <c r="G63" s="148" cm="1">
        <f t="array" ref="G63">_xlfn.IFS(F63="","",F63="No interest",0,F63="Nice to have",1,F63="Useful",2,F63="Important",3,F63="Very important",4,F63="Critical",5,F63="Show stopper",6)</f>
        <v>6</v>
      </c>
      <c r="H63" s="149">
        <f t="shared" si="1"/>
        <v>6.756756756756756E-4</v>
      </c>
      <c r="I63" s="150" t="s">
        <v>321</v>
      </c>
      <c r="J63" s="35" t="str" cm="1">
        <f t="array" ref="J63">_xlfn.TEXTJOIN(","&amp;CHAR(10),,TEXT(Table26142567[[#This Row],[12]:[22]],"0,00%"))</f>
        <v>0,00%,
0,00%,
0,00%,
0,00%,
0,00%</v>
      </c>
      <c r="K63" s="26"/>
      <c r="L63" s="27" t="e">
        <f>H63-(H63*((MATCH(Table26142567[[#This Row],[Evaluators Response (SELECT)]],Table26142567[[#This Row],[1]:[11]],0)-1)/(COUNTA(Table26142567[[#This Row],[1]:[11]])-COUNTBLANK(Table26142567[[#This Row],[1]:[11]])-1)))</f>
        <v>#N/A</v>
      </c>
      <c r="M63" s="28"/>
      <c r="N63" s="29" t="str" cm="1">
        <f t="array" ref="N63">IFERROR(INDEX(_xlfn.UNIQUE(TRIM(_xlfn.TEXTSPLIT(Table26142567[[#This Row],[Selection Options]:[Selection Options]],","))),,N$11),"")</f>
        <v>100%: Supported as delivered "out of the box"</v>
      </c>
      <c r="O63" s="29" t="str" cm="1">
        <f t="array" ref="O63">IFERROR(INDEX(_xlfn.UNIQUE(TRIM(_xlfn.TEXTSPLIT(Table26142567[[#This Row],[Selection Options]:[Selection Options]],","))),,O$11),"")</f>
        <v xml:space="preserve">
75%: Supported via modifications (config)</v>
      </c>
      <c r="P63" s="29" t="str" cm="1">
        <f t="array" ref="P63">IFERROR(INDEX(_xlfn.UNIQUE(TRIM(_xlfn.TEXTSPLIT(Table26142567[[#This Row],[Selection Options]:[Selection Options]],","))),,P$11),"")</f>
        <v xml:space="preserve">
50%: Supported via a third party solution</v>
      </c>
      <c r="Q63" s="29" t="str" cm="1">
        <f t="array" ref="Q63">IFERROR(INDEX(_xlfn.UNIQUE(TRIM(_xlfn.TEXTSPLIT(Table26142567[[#This Row],[Selection Options]:[Selection Options]],","))),,Q$11),"")</f>
        <v xml:space="preserve">
25%: Supported via customisation (source code changes)</v>
      </c>
      <c r="R63" s="29" t="str" cm="1">
        <f t="array" ref="R63">IFERROR(INDEX(_xlfn.UNIQUE(TRIM(_xlfn.TEXTSPLIT(Table26142567[[#This Row],[Selection Options]:[Selection Options]],","))),,R$11),"")</f>
        <v xml:space="preserve">
 0%: Not currently supported</v>
      </c>
      <c r="S63" s="29" t="str" cm="1">
        <f t="array" ref="S63">IFERROR(INDEX(_xlfn.UNIQUE(TRIM(_xlfn.TEXTSPLIT(Table26142567[[#This Row],[Selection Options]:[Selection Options]],","))),,S$11),"")</f>
        <v/>
      </c>
      <c r="T63" s="29" t="str" cm="1">
        <f t="array" ref="T63">IFERROR(INDEX(_xlfn.UNIQUE(TRIM(_xlfn.TEXTSPLIT(Table26142567[[#This Row],[Selection Options]:[Selection Options]],","))),,T$11),"")</f>
        <v/>
      </c>
      <c r="U63" s="29" t="str" cm="1">
        <f t="array" ref="U63">IFERROR(INDEX(_xlfn.UNIQUE(TRIM(_xlfn.TEXTSPLIT(Table26142567[[#This Row],[Selection Options]:[Selection Options]],","))),,U$11),"")</f>
        <v/>
      </c>
      <c r="V63" s="29" t="str" cm="1">
        <f t="array" ref="V63">IFERROR(INDEX(_xlfn.UNIQUE(TRIM(_xlfn.TEXTSPLIT(Table26142567[[#This Row],[Selection Options]:[Selection Options]],","))),,V$11),"")</f>
        <v/>
      </c>
      <c r="W63" s="29" t="str" cm="1">
        <f t="array" ref="W63">IFERROR(INDEX(_xlfn.UNIQUE(TRIM(_xlfn.TEXTSPLIT(Table26142567[[#This Row],[Selection Options]:[Selection Options]],","))),,W$11),"")</f>
        <v/>
      </c>
      <c r="X63" s="29" t="str" cm="1">
        <f t="array" ref="X63">IFERROR(INDEX(_xlfn.UNIQUE(TRIM(_xlfn.TEXTSPLIT(Table26142567[[#This Row],[Selection Options]:[Selection Options]],","))),,X$11),"")</f>
        <v/>
      </c>
      <c r="Y63" s="30" cm="1">
        <f t="array" ref="Y63">IF(Table26142567[[#This Row],[1]]="","",Table26142567[[#This Row],[Weight]:[Weight]]-(Table26142567[[#This Row],[Weight]:[Weight]]*((_xlfn.XMATCH(Table26142567[[#This Row],[1]],Table26142567[[#This Row],[1]:[11]],0))-1)/(COUNTA(Table26142567[[#This Row],[1]:[11]])-COUNTBLANK(Table26142567[[#This Row],[1]:[11]])-1)))</f>
        <v>6.756756756756756E-4</v>
      </c>
      <c r="Z63" s="30" cm="1">
        <f t="array" ref="Z63">IF(Table26142567[[#This Row],[2]]="","",Table26142567[[#This Row],[Weight]:[Weight]]-(Table26142567[[#This Row],[Weight]:[Weight]]*((_xlfn.XMATCH(Table26142567[[#This Row],[2]],Table26142567[[#This Row],[1]:[11]],0))-1)/(COUNTA(Table26142567[[#This Row],[1]:[11]])-COUNTBLANK(Table26142567[[#This Row],[1]:[11]])-1)))</f>
        <v>5.0675675675675668E-4</v>
      </c>
      <c r="AA63" s="30" cm="1">
        <f t="array" ref="AA63">IF(Table26142567[[#This Row],[3]]="","",Table26142567[[#This Row],[Weight]:[Weight]]-(Table26142567[[#This Row],[Weight]:[Weight]]*((_xlfn.XMATCH(Table26142567[[#This Row],[3]],Table26142567[[#This Row],[1]:[11]],0))-1)/(COUNTA(Table26142567[[#This Row],[1]:[11]])-COUNTBLANK(Table26142567[[#This Row],[1]:[11]])-1)))</f>
        <v>3.378378378378378E-4</v>
      </c>
      <c r="AB63" s="30" cm="1">
        <f t="array" ref="AB63">IF(Table26142567[[#This Row],[4]]="","",Table26142567[[#This Row],[Weight]:[Weight]]-(Table26142567[[#This Row],[Weight]:[Weight]]*((_xlfn.XMATCH(Table26142567[[#This Row],[4]],Table26142567[[#This Row],[1]:[11]],0))-1)/(COUNTA(Table26142567[[#This Row],[1]:[11]])-COUNTBLANK(Table26142567[[#This Row],[1]:[11]])-1)))</f>
        <v>1.6891891891891893E-4</v>
      </c>
      <c r="AC63" s="30" cm="1">
        <f t="array" ref="AC63">IF(Table26142567[[#This Row],[5]]="","",Table26142567[[#This Row],[Weight]:[Weight]]-(Table26142567[[#This Row],[Weight]:[Weight]]*((_xlfn.XMATCH(Table26142567[[#This Row],[5]],Table26142567[[#This Row],[1]:[11]],0))-1)/(COUNTA(Table26142567[[#This Row],[1]:[11]])-COUNTBLANK(Table26142567[[#This Row],[1]:[11]])-1)))</f>
        <v>0</v>
      </c>
      <c r="AD63" s="30" t="str" cm="1">
        <f t="array" ref="AD63">IF(Table26142567[[#This Row],[6]]="","",Table26142567[[#This Row],[Weight]:[Weight]]-(Table26142567[[#This Row],[Weight]:[Weight]]*((_xlfn.XMATCH(Table26142567[[#This Row],[6]],Table26142567[[#This Row],[1]:[11]],0))-1)/(COUNTA(Table26142567[[#This Row],[1]:[11]])-COUNTBLANK(Table26142567[[#This Row],[1]:[11]])-1)))</f>
        <v/>
      </c>
      <c r="AE63" s="30" t="str" cm="1">
        <f t="array" ref="AE63">IF(Table26142567[[#This Row],[7]]="","",Table26142567[[#This Row],[Weight]:[Weight]]-(Table26142567[[#This Row],[Weight]:[Weight]]*((_xlfn.XMATCH(Table26142567[[#This Row],[7]],Table26142567[[#This Row],[1]:[11]],0))-1)/(COUNTA(Table26142567[[#This Row],[1]:[11]])-COUNTBLANK(Table26142567[[#This Row],[1]:[11]])-1)))</f>
        <v/>
      </c>
      <c r="AF63" s="30" t="str" cm="1">
        <f t="array" ref="AF63">IF(Table26142567[[#This Row],[8]]="","",Table26142567[[#This Row],[Weight]:[Weight]]-(Table26142567[[#This Row],[Weight]:[Weight]]*((_xlfn.XMATCH(Table26142567[[#This Row],[8]],Table26142567[[#This Row],[1]:[11]],0))-1)/(COUNTA(Table26142567[[#This Row],[1]:[11]])-COUNTBLANK(Table26142567[[#This Row],[1]:[11]])-1)))</f>
        <v/>
      </c>
      <c r="AG63" s="30" t="str" cm="1">
        <f t="array" ref="AG63">IF(Table26142567[[#This Row],[9]]="","",Table26142567[[#This Row],[Weight]:[Weight]]-(Table26142567[[#This Row],[Weight]:[Weight]]*((_xlfn.XMATCH(Table26142567[[#This Row],[9]],Table26142567[[#This Row],[1]:[11]],0))-1)/(COUNTA(Table26142567[[#This Row],[1]:[11]])-COUNTBLANK(Table26142567[[#This Row],[1]:[11]])-1)))</f>
        <v/>
      </c>
      <c r="AH63" s="30" t="str" cm="1">
        <f t="array" ref="AH63">IF(Table26142567[[#This Row],[10]]="","",Table26142567[[#This Row],[Weight]:[Weight]]-(Table26142567[[#This Row],[Weight]:[Weight]]*((_xlfn.XMATCH(Table26142567[[#This Row],[10]],Table26142567[[#This Row],[1]:[11]],0))-1)/(COUNTA(Table26142567[[#This Row],[1]:[11]])-COUNTBLANK(Table26142567[[#This Row],[1]:[11]])-1)))</f>
        <v/>
      </c>
      <c r="AI63" s="30" t="str" cm="1">
        <f t="array" ref="AI63">IF(Table26142567[[#This Row],[11]]="","",Table26142567[[#This Row],[Weight]:[Weight]]-(Table26142567[[#This Row],[Weight]:[Weight]]*((_xlfn.XMATCH(Table26142567[[#This Row],[11]],Table26142567[[#This Row],[1]:[11]],0))-1)/(COUNTA(Table26142567[[#This Row],[1]:[11]])-COUNTBLANK(Table26142567[[#This Row],[1]:[11]])-1)))</f>
        <v/>
      </c>
    </row>
    <row r="64" spans="1:35" ht="108" x14ac:dyDescent="0.2">
      <c r="A64" s="20">
        <v>52</v>
      </c>
      <c r="B64" s="90" t="s">
        <v>442</v>
      </c>
      <c r="C64" s="119" t="s">
        <v>215</v>
      </c>
      <c r="D64" s="153"/>
      <c r="E64" s="153"/>
      <c r="F64" s="121" t="s">
        <v>188</v>
      </c>
      <c r="G64" s="148" cm="1">
        <f t="array" ref="G64">_xlfn.IFS(F64="","",F64="No interest",0,F64="Nice to have",1,F64="Useful",2,F64="Important",3,F64="Very important",4,F64="Critical",5,F64="Show stopper",6)</f>
        <v>5</v>
      </c>
      <c r="H64" s="149">
        <f t="shared" si="1"/>
        <v>5.6306306306306306E-4</v>
      </c>
      <c r="I64" s="150" t="s">
        <v>321</v>
      </c>
      <c r="J64" s="35" t="str" cm="1">
        <f t="array" ref="J64">_xlfn.TEXTJOIN(","&amp;CHAR(10),,TEXT(Table26142567[[#This Row],[12]:[22]],"0,00%"))</f>
        <v>0,00%,
0,00%,
0,00%,
0,00%,
0,00%</v>
      </c>
      <c r="K64" s="26"/>
      <c r="L64" s="27" t="e">
        <f>H64-(H64*((MATCH(Table26142567[[#This Row],[Evaluators Response (SELECT)]],Table26142567[[#This Row],[1]:[11]],0)-1)/(COUNTA(Table26142567[[#This Row],[1]:[11]])-COUNTBLANK(Table26142567[[#This Row],[1]:[11]])-1)))</f>
        <v>#N/A</v>
      </c>
      <c r="M64" s="28"/>
      <c r="N64" s="29" t="str" cm="1">
        <f t="array" ref="N64">IFERROR(INDEX(_xlfn.UNIQUE(TRIM(_xlfn.TEXTSPLIT(Table26142567[[#This Row],[Selection Options]:[Selection Options]],","))),,N$11),"")</f>
        <v>100%: Supported as delivered "out of the box"</v>
      </c>
      <c r="O64" s="29" t="str" cm="1">
        <f t="array" ref="O64">IFERROR(INDEX(_xlfn.UNIQUE(TRIM(_xlfn.TEXTSPLIT(Table26142567[[#This Row],[Selection Options]:[Selection Options]],","))),,O$11),"")</f>
        <v xml:space="preserve">
75%: Supported via modifications (config)</v>
      </c>
      <c r="P64" s="29" t="str" cm="1">
        <f t="array" ref="P64">IFERROR(INDEX(_xlfn.UNIQUE(TRIM(_xlfn.TEXTSPLIT(Table26142567[[#This Row],[Selection Options]:[Selection Options]],","))),,P$11),"")</f>
        <v xml:space="preserve">
50%: Supported via a third party solution</v>
      </c>
      <c r="Q64" s="29" t="str" cm="1">
        <f t="array" ref="Q64">IFERROR(INDEX(_xlfn.UNIQUE(TRIM(_xlfn.TEXTSPLIT(Table26142567[[#This Row],[Selection Options]:[Selection Options]],","))),,Q$11),"")</f>
        <v xml:space="preserve">
25%: Supported via customisation (source code changes)</v>
      </c>
      <c r="R64" s="29" t="str" cm="1">
        <f t="array" ref="R64">IFERROR(INDEX(_xlfn.UNIQUE(TRIM(_xlfn.TEXTSPLIT(Table26142567[[#This Row],[Selection Options]:[Selection Options]],","))),,R$11),"")</f>
        <v xml:space="preserve">
 0%: Not currently supported</v>
      </c>
      <c r="S64" s="29" t="str" cm="1">
        <f t="array" ref="S64">IFERROR(INDEX(_xlfn.UNIQUE(TRIM(_xlfn.TEXTSPLIT(Table26142567[[#This Row],[Selection Options]:[Selection Options]],","))),,S$11),"")</f>
        <v/>
      </c>
      <c r="T64" s="29" t="str" cm="1">
        <f t="array" ref="T64">IFERROR(INDEX(_xlfn.UNIQUE(TRIM(_xlfn.TEXTSPLIT(Table26142567[[#This Row],[Selection Options]:[Selection Options]],","))),,T$11),"")</f>
        <v/>
      </c>
      <c r="U64" s="29" t="str" cm="1">
        <f t="array" ref="U64">IFERROR(INDEX(_xlfn.UNIQUE(TRIM(_xlfn.TEXTSPLIT(Table26142567[[#This Row],[Selection Options]:[Selection Options]],","))),,U$11),"")</f>
        <v/>
      </c>
      <c r="V64" s="29" t="str" cm="1">
        <f t="array" ref="V64">IFERROR(INDEX(_xlfn.UNIQUE(TRIM(_xlfn.TEXTSPLIT(Table26142567[[#This Row],[Selection Options]:[Selection Options]],","))),,V$11),"")</f>
        <v/>
      </c>
      <c r="W64" s="29" t="str" cm="1">
        <f t="array" ref="W64">IFERROR(INDEX(_xlfn.UNIQUE(TRIM(_xlfn.TEXTSPLIT(Table26142567[[#This Row],[Selection Options]:[Selection Options]],","))),,W$11),"")</f>
        <v/>
      </c>
      <c r="X64" s="29" t="str" cm="1">
        <f t="array" ref="X64">IFERROR(INDEX(_xlfn.UNIQUE(TRIM(_xlfn.TEXTSPLIT(Table26142567[[#This Row],[Selection Options]:[Selection Options]],","))),,X$11),"")</f>
        <v/>
      </c>
      <c r="Y64" s="30" cm="1">
        <f t="array" ref="Y64">IF(Table26142567[[#This Row],[1]]="","",Table26142567[[#This Row],[Weight]:[Weight]]-(Table26142567[[#This Row],[Weight]:[Weight]]*((_xlfn.XMATCH(Table26142567[[#This Row],[1]],Table26142567[[#This Row],[1]:[11]],0))-1)/(COUNTA(Table26142567[[#This Row],[1]:[11]])-COUNTBLANK(Table26142567[[#This Row],[1]:[11]])-1)))</f>
        <v>5.6306306306306306E-4</v>
      </c>
      <c r="Z64" s="30" cm="1">
        <f t="array" ref="Z64">IF(Table26142567[[#This Row],[2]]="","",Table26142567[[#This Row],[Weight]:[Weight]]-(Table26142567[[#This Row],[Weight]:[Weight]]*((_xlfn.XMATCH(Table26142567[[#This Row],[2]],Table26142567[[#This Row],[1]:[11]],0))-1)/(COUNTA(Table26142567[[#This Row],[1]:[11]])-COUNTBLANK(Table26142567[[#This Row],[1]:[11]])-1)))</f>
        <v>4.2229729729729732E-4</v>
      </c>
      <c r="AA64" s="30" cm="1">
        <f t="array" ref="AA64">IF(Table26142567[[#This Row],[3]]="","",Table26142567[[#This Row],[Weight]:[Weight]]-(Table26142567[[#This Row],[Weight]:[Weight]]*((_xlfn.XMATCH(Table26142567[[#This Row],[3]],Table26142567[[#This Row],[1]:[11]],0))-1)/(COUNTA(Table26142567[[#This Row],[1]:[11]])-COUNTBLANK(Table26142567[[#This Row],[1]:[11]])-1)))</f>
        <v>2.8153153153153153E-4</v>
      </c>
      <c r="AB64" s="30" cm="1">
        <f t="array" ref="AB64">IF(Table26142567[[#This Row],[4]]="","",Table26142567[[#This Row],[Weight]:[Weight]]-(Table26142567[[#This Row],[Weight]:[Weight]]*((_xlfn.XMATCH(Table26142567[[#This Row],[4]],Table26142567[[#This Row],[1]:[11]],0))-1)/(COUNTA(Table26142567[[#This Row],[1]:[11]])-COUNTBLANK(Table26142567[[#This Row],[1]:[11]])-1)))</f>
        <v>1.4076576576576574E-4</v>
      </c>
      <c r="AC64" s="30" cm="1">
        <f t="array" ref="AC64">IF(Table26142567[[#This Row],[5]]="","",Table26142567[[#This Row],[Weight]:[Weight]]-(Table26142567[[#This Row],[Weight]:[Weight]]*((_xlfn.XMATCH(Table26142567[[#This Row],[5]],Table26142567[[#This Row],[1]:[11]],0))-1)/(COUNTA(Table26142567[[#This Row],[1]:[11]])-COUNTBLANK(Table26142567[[#This Row],[1]:[11]])-1)))</f>
        <v>0</v>
      </c>
      <c r="AD64" s="30" t="str" cm="1">
        <f t="array" ref="AD64">IF(Table26142567[[#This Row],[6]]="","",Table26142567[[#This Row],[Weight]:[Weight]]-(Table26142567[[#This Row],[Weight]:[Weight]]*((_xlfn.XMATCH(Table26142567[[#This Row],[6]],Table26142567[[#This Row],[1]:[11]],0))-1)/(COUNTA(Table26142567[[#This Row],[1]:[11]])-COUNTBLANK(Table26142567[[#This Row],[1]:[11]])-1)))</f>
        <v/>
      </c>
      <c r="AE64" s="30" t="str" cm="1">
        <f t="array" ref="AE64">IF(Table26142567[[#This Row],[7]]="","",Table26142567[[#This Row],[Weight]:[Weight]]-(Table26142567[[#This Row],[Weight]:[Weight]]*((_xlfn.XMATCH(Table26142567[[#This Row],[7]],Table26142567[[#This Row],[1]:[11]],0))-1)/(COUNTA(Table26142567[[#This Row],[1]:[11]])-COUNTBLANK(Table26142567[[#This Row],[1]:[11]])-1)))</f>
        <v/>
      </c>
      <c r="AF64" s="30" t="str" cm="1">
        <f t="array" ref="AF64">IF(Table26142567[[#This Row],[8]]="","",Table26142567[[#This Row],[Weight]:[Weight]]-(Table26142567[[#This Row],[Weight]:[Weight]]*((_xlfn.XMATCH(Table26142567[[#This Row],[8]],Table26142567[[#This Row],[1]:[11]],0))-1)/(COUNTA(Table26142567[[#This Row],[1]:[11]])-COUNTBLANK(Table26142567[[#This Row],[1]:[11]])-1)))</f>
        <v/>
      </c>
      <c r="AG64" s="30" t="str" cm="1">
        <f t="array" ref="AG64">IF(Table26142567[[#This Row],[9]]="","",Table26142567[[#This Row],[Weight]:[Weight]]-(Table26142567[[#This Row],[Weight]:[Weight]]*((_xlfn.XMATCH(Table26142567[[#This Row],[9]],Table26142567[[#This Row],[1]:[11]],0))-1)/(COUNTA(Table26142567[[#This Row],[1]:[11]])-COUNTBLANK(Table26142567[[#This Row],[1]:[11]])-1)))</f>
        <v/>
      </c>
      <c r="AH64" s="30" t="str" cm="1">
        <f t="array" ref="AH64">IF(Table26142567[[#This Row],[10]]="","",Table26142567[[#This Row],[Weight]:[Weight]]-(Table26142567[[#This Row],[Weight]:[Weight]]*((_xlfn.XMATCH(Table26142567[[#This Row],[10]],Table26142567[[#This Row],[1]:[11]],0))-1)/(COUNTA(Table26142567[[#This Row],[1]:[11]])-COUNTBLANK(Table26142567[[#This Row],[1]:[11]])-1)))</f>
        <v/>
      </c>
      <c r="AI64" s="30" t="str" cm="1">
        <f t="array" ref="AI64">IF(Table26142567[[#This Row],[11]]="","",Table26142567[[#This Row],[Weight]:[Weight]]-(Table26142567[[#This Row],[Weight]:[Weight]]*((_xlfn.XMATCH(Table26142567[[#This Row],[11]],Table26142567[[#This Row],[1]:[11]],0))-1)/(COUNTA(Table26142567[[#This Row],[1]:[11]])-COUNTBLANK(Table26142567[[#This Row],[1]:[11]])-1)))</f>
        <v/>
      </c>
    </row>
    <row r="65" spans="1:35" ht="108" x14ac:dyDescent="0.2">
      <c r="A65" s="20">
        <v>53</v>
      </c>
      <c r="B65" s="90" t="s">
        <v>443</v>
      </c>
      <c r="C65" s="119" t="s">
        <v>215</v>
      </c>
      <c r="D65" s="153"/>
      <c r="E65" s="153"/>
      <c r="F65" s="121" t="s">
        <v>60</v>
      </c>
      <c r="G65" s="148" cm="1">
        <f t="array" ref="G65">_xlfn.IFS(F65="","",F65="No interest",0,F65="Nice to have",1,F65="Useful",2,F65="Important",3,F65="Very important",4,F65="Critical",5,F65="Show stopper",6)</f>
        <v>6</v>
      </c>
      <c r="H65" s="149">
        <f t="shared" ref="H65:H70" si="2">(G65/$G$11)*$F$11</f>
        <v>6.756756756756756E-4</v>
      </c>
      <c r="I65" s="150" t="s">
        <v>321</v>
      </c>
      <c r="J65" s="35" t="str" cm="1">
        <f t="array" ref="J65">_xlfn.TEXTJOIN(","&amp;CHAR(10),,TEXT(Table26142567[[#This Row],[12]:[22]],"0,00%"))</f>
        <v>0,00%,
0,00%,
0,00%,
0,00%,
0,00%</v>
      </c>
      <c r="K65" s="26"/>
      <c r="L65" s="27" t="e">
        <f>H65-(H65*((MATCH(Table26142567[[#This Row],[Evaluators Response (SELECT)]],Table26142567[[#This Row],[1]:[11]],0)-1)/(COUNTA(Table26142567[[#This Row],[1]:[11]])-COUNTBLANK(Table26142567[[#This Row],[1]:[11]])-1)))</f>
        <v>#N/A</v>
      </c>
      <c r="M65" s="28"/>
      <c r="N65" s="29" t="str" cm="1">
        <f t="array" ref="N65">IFERROR(INDEX(_xlfn.UNIQUE(TRIM(_xlfn.TEXTSPLIT(Table26142567[[#This Row],[Selection Options]:[Selection Options]],","))),,N$11),"")</f>
        <v>100%: Supported as delivered "out of the box"</v>
      </c>
      <c r="O65" s="29" t="str" cm="1">
        <f t="array" ref="O65">IFERROR(INDEX(_xlfn.UNIQUE(TRIM(_xlfn.TEXTSPLIT(Table26142567[[#This Row],[Selection Options]:[Selection Options]],","))),,O$11),"")</f>
        <v xml:space="preserve">
75%: Supported via modifications (config)</v>
      </c>
      <c r="P65" s="29" t="str" cm="1">
        <f t="array" ref="P65">IFERROR(INDEX(_xlfn.UNIQUE(TRIM(_xlfn.TEXTSPLIT(Table26142567[[#This Row],[Selection Options]:[Selection Options]],","))),,P$11),"")</f>
        <v xml:space="preserve">
50%: Supported via a third party solution</v>
      </c>
      <c r="Q65" s="29" t="str" cm="1">
        <f t="array" ref="Q65">IFERROR(INDEX(_xlfn.UNIQUE(TRIM(_xlfn.TEXTSPLIT(Table26142567[[#This Row],[Selection Options]:[Selection Options]],","))),,Q$11),"")</f>
        <v xml:space="preserve">
25%: Supported via customisation (source code changes)</v>
      </c>
      <c r="R65" s="29" t="str" cm="1">
        <f t="array" ref="R65">IFERROR(INDEX(_xlfn.UNIQUE(TRIM(_xlfn.TEXTSPLIT(Table26142567[[#This Row],[Selection Options]:[Selection Options]],","))),,R$11),"")</f>
        <v xml:space="preserve">
 0%: Not currently supported</v>
      </c>
      <c r="S65" s="29" t="str" cm="1">
        <f t="array" ref="S65">IFERROR(INDEX(_xlfn.UNIQUE(TRIM(_xlfn.TEXTSPLIT(Table26142567[[#This Row],[Selection Options]:[Selection Options]],","))),,S$11),"")</f>
        <v/>
      </c>
      <c r="T65" s="29" t="str" cm="1">
        <f t="array" ref="T65">IFERROR(INDEX(_xlfn.UNIQUE(TRIM(_xlfn.TEXTSPLIT(Table26142567[[#This Row],[Selection Options]:[Selection Options]],","))),,T$11),"")</f>
        <v/>
      </c>
      <c r="U65" s="29" t="str" cm="1">
        <f t="array" ref="U65">IFERROR(INDEX(_xlfn.UNIQUE(TRIM(_xlfn.TEXTSPLIT(Table26142567[[#This Row],[Selection Options]:[Selection Options]],","))),,U$11),"")</f>
        <v/>
      </c>
      <c r="V65" s="29" t="str" cm="1">
        <f t="array" ref="V65">IFERROR(INDEX(_xlfn.UNIQUE(TRIM(_xlfn.TEXTSPLIT(Table26142567[[#This Row],[Selection Options]:[Selection Options]],","))),,V$11),"")</f>
        <v/>
      </c>
      <c r="W65" s="29" t="str" cm="1">
        <f t="array" ref="W65">IFERROR(INDEX(_xlfn.UNIQUE(TRIM(_xlfn.TEXTSPLIT(Table26142567[[#This Row],[Selection Options]:[Selection Options]],","))),,W$11),"")</f>
        <v/>
      </c>
      <c r="X65" s="29" t="str" cm="1">
        <f t="array" ref="X65">IFERROR(INDEX(_xlfn.UNIQUE(TRIM(_xlfn.TEXTSPLIT(Table26142567[[#This Row],[Selection Options]:[Selection Options]],","))),,X$11),"")</f>
        <v/>
      </c>
      <c r="Y65" s="30" cm="1">
        <f t="array" ref="Y65">IF(Table26142567[[#This Row],[1]]="","",Table26142567[[#This Row],[Weight]:[Weight]]-(Table26142567[[#This Row],[Weight]:[Weight]]*((_xlfn.XMATCH(Table26142567[[#This Row],[1]],Table26142567[[#This Row],[1]:[11]],0))-1)/(COUNTA(Table26142567[[#This Row],[1]:[11]])-COUNTBLANK(Table26142567[[#This Row],[1]:[11]])-1)))</f>
        <v>6.756756756756756E-4</v>
      </c>
      <c r="Z65" s="30" cm="1">
        <f t="array" ref="Z65">IF(Table26142567[[#This Row],[2]]="","",Table26142567[[#This Row],[Weight]:[Weight]]-(Table26142567[[#This Row],[Weight]:[Weight]]*((_xlfn.XMATCH(Table26142567[[#This Row],[2]],Table26142567[[#This Row],[1]:[11]],0))-1)/(COUNTA(Table26142567[[#This Row],[1]:[11]])-COUNTBLANK(Table26142567[[#This Row],[1]:[11]])-1)))</f>
        <v>5.0675675675675668E-4</v>
      </c>
      <c r="AA65" s="30" cm="1">
        <f t="array" ref="AA65">IF(Table26142567[[#This Row],[3]]="","",Table26142567[[#This Row],[Weight]:[Weight]]-(Table26142567[[#This Row],[Weight]:[Weight]]*((_xlfn.XMATCH(Table26142567[[#This Row],[3]],Table26142567[[#This Row],[1]:[11]],0))-1)/(COUNTA(Table26142567[[#This Row],[1]:[11]])-COUNTBLANK(Table26142567[[#This Row],[1]:[11]])-1)))</f>
        <v>3.378378378378378E-4</v>
      </c>
      <c r="AB65" s="30" cm="1">
        <f t="array" ref="AB65">IF(Table26142567[[#This Row],[4]]="","",Table26142567[[#This Row],[Weight]:[Weight]]-(Table26142567[[#This Row],[Weight]:[Weight]]*((_xlfn.XMATCH(Table26142567[[#This Row],[4]],Table26142567[[#This Row],[1]:[11]],0))-1)/(COUNTA(Table26142567[[#This Row],[1]:[11]])-COUNTBLANK(Table26142567[[#This Row],[1]:[11]])-1)))</f>
        <v>1.6891891891891893E-4</v>
      </c>
      <c r="AC65" s="30" cm="1">
        <f t="array" ref="AC65">IF(Table26142567[[#This Row],[5]]="","",Table26142567[[#This Row],[Weight]:[Weight]]-(Table26142567[[#This Row],[Weight]:[Weight]]*((_xlfn.XMATCH(Table26142567[[#This Row],[5]],Table26142567[[#This Row],[1]:[11]],0))-1)/(COUNTA(Table26142567[[#This Row],[1]:[11]])-COUNTBLANK(Table26142567[[#This Row],[1]:[11]])-1)))</f>
        <v>0</v>
      </c>
      <c r="AD65" s="30" t="str" cm="1">
        <f t="array" ref="AD65">IF(Table26142567[[#This Row],[6]]="","",Table26142567[[#This Row],[Weight]:[Weight]]-(Table26142567[[#This Row],[Weight]:[Weight]]*((_xlfn.XMATCH(Table26142567[[#This Row],[6]],Table26142567[[#This Row],[1]:[11]],0))-1)/(COUNTA(Table26142567[[#This Row],[1]:[11]])-COUNTBLANK(Table26142567[[#This Row],[1]:[11]])-1)))</f>
        <v/>
      </c>
      <c r="AE65" s="30" t="str" cm="1">
        <f t="array" ref="AE65">IF(Table26142567[[#This Row],[7]]="","",Table26142567[[#This Row],[Weight]:[Weight]]-(Table26142567[[#This Row],[Weight]:[Weight]]*((_xlfn.XMATCH(Table26142567[[#This Row],[7]],Table26142567[[#This Row],[1]:[11]],0))-1)/(COUNTA(Table26142567[[#This Row],[1]:[11]])-COUNTBLANK(Table26142567[[#This Row],[1]:[11]])-1)))</f>
        <v/>
      </c>
      <c r="AF65" s="30" t="str" cm="1">
        <f t="array" ref="AF65">IF(Table26142567[[#This Row],[8]]="","",Table26142567[[#This Row],[Weight]:[Weight]]-(Table26142567[[#This Row],[Weight]:[Weight]]*((_xlfn.XMATCH(Table26142567[[#This Row],[8]],Table26142567[[#This Row],[1]:[11]],0))-1)/(COUNTA(Table26142567[[#This Row],[1]:[11]])-COUNTBLANK(Table26142567[[#This Row],[1]:[11]])-1)))</f>
        <v/>
      </c>
      <c r="AG65" s="30" t="str" cm="1">
        <f t="array" ref="AG65">IF(Table26142567[[#This Row],[9]]="","",Table26142567[[#This Row],[Weight]:[Weight]]-(Table26142567[[#This Row],[Weight]:[Weight]]*((_xlfn.XMATCH(Table26142567[[#This Row],[9]],Table26142567[[#This Row],[1]:[11]],0))-1)/(COUNTA(Table26142567[[#This Row],[1]:[11]])-COUNTBLANK(Table26142567[[#This Row],[1]:[11]])-1)))</f>
        <v/>
      </c>
      <c r="AH65" s="30" t="str" cm="1">
        <f t="array" ref="AH65">IF(Table26142567[[#This Row],[10]]="","",Table26142567[[#This Row],[Weight]:[Weight]]-(Table26142567[[#This Row],[Weight]:[Weight]]*((_xlfn.XMATCH(Table26142567[[#This Row],[10]],Table26142567[[#This Row],[1]:[11]],0))-1)/(COUNTA(Table26142567[[#This Row],[1]:[11]])-COUNTBLANK(Table26142567[[#This Row],[1]:[11]])-1)))</f>
        <v/>
      </c>
      <c r="AI65" s="30" t="str" cm="1">
        <f t="array" ref="AI65">IF(Table26142567[[#This Row],[11]]="","",Table26142567[[#This Row],[Weight]:[Weight]]-(Table26142567[[#This Row],[Weight]:[Weight]]*((_xlfn.XMATCH(Table26142567[[#This Row],[11]],Table26142567[[#This Row],[1]:[11]],0))-1)/(COUNTA(Table26142567[[#This Row],[1]:[11]])-COUNTBLANK(Table26142567[[#This Row],[1]:[11]])-1)))</f>
        <v/>
      </c>
    </row>
    <row r="66" spans="1:35" ht="108" x14ac:dyDescent="0.2">
      <c r="A66" s="20">
        <v>54</v>
      </c>
      <c r="B66" s="90" t="s">
        <v>444</v>
      </c>
      <c r="C66" s="119" t="s">
        <v>215</v>
      </c>
      <c r="D66" s="153"/>
      <c r="E66" s="153"/>
      <c r="F66" s="121" t="s">
        <v>60</v>
      </c>
      <c r="G66" s="148" cm="1">
        <f t="array" ref="G66">_xlfn.IFS(F66="","",F66="No interest",0,F66="Nice to have",1,F66="Useful",2,F66="Important",3,F66="Very important",4,F66="Critical",5,F66="Show stopper",6)</f>
        <v>6</v>
      </c>
      <c r="H66" s="149">
        <f t="shared" si="2"/>
        <v>6.756756756756756E-4</v>
      </c>
      <c r="I66" s="150" t="s">
        <v>321</v>
      </c>
      <c r="J66" s="35" t="str" cm="1">
        <f t="array" ref="J66">_xlfn.TEXTJOIN(","&amp;CHAR(10),,TEXT(Table26142567[[#This Row],[12]:[22]],"0,00%"))</f>
        <v>0,00%,
0,00%,
0,00%,
0,00%,
0,00%</v>
      </c>
      <c r="K66" s="26"/>
      <c r="L66" s="27" t="e">
        <f>H66-(H66*((MATCH(Table26142567[[#This Row],[Evaluators Response (SELECT)]],Table26142567[[#This Row],[1]:[11]],0)-1)/(COUNTA(Table26142567[[#This Row],[1]:[11]])-COUNTBLANK(Table26142567[[#This Row],[1]:[11]])-1)))</f>
        <v>#N/A</v>
      </c>
      <c r="M66" s="28"/>
      <c r="N66" s="29" t="str" cm="1">
        <f t="array" ref="N66">IFERROR(INDEX(_xlfn.UNIQUE(TRIM(_xlfn.TEXTSPLIT(Table26142567[[#This Row],[Selection Options]:[Selection Options]],","))),,N$11),"")</f>
        <v>100%: Supported as delivered "out of the box"</v>
      </c>
      <c r="O66" s="29" t="str" cm="1">
        <f t="array" ref="O66">IFERROR(INDEX(_xlfn.UNIQUE(TRIM(_xlfn.TEXTSPLIT(Table26142567[[#This Row],[Selection Options]:[Selection Options]],","))),,O$11),"")</f>
        <v xml:space="preserve">
75%: Supported via modifications (config)</v>
      </c>
      <c r="P66" s="29" t="str" cm="1">
        <f t="array" ref="P66">IFERROR(INDEX(_xlfn.UNIQUE(TRIM(_xlfn.TEXTSPLIT(Table26142567[[#This Row],[Selection Options]:[Selection Options]],","))),,P$11),"")</f>
        <v xml:space="preserve">
50%: Supported via a third party solution</v>
      </c>
      <c r="Q66" s="29" t="str" cm="1">
        <f t="array" ref="Q66">IFERROR(INDEX(_xlfn.UNIQUE(TRIM(_xlfn.TEXTSPLIT(Table26142567[[#This Row],[Selection Options]:[Selection Options]],","))),,Q$11),"")</f>
        <v xml:space="preserve">
25%: Supported via customisation (source code changes)</v>
      </c>
      <c r="R66" s="29" t="str" cm="1">
        <f t="array" ref="R66">IFERROR(INDEX(_xlfn.UNIQUE(TRIM(_xlfn.TEXTSPLIT(Table26142567[[#This Row],[Selection Options]:[Selection Options]],","))),,R$11),"")</f>
        <v xml:space="preserve">
 0%: Not currently supported</v>
      </c>
      <c r="S66" s="29" t="str" cm="1">
        <f t="array" ref="S66">IFERROR(INDEX(_xlfn.UNIQUE(TRIM(_xlfn.TEXTSPLIT(Table26142567[[#This Row],[Selection Options]:[Selection Options]],","))),,S$11),"")</f>
        <v/>
      </c>
      <c r="T66" s="29" t="str" cm="1">
        <f t="array" ref="T66">IFERROR(INDEX(_xlfn.UNIQUE(TRIM(_xlfn.TEXTSPLIT(Table26142567[[#This Row],[Selection Options]:[Selection Options]],","))),,T$11),"")</f>
        <v/>
      </c>
      <c r="U66" s="29" t="str" cm="1">
        <f t="array" ref="U66">IFERROR(INDEX(_xlfn.UNIQUE(TRIM(_xlfn.TEXTSPLIT(Table26142567[[#This Row],[Selection Options]:[Selection Options]],","))),,U$11),"")</f>
        <v/>
      </c>
      <c r="V66" s="29" t="str" cm="1">
        <f t="array" ref="V66">IFERROR(INDEX(_xlfn.UNIQUE(TRIM(_xlfn.TEXTSPLIT(Table26142567[[#This Row],[Selection Options]:[Selection Options]],","))),,V$11),"")</f>
        <v/>
      </c>
      <c r="W66" s="29" t="str" cm="1">
        <f t="array" ref="W66">IFERROR(INDEX(_xlfn.UNIQUE(TRIM(_xlfn.TEXTSPLIT(Table26142567[[#This Row],[Selection Options]:[Selection Options]],","))),,W$11),"")</f>
        <v/>
      </c>
      <c r="X66" s="29" t="str" cm="1">
        <f t="array" ref="X66">IFERROR(INDEX(_xlfn.UNIQUE(TRIM(_xlfn.TEXTSPLIT(Table26142567[[#This Row],[Selection Options]:[Selection Options]],","))),,X$11),"")</f>
        <v/>
      </c>
      <c r="Y66" s="30" cm="1">
        <f t="array" ref="Y66">IF(Table26142567[[#This Row],[1]]="","",Table26142567[[#This Row],[Weight]:[Weight]]-(Table26142567[[#This Row],[Weight]:[Weight]]*((_xlfn.XMATCH(Table26142567[[#This Row],[1]],Table26142567[[#This Row],[1]:[11]],0))-1)/(COUNTA(Table26142567[[#This Row],[1]:[11]])-COUNTBLANK(Table26142567[[#This Row],[1]:[11]])-1)))</f>
        <v>6.756756756756756E-4</v>
      </c>
      <c r="Z66" s="30" cm="1">
        <f t="array" ref="Z66">IF(Table26142567[[#This Row],[2]]="","",Table26142567[[#This Row],[Weight]:[Weight]]-(Table26142567[[#This Row],[Weight]:[Weight]]*((_xlfn.XMATCH(Table26142567[[#This Row],[2]],Table26142567[[#This Row],[1]:[11]],0))-1)/(COUNTA(Table26142567[[#This Row],[1]:[11]])-COUNTBLANK(Table26142567[[#This Row],[1]:[11]])-1)))</f>
        <v>5.0675675675675668E-4</v>
      </c>
      <c r="AA66" s="30" cm="1">
        <f t="array" ref="AA66">IF(Table26142567[[#This Row],[3]]="","",Table26142567[[#This Row],[Weight]:[Weight]]-(Table26142567[[#This Row],[Weight]:[Weight]]*((_xlfn.XMATCH(Table26142567[[#This Row],[3]],Table26142567[[#This Row],[1]:[11]],0))-1)/(COUNTA(Table26142567[[#This Row],[1]:[11]])-COUNTBLANK(Table26142567[[#This Row],[1]:[11]])-1)))</f>
        <v>3.378378378378378E-4</v>
      </c>
      <c r="AB66" s="30" cm="1">
        <f t="array" ref="AB66">IF(Table26142567[[#This Row],[4]]="","",Table26142567[[#This Row],[Weight]:[Weight]]-(Table26142567[[#This Row],[Weight]:[Weight]]*((_xlfn.XMATCH(Table26142567[[#This Row],[4]],Table26142567[[#This Row],[1]:[11]],0))-1)/(COUNTA(Table26142567[[#This Row],[1]:[11]])-COUNTBLANK(Table26142567[[#This Row],[1]:[11]])-1)))</f>
        <v>1.6891891891891893E-4</v>
      </c>
      <c r="AC66" s="30" cm="1">
        <f t="array" ref="AC66">IF(Table26142567[[#This Row],[5]]="","",Table26142567[[#This Row],[Weight]:[Weight]]-(Table26142567[[#This Row],[Weight]:[Weight]]*((_xlfn.XMATCH(Table26142567[[#This Row],[5]],Table26142567[[#This Row],[1]:[11]],0))-1)/(COUNTA(Table26142567[[#This Row],[1]:[11]])-COUNTBLANK(Table26142567[[#This Row],[1]:[11]])-1)))</f>
        <v>0</v>
      </c>
      <c r="AD66" s="30" t="str" cm="1">
        <f t="array" ref="AD66">IF(Table26142567[[#This Row],[6]]="","",Table26142567[[#This Row],[Weight]:[Weight]]-(Table26142567[[#This Row],[Weight]:[Weight]]*((_xlfn.XMATCH(Table26142567[[#This Row],[6]],Table26142567[[#This Row],[1]:[11]],0))-1)/(COUNTA(Table26142567[[#This Row],[1]:[11]])-COUNTBLANK(Table26142567[[#This Row],[1]:[11]])-1)))</f>
        <v/>
      </c>
      <c r="AE66" s="30" t="str" cm="1">
        <f t="array" ref="AE66">IF(Table26142567[[#This Row],[7]]="","",Table26142567[[#This Row],[Weight]:[Weight]]-(Table26142567[[#This Row],[Weight]:[Weight]]*((_xlfn.XMATCH(Table26142567[[#This Row],[7]],Table26142567[[#This Row],[1]:[11]],0))-1)/(COUNTA(Table26142567[[#This Row],[1]:[11]])-COUNTBLANK(Table26142567[[#This Row],[1]:[11]])-1)))</f>
        <v/>
      </c>
      <c r="AF66" s="30" t="str" cm="1">
        <f t="array" ref="AF66">IF(Table26142567[[#This Row],[8]]="","",Table26142567[[#This Row],[Weight]:[Weight]]-(Table26142567[[#This Row],[Weight]:[Weight]]*((_xlfn.XMATCH(Table26142567[[#This Row],[8]],Table26142567[[#This Row],[1]:[11]],0))-1)/(COUNTA(Table26142567[[#This Row],[1]:[11]])-COUNTBLANK(Table26142567[[#This Row],[1]:[11]])-1)))</f>
        <v/>
      </c>
      <c r="AG66" s="30" t="str" cm="1">
        <f t="array" ref="AG66">IF(Table26142567[[#This Row],[9]]="","",Table26142567[[#This Row],[Weight]:[Weight]]-(Table26142567[[#This Row],[Weight]:[Weight]]*((_xlfn.XMATCH(Table26142567[[#This Row],[9]],Table26142567[[#This Row],[1]:[11]],0))-1)/(COUNTA(Table26142567[[#This Row],[1]:[11]])-COUNTBLANK(Table26142567[[#This Row],[1]:[11]])-1)))</f>
        <v/>
      </c>
      <c r="AH66" s="30" t="str" cm="1">
        <f t="array" ref="AH66">IF(Table26142567[[#This Row],[10]]="","",Table26142567[[#This Row],[Weight]:[Weight]]-(Table26142567[[#This Row],[Weight]:[Weight]]*((_xlfn.XMATCH(Table26142567[[#This Row],[10]],Table26142567[[#This Row],[1]:[11]],0))-1)/(COUNTA(Table26142567[[#This Row],[1]:[11]])-COUNTBLANK(Table26142567[[#This Row],[1]:[11]])-1)))</f>
        <v/>
      </c>
      <c r="AI66" s="30" t="str" cm="1">
        <f t="array" ref="AI66">IF(Table26142567[[#This Row],[11]]="","",Table26142567[[#This Row],[Weight]:[Weight]]-(Table26142567[[#This Row],[Weight]:[Weight]]*((_xlfn.XMATCH(Table26142567[[#This Row],[11]],Table26142567[[#This Row],[1]:[11]],0))-1)/(COUNTA(Table26142567[[#This Row],[1]:[11]])-COUNTBLANK(Table26142567[[#This Row],[1]:[11]])-1)))</f>
        <v/>
      </c>
    </row>
    <row r="67" spans="1:35" ht="108" x14ac:dyDescent="0.2">
      <c r="A67" s="20">
        <v>55</v>
      </c>
      <c r="B67" s="90" t="s">
        <v>445</v>
      </c>
      <c r="C67" s="119" t="s">
        <v>215</v>
      </c>
      <c r="D67" s="153"/>
      <c r="E67" s="153"/>
      <c r="F67" s="121" t="s">
        <v>60</v>
      </c>
      <c r="G67" s="148" cm="1">
        <f t="array" ref="G67">_xlfn.IFS(F67="","",F67="No interest",0,F67="Nice to have",1,F67="Useful",2,F67="Important",3,F67="Very important",4,F67="Critical",5,F67="Show stopper",6)</f>
        <v>6</v>
      </c>
      <c r="H67" s="149">
        <f t="shared" si="2"/>
        <v>6.756756756756756E-4</v>
      </c>
      <c r="I67" s="150" t="s">
        <v>321</v>
      </c>
      <c r="J67" s="35" t="str" cm="1">
        <f t="array" ref="J67">_xlfn.TEXTJOIN(","&amp;CHAR(10),,TEXT(Table26142567[[#This Row],[12]:[22]],"0,00%"))</f>
        <v>0,00%,
0,00%,
0,00%,
0,00%,
0,00%</v>
      </c>
      <c r="K67" s="26"/>
      <c r="L67" s="27" t="e">
        <f>H67-(H67*((MATCH(Table26142567[[#This Row],[Evaluators Response (SELECT)]],Table26142567[[#This Row],[1]:[11]],0)-1)/(COUNTA(Table26142567[[#This Row],[1]:[11]])-COUNTBLANK(Table26142567[[#This Row],[1]:[11]])-1)))</f>
        <v>#N/A</v>
      </c>
      <c r="M67" s="28"/>
      <c r="N67" s="29" t="str" cm="1">
        <f t="array" ref="N67">IFERROR(INDEX(_xlfn.UNIQUE(TRIM(_xlfn.TEXTSPLIT(Table26142567[[#This Row],[Selection Options]:[Selection Options]],","))),,N$11),"")</f>
        <v>100%: Supported as delivered "out of the box"</v>
      </c>
      <c r="O67" s="29" t="str" cm="1">
        <f t="array" ref="O67">IFERROR(INDEX(_xlfn.UNIQUE(TRIM(_xlfn.TEXTSPLIT(Table26142567[[#This Row],[Selection Options]:[Selection Options]],","))),,O$11),"")</f>
        <v xml:space="preserve">
75%: Supported via modifications (config)</v>
      </c>
      <c r="P67" s="29" t="str" cm="1">
        <f t="array" ref="P67">IFERROR(INDEX(_xlfn.UNIQUE(TRIM(_xlfn.TEXTSPLIT(Table26142567[[#This Row],[Selection Options]:[Selection Options]],","))),,P$11),"")</f>
        <v xml:space="preserve">
50%: Supported via a third party solution</v>
      </c>
      <c r="Q67" s="29" t="str" cm="1">
        <f t="array" ref="Q67">IFERROR(INDEX(_xlfn.UNIQUE(TRIM(_xlfn.TEXTSPLIT(Table26142567[[#This Row],[Selection Options]:[Selection Options]],","))),,Q$11),"")</f>
        <v xml:space="preserve">
25%: Supported via customisation (source code changes)</v>
      </c>
      <c r="R67" s="29" t="str" cm="1">
        <f t="array" ref="R67">IFERROR(INDEX(_xlfn.UNIQUE(TRIM(_xlfn.TEXTSPLIT(Table26142567[[#This Row],[Selection Options]:[Selection Options]],","))),,R$11),"")</f>
        <v xml:space="preserve">
 0%: Not currently supported</v>
      </c>
      <c r="S67" s="29" t="str" cm="1">
        <f t="array" ref="S67">IFERROR(INDEX(_xlfn.UNIQUE(TRIM(_xlfn.TEXTSPLIT(Table26142567[[#This Row],[Selection Options]:[Selection Options]],","))),,S$11),"")</f>
        <v/>
      </c>
      <c r="T67" s="29" t="str" cm="1">
        <f t="array" ref="T67">IFERROR(INDEX(_xlfn.UNIQUE(TRIM(_xlfn.TEXTSPLIT(Table26142567[[#This Row],[Selection Options]:[Selection Options]],","))),,T$11),"")</f>
        <v/>
      </c>
      <c r="U67" s="29" t="str" cm="1">
        <f t="array" ref="U67">IFERROR(INDEX(_xlfn.UNIQUE(TRIM(_xlfn.TEXTSPLIT(Table26142567[[#This Row],[Selection Options]:[Selection Options]],","))),,U$11),"")</f>
        <v/>
      </c>
      <c r="V67" s="29" t="str" cm="1">
        <f t="array" ref="V67">IFERROR(INDEX(_xlfn.UNIQUE(TRIM(_xlfn.TEXTSPLIT(Table26142567[[#This Row],[Selection Options]:[Selection Options]],","))),,V$11),"")</f>
        <v/>
      </c>
      <c r="W67" s="29" t="str" cm="1">
        <f t="array" ref="W67">IFERROR(INDEX(_xlfn.UNIQUE(TRIM(_xlfn.TEXTSPLIT(Table26142567[[#This Row],[Selection Options]:[Selection Options]],","))),,W$11),"")</f>
        <v/>
      </c>
      <c r="X67" s="29" t="str" cm="1">
        <f t="array" ref="X67">IFERROR(INDEX(_xlfn.UNIQUE(TRIM(_xlfn.TEXTSPLIT(Table26142567[[#This Row],[Selection Options]:[Selection Options]],","))),,X$11),"")</f>
        <v/>
      </c>
      <c r="Y67" s="30" cm="1">
        <f t="array" ref="Y67">IF(Table26142567[[#This Row],[1]]="","",Table26142567[[#This Row],[Weight]:[Weight]]-(Table26142567[[#This Row],[Weight]:[Weight]]*((_xlfn.XMATCH(Table26142567[[#This Row],[1]],Table26142567[[#This Row],[1]:[11]],0))-1)/(COUNTA(Table26142567[[#This Row],[1]:[11]])-COUNTBLANK(Table26142567[[#This Row],[1]:[11]])-1)))</f>
        <v>6.756756756756756E-4</v>
      </c>
      <c r="Z67" s="30" cm="1">
        <f t="array" ref="Z67">IF(Table26142567[[#This Row],[2]]="","",Table26142567[[#This Row],[Weight]:[Weight]]-(Table26142567[[#This Row],[Weight]:[Weight]]*((_xlfn.XMATCH(Table26142567[[#This Row],[2]],Table26142567[[#This Row],[1]:[11]],0))-1)/(COUNTA(Table26142567[[#This Row],[1]:[11]])-COUNTBLANK(Table26142567[[#This Row],[1]:[11]])-1)))</f>
        <v>5.0675675675675668E-4</v>
      </c>
      <c r="AA67" s="30" cm="1">
        <f t="array" ref="AA67">IF(Table26142567[[#This Row],[3]]="","",Table26142567[[#This Row],[Weight]:[Weight]]-(Table26142567[[#This Row],[Weight]:[Weight]]*((_xlfn.XMATCH(Table26142567[[#This Row],[3]],Table26142567[[#This Row],[1]:[11]],0))-1)/(COUNTA(Table26142567[[#This Row],[1]:[11]])-COUNTBLANK(Table26142567[[#This Row],[1]:[11]])-1)))</f>
        <v>3.378378378378378E-4</v>
      </c>
      <c r="AB67" s="30" cm="1">
        <f t="array" ref="AB67">IF(Table26142567[[#This Row],[4]]="","",Table26142567[[#This Row],[Weight]:[Weight]]-(Table26142567[[#This Row],[Weight]:[Weight]]*((_xlfn.XMATCH(Table26142567[[#This Row],[4]],Table26142567[[#This Row],[1]:[11]],0))-1)/(COUNTA(Table26142567[[#This Row],[1]:[11]])-COUNTBLANK(Table26142567[[#This Row],[1]:[11]])-1)))</f>
        <v>1.6891891891891893E-4</v>
      </c>
      <c r="AC67" s="30" cm="1">
        <f t="array" ref="AC67">IF(Table26142567[[#This Row],[5]]="","",Table26142567[[#This Row],[Weight]:[Weight]]-(Table26142567[[#This Row],[Weight]:[Weight]]*((_xlfn.XMATCH(Table26142567[[#This Row],[5]],Table26142567[[#This Row],[1]:[11]],0))-1)/(COUNTA(Table26142567[[#This Row],[1]:[11]])-COUNTBLANK(Table26142567[[#This Row],[1]:[11]])-1)))</f>
        <v>0</v>
      </c>
      <c r="AD67" s="30" t="str" cm="1">
        <f t="array" ref="AD67">IF(Table26142567[[#This Row],[6]]="","",Table26142567[[#This Row],[Weight]:[Weight]]-(Table26142567[[#This Row],[Weight]:[Weight]]*((_xlfn.XMATCH(Table26142567[[#This Row],[6]],Table26142567[[#This Row],[1]:[11]],0))-1)/(COUNTA(Table26142567[[#This Row],[1]:[11]])-COUNTBLANK(Table26142567[[#This Row],[1]:[11]])-1)))</f>
        <v/>
      </c>
      <c r="AE67" s="30" t="str" cm="1">
        <f t="array" ref="AE67">IF(Table26142567[[#This Row],[7]]="","",Table26142567[[#This Row],[Weight]:[Weight]]-(Table26142567[[#This Row],[Weight]:[Weight]]*((_xlfn.XMATCH(Table26142567[[#This Row],[7]],Table26142567[[#This Row],[1]:[11]],0))-1)/(COUNTA(Table26142567[[#This Row],[1]:[11]])-COUNTBLANK(Table26142567[[#This Row],[1]:[11]])-1)))</f>
        <v/>
      </c>
      <c r="AF67" s="30" t="str" cm="1">
        <f t="array" ref="AF67">IF(Table26142567[[#This Row],[8]]="","",Table26142567[[#This Row],[Weight]:[Weight]]-(Table26142567[[#This Row],[Weight]:[Weight]]*((_xlfn.XMATCH(Table26142567[[#This Row],[8]],Table26142567[[#This Row],[1]:[11]],0))-1)/(COUNTA(Table26142567[[#This Row],[1]:[11]])-COUNTBLANK(Table26142567[[#This Row],[1]:[11]])-1)))</f>
        <v/>
      </c>
      <c r="AG67" s="30" t="str" cm="1">
        <f t="array" ref="AG67">IF(Table26142567[[#This Row],[9]]="","",Table26142567[[#This Row],[Weight]:[Weight]]-(Table26142567[[#This Row],[Weight]:[Weight]]*((_xlfn.XMATCH(Table26142567[[#This Row],[9]],Table26142567[[#This Row],[1]:[11]],0))-1)/(COUNTA(Table26142567[[#This Row],[1]:[11]])-COUNTBLANK(Table26142567[[#This Row],[1]:[11]])-1)))</f>
        <v/>
      </c>
      <c r="AH67" s="30" t="str" cm="1">
        <f t="array" ref="AH67">IF(Table26142567[[#This Row],[10]]="","",Table26142567[[#This Row],[Weight]:[Weight]]-(Table26142567[[#This Row],[Weight]:[Weight]]*((_xlfn.XMATCH(Table26142567[[#This Row],[10]],Table26142567[[#This Row],[1]:[11]],0))-1)/(COUNTA(Table26142567[[#This Row],[1]:[11]])-COUNTBLANK(Table26142567[[#This Row],[1]:[11]])-1)))</f>
        <v/>
      </c>
      <c r="AI67" s="30" t="str" cm="1">
        <f t="array" ref="AI67">IF(Table26142567[[#This Row],[11]]="","",Table26142567[[#This Row],[Weight]:[Weight]]-(Table26142567[[#This Row],[Weight]:[Weight]]*((_xlfn.XMATCH(Table26142567[[#This Row],[11]],Table26142567[[#This Row],[1]:[11]],0))-1)/(COUNTA(Table26142567[[#This Row],[1]:[11]])-COUNTBLANK(Table26142567[[#This Row],[1]:[11]])-1)))</f>
        <v/>
      </c>
    </row>
    <row r="68" spans="1:35" ht="108" x14ac:dyDescent="0.2">
      <c r="A68" s="20">
        <v>56</v>
      </c>
      <c r="B68" s="90" t="s">
        <v>446</v>
      </c>
      <c r="C68" s="119" t="s">
        <v>215</v>
      </c>
      <c r="D68" s="153"/>
      <c r="E68" s="153"/>
      <c r="F68" s="121" t="s">
        <v>60</v>
      </c>
      <c r="G68" s="148" cm="1">
        <f t="array" ref="G68">_xlfn.IFS(F68="","",F68="No interest",0,F68="Nice to have",1,F68="Useful",2,F68="Important",3,F68="Very important",4,F68="Critical",5,F68="Show stopper",6)</f>
        <v>6</v>
      </c>
      <c r="H68" s="149">
        <f t="shared" si="2"/>
        <v>6.756756756756756E-4</v>
      </c>
      <c r="I68" s="150" t="s">
        <v>321</v>
      </c>
      <c r="J68" s="35" t="str" cm="1">
        <f t="array" ref="J68">_xlfn.TEXTJOIN(","&amp;CHAR(10),,TEXT(Table26142567[[#This Row],[12]:[22]],"0,00%"))</f>
        <v>0,00%,
0,00%,
0,00%,
0,00%,
0,00%</v>
      </c>
      <c r="K68" s="26"/>
      <c r="L68" s="27" t="e">
        <f>H68-(H68*((MATCH(Table26142567[[#This Row],[Evaluators Response (SELECT)]],Table26142567[[#This Row],[1]:[11]],0)-1)/(COUNTA(Table26142567[[#This Row],[1]:[11]])-COUNTBLANK(Table26142567[[#This Row],[1]:[11]])-1)))</f>
        <v>#N/A</v>
      </c>
      <c r="M68" s="28"/>
      <c r="N68" s="29" t="str" cm="1">
        <f t="array" ref="N68">IFERROR(INDEX(_xlfn.UNIQUE(TRIM(_xlfn.TEXTSPLIT(Table26142567[[#This Row],[Selection Options]:[Selection Options]],","))),,N$11),"")</f>
        <v>100%: Supported as delivered "out of the box"</v>
      </c>
      <c r="O68" s="29" t="str" cm="1">
        <f t="array" ref="O68">IFERROR(INDEX(_xlfn.UNIQUE(TRIM(_xlfn.TEXTSPLIT(Table26142567[[#This Row],[Selection Options]:[Selection Options]],","))),,O$11),"")</f>
        <v xml:space="preserve">
75%: Supported via modifications (config)</v>
      </c>
      <c r="P68" s="29" t="str" cm="1">
        <f t="array" ref="P68">IFERROR(INDEX(_xlfn.UNIQUE(TRIM(_xlfn.TEXTSPLIT(Table26142567[[#This Row],[Selection Options]:[Selection Options]],","))),,P$11),"")</f>
        <v xml:space="preserve">
50%: Supported via a third party solution</v>
      </c>
      <c r="Q68" s="29" t="str" cm="1">
        <f t="array" ref="Q68">IFERROR(INDEX(_xlfn.UNIQUE(TRIM(_xlfn.TEXTSPLIT(Table26142567[[#This Row],[Selection Options]:[Selection Options]],","))),,Q$11),"")</f>
        <v xml:space="preserve">
25%: Supported via customisation (source code changes)</v>
      </c>
      <c r="R68" s="29" t="str" cm="1">
        <f t="array" ref="R68">IFERROR(INDEX(_xlfn.UNIQUE(TRIM(_xlfn.TEXTSPLIT(Table26142567[[#This Row],[Selection Options]:[Selection Options]],","))),,R$11),"")</f>
        <v xml:space="preserve">
 0%: Not currently supported</v>
      </c>
      <c r="S68" s="29" t="str" cm="1">
        <f t="array" ref="S68">IFERROR(INDEX(_xlfn.UNIQUE(TRIM(_xlfn.TEXTSPLIT(Table26142567[[#This Row],[Selection Options]:[Selection Options]],","))),,S$11),"")</f>
        <v/>
      </c>
      <c r="T68" s="29" t="str" cm="1">
        <f t="array" ref="T68">IFERROR(INDEX(_xlfn.UNIQUE(TRIM(_xlfn.TEXTSPLIT(Table26142567[[#This Row],[Selection Options]:[Selection Options]],","))),,T$11),"")</f>
        <v/>
      </c>
      <c r="U68" s="29" t="str" cm="1">
        <f t="array" ref="U68">IFERROR(INDEX(_xlfn.UNIQUE(TRIM(_xlfn.TEXTSPLIT(Table26142567[[#This Row],[Selection Options]:[Selection Options]],","))),,U$11),"")</f>
        <v/>
      </c>
      <c r="V68" s="29" t="str" cm="1">
        <f t="array" ref="V68">IFERROR(INDEX(_xlfn.UNIQUE(TRIM(_xlfn.TEXTSPLIT(Table26142567[[#This Row],[Selection Options]:[Selection Options]],","))),,V$11),"")</f>
        <v/>
      </c>
      <c r="W68" s="29" t="str" cm="1">
        <f t="array" ref="W68">IFERROR(INDEX(_xlfn.UNIQUE(TRIM(_xlfn.TEXTSPLIT(Table26142567[[#This Row],[Selection Options]:[Selection Options]],","))),,W$11),"")</f>
        <v/>
      </c>
      <c r="X68" s="29" t="str" cm="1">
        <f t="array" ref="X68">IFERROR(INDEX(_xlfn.UNIQUE(TRIM(_xlfn.TEXTSPLIT(Table26142567[[#This Row],[Selection Options]:[Selection Options]],","))),,X$11),"")</f>
        <v/>
      </c>
      <c r="Y68" s="30" cm="1">
        <f t="array" ref="Y68">IF(Table26142567[[#This Row],[1]]="","",Table26142567[[#This Row],[Weight]:[Weight]]-(Table26142567[[#This Row],[Weight]:[Weight]]*((_xlfn.XMATCH(Table26142567[[#This Row],[1]],Table26142567[[#This Row],[1]:[11]],0))-1)/(COUNTA(Table26142567[[#This Row],[1]:[11]])-COUNTBLANK(Table26142567[[#This Row],[1]:[11]])-1)))</f>
        <v>6.756756756756756E-4</v>
      </c>
      <c r="Z68" s="30" cm="1">
        <f t="array" ref="Z68">IF(Table26142567[[#This Row],[2]]="","",Table26142567[[#This Row],[Weight]:[Weight]]-(Table26142567[[#This Row],[Weight]:[Weight]]*((_xlfn.XMATCH(Table26142567[[#This Row],[2]],Table26142567[[#This Row],[1]:[11]],0))-1)/(COUNTA(Table26142567[[#This Row],[1]:[11]])-COUNTBLANK(Table26142567[[#This Row],[1]:[11]])-1)))</f>
        <v>5.0675675675675668E-4</v>
      </c>
      <c r="AA68" s="30" cm="1">
        <f t="array" ref="AA68">IF(Table26142567[[#This Row],[3]]="","",Table26142567[[#This Row],[Weight]:[Weight]]-(Table26142567[[#This Row],[Weight]:[Weight]]*((_xlfn.XMATCH(Table26142567[[#This Row],[3]],Table26142567[[#This Row],[1]:[11]],0))-1)/(COUNTA(Table26142567[[#This Row],[1]:[11]])-COUNTBLANK(Table26142567[[#This Row],[1]:[11]])-1)))</f>
        <v>3.378378378378378E-4</v>
      </c>
      <c r="AB68" s="30" cm="1">
        <f t="array" ref="AB68">IF(Table26142567[[#This Row],[4]]="","",Table26142567[[#This Row],[Weight]:[Weight]]-(Table26142567[[#This Row],[Weight]:[Weight]]*((_xlfn.XMATCH(Table26142567[[#This Row],[4]],Table26142567[[#This Row],[1]:[11]],0))-1)/(COUNTA(Table26142567[[#This Row],[1]:[11]])-COUNTBLANK(Table26142567[[#This Row],[1]:[11]])-1)))</f>
        <v>1.6891891891891893E-4</v>
      </c>
      <c r="AC68" s="30" cm="1">
        <f t="array" ref="AC68">IF(Table26142567[[#This Row],[5]]="","",Table26142567[[#This Row],[Weight]:[Weight]]-(Table26142567[[#This Row],[Weight]:[Weight]]*((_xlfn.XMATCH(Table26142567[[#This Row],[5]],Table26142567[[#This Row],[1]:[11]],0))-1)/(COUNTA(Table26142567[[#This Row],[1]:[11]])-COUNTBLANK(Table26142567[[#This Row],[1]:[11]])-1)))</f>
        <v>0</v>
      </c>
      <c r="AD68" s="30" t="str" cm="1">
        <f t="array" ref="AD68">IF(Table26142567[[#This Row],[6]]="","",Table26142567[[#This Row],[Weight]:[Weight]]-(Table26142567[[#This Row],[Weight]:[Weight]]*((_xlfn.XMATCH(Table26142567[[#This Row],[6]],Table26142567[[#This Row],[1]:[11]],0))-1)/(COUNTA(Table26142567[[#This Row],[1]:[11]])-COUNTBLANK(Table26142567[[#This Row],[1]:[11]])-1)))</f>
        <v/>
      </c>
      <c r="AE68" s="30" t="str" cm="1">
        <f t="array" ref="AE68">IF(Table26142567[[#This Row],[7]]="","",Table26142567[[#This Row],[Weight]:[Weight]]-(Table26142567[[#This Row],[Weight]:[Weight]]*((_xlfn.XMATCH(Table26142567[[#This Row],[7]],Table26142567[[#This Row],[1]:[11]],0))-1)/(COUNTA(Table26142567[[#This Row],[1]:[11]])-COUNTBLANK(Table26142567[[#This Row],[1]:[11]])-1)))</f>
        <v/>
      </c>
      <c r="AF68" s="30" t="str" cm="1">
        <f t="array" ref="AF68">IF(Table26142567[[#This Row],[8]]="","",Table26142567[[#This Row],[Weight]:[Weight]]-(Table26142567[[#This Row],[Weight]:[Weight]]*((_xlfn.XMATCH(Table26142567[[#This Row],[8]],Table26142567[[#This Row],[1]:[11]],0))-1)/(COUNTA(Table26142567[[#This Row],[1]:[11]])-COUNTBLANK(Table26142567[[#This Row],[1]:[11]])-1)))</f>
        <v/>
      </c>
      <c r="AG68" s="30" t="str" cm="1">
        <f t="array" ref="AG68">IF(Table26142567[[#This Row],[9]]="","",Table26142567[[#This Row],[Weight]:[Weight]]-(Table26142567[[#This Row],[Weight]:[Weight]]*((_xlfn.XMATCH(Table26142567[[#This Row],[9]],Table26142567[[#This Row],[1]:[11]],0))-1)/(COUNTA(Table26142567[[#This Row],[1]:[11]])-COUNTBLANK(Table26142567[[#This Row],[1]:[11]])-1)))</f>
        <v/>
      </c>
      <c r="AH68" s="30" t="str" cm="1">
        <f t="array" ref="AH68">IF(Table26142567[[#This Row],[10]]="","",Table26142567[[#This Row],[Weight]:[Weight]]-(Table26142567[[#This Row],[Weight]:[Weight]]*((_xlfn.XMATCH(Table26142567[[#This Row],[10]],Table26142567[[#This Row],[1]:[11]],0))-1)/(COUNTA(Table26142567[[#This Row],[1]:[11]])-COUNTBLANK(Table26142567[[#This Row],[1]:[11]])-1)))</f>
        <v/>
      </c>
      <c r="AI68" s="30" t="str" cm="1">
        <f t="array" ref="AI68">IF(Table26142567[[#This Row],[11]]="","",Table26142567[[#This Row],[Weight]:[Weight]]-(Table26142567[[#This Row],[Weight]:[Weight]]*((_xlfn.XMATCH(Table26142567[[#This Row],[11]],Table26142567[[#This Row],[1]:[11]],0))-1)/(COUNTA(Table26142567[[#This Row],[1]:[11]])-COUNTBLANK(Table26142567[[#This Row],[1]:[11]])-1)))</f>
        <v/>
      </c>
    </row>
    <row r="69" spans="1:35" ht="108" x14ac:dyDescent="0.2">
      <c r="A69" s="20">
        <v>57</v>
      </c>
      <c r="B69" s="90" t="s">
        <v>447</v>
      </c>
      <c r="C69" s="119" t="s">
        <v>215</v>
      </c>
      <c r="D69" s="153"/>
      <c r="E69" s="153"/>
      <c r="F69" s="121" t="s">
        <v>60</v>
      </c>
      <c r="G69" s="148" cm="1">
        <f t="array" ref="G69">_xlfn.IFS(F69="","",F69="No interest",0,F69="Nice to have",1,F69="Useful",2,F69="Important",3,F69="Very important",4,F69="Critical",5,F69="Show stopper",6)</f>
        <v>6</v>
      </c>
      <c r="H69" s="149">
        <f t="shared" si="2"/>
        <v>6.756756756756756E-4</v>
      </c>
      <c r="I69" s="150" t="s">
        <v>321</v>
      </c>
      <c r="J69" s="35" t="str" cm="1">
        <f t="array" ref="J69">_xlfn.TEXTJOIN(","&amp;CHAR(10),,TEXT(Table26142567[[#This Row],[12]:[22]],"0,00%"))</f>
        <v>0,00%,
0,00%,
0,00%,
0,00%,
0,00%</v>
      </c>
      <c r="K69" s="26"/>
      <c r="L69" s="27" t="e">
        <f>H69-(H69*((MATCH(Table26142567[[#This Row],[Evaluators Response (SELECT)]],Table26142567[[#This Row],[1]:[11]],0)-1)/(COUNTA(Table26142567[[#This Row],[1]:[11]])-COUNTBLANK(Table26142567[[#This Row],[1]:[11]])-1)))</f>
        <v>#N/A</v>
      </c>
      <c r="M69" s="28"/>
      <c r="N69" s="29" t="str" cm="1">
        <f t="array" ref="N69">IFERROR(INDEX(_xlfn.UNIQUE(TRIM(_xlfn.TEXTSPLIT(Table26142567[[#This Row],[Selection Options]:[Selection Options]],","))),,N$11),"")</f>
        <v>100%: Supported as delivered "out of the box"</v>
      </c>
      <c r="O69" s="29" t="str" cm="1">
        <f t="array" ref="O69">IFERROR(INDEX(_xlfn.UNIQUE(TRIM(_xlfn.TEXTSPLIT(Table26142567[[#This Row],[Selection Options]:[Selection Options]],","))),,O$11),"")</f>
        <v xml:space="preserve">
75%: Supported via modifications (config)</v>
      </c>
      <c r="P69" s="29" t="str" cm="1">
        <f t="array" ref="P69">IFERROR(INDEX(_xlfn.UNIQUE(TRIM(_xlfn.TEXTSPLIT(Table26142567[[#This Row],[Selection Options]:[Selection Options]],","))),,P$11),"")</f>
        <v xml:space="preserve">
50%: Supported via a third party solution</v>
      </c>
      <c r="Q69" s="29" t="str" cm="1">
        <f t="array" ref="Q69">IFERROR(INDEX(_xlfn.UNIQUE(TRIM(_xlfn.TEXTSPLIT(Table26142567[[#This Row],[Selection Options]:[Selection Options]],","))),,Q$11),"")</f>
        <v xml:space="preserve">
25%: Supported via customisation (source code changes)</v>
      </c>
      <c r="R69" s="29" t="str" cm="1">
        <f t="array" ref="R69">IFERROR(INDEX(_xlfn.UNIQUE(TRIM(_xlfn.TEXTSPLIT(Table26142567[[#This Row],[Selection Options]:[Selection Options]],","))),,R$11),"")</f>
        <v xml:space="preserve">
 0%: Not currently supported</v>
      </c>
      <c r="S69" s="29" t="str" cm="1">
        <f t="array" ref="S69">IFERROR(INDEX(_xlfn.UNIQUE(TRIM(_xlfn.TEXTSPLIT(Table26142567[[#This Row],[Selection Options]:[Selection Options]],","))),,S$11),"")</f>
        <v/>
      </c>
      <c r="T69" s="29" t="str" cm="1">
        <f t="array" ref="T69">IFERROR(INDEX(_xlfn.UNIQUE(TRIM(_xlfn.TEXTSPLIT(Table26142567[[#This Row],[Selection Options]:[Selection Options]],","))),,T$11),"")</f>
        <v/>
      </c>
      <c r="U69" s="29" t="str" cm="1">
        <f t="array" ref="U69">IFERROR(INDEX(_xlfn.UNIQUE(TRIM(_xlfn.TEXTSPLIT(Table26142567[[#This Row],[Selection Options]:[Selection Options]],","))),,U$11),"")</f>
        <v/>
      </c>
      <c r="V69" s="29" t="str" cm="1">
        <f t="array" ref="V69">IFERROR(INDEX(_xlfn.UNIQUE(TRIM(_xlfn.TEXTSPLIT(Table26142567[[#This Row],[Selection Options]:[Selection Options]],","))),,V$11),"")</f>
        <v/>
      </c>
      <c r="W69" s="29" t="str" cm="1">
        <f t="array" ref="W69">IFERROR(INDEX(_xlfn.UNIQUE(TRIM(_xlfn.TEXTSPLIT(Table26142567[[#This Row],[Selection Options]:[Selection Options]],","))),,W$11),"")</f>
        <v/>
      </c>
      <c r="X69" s="29" t="str" cm="1">
        <f t="array" ref="X69">IFERROR(INDEX(_xlfn.UNIQUE(TRIM(_xlfn.TEXTSPLIT(Table26142567[[#This Row],[Selection Options]:[Selection Options]],","))),,X$11),"")</f>
        <v/>
      </c>
      <c r="Y69" s="30" cm="1">
        <f t="array" ref="Y69">IF(Table26142567[[#This Row],[1]]="","",Table26142567[[#This Row],[Weight]:[Weight]]-(Table26142567[[#This Row],[Weight]:[Weight]]*((_xlfn.XMATCH(Table26142567[[#This Row],[1]],Table26142567[[#This Row],[1]:[11]],0))-1)/(COUNTA(Table26142567[[#This Row],[1]:[11]])-COUNTBLANK(Table26142567[[#This Row],[1]:[11]])-1)))</f>
        <v>6.756756756756756E-4</v>
      </c>
      <c r="Z69" s="30" cm="1">
        <f t="array" ref="Z69">IF(Table26142567[[#This Row],[2]]="","",Table26142567[[#This Row],[Weight]:[Weight]]-(Table26142567[[#This Row],[Weight]:[Weight]]*((_xlfn.XMATCH(Table26142567[[#This Row],[2]],Table26142567[[#This Row],[1]:[11]],0))-1)/(COUNTA(Table26142567[[#This Row],[1]:[11]])-COUNTBLANK(Table26142567[[#This Row],[1]:[11]])-1)))</f>
        <v>5.0675675675675668E-4</v>
      </c>
      <c r="AA69" s="30" cm="1">
        <f t="array" ref="AA69">IF(Table26142567[[#This Row],[3]]="","",Table26142567[[#This Row],[Weight]:[Weight]]-(Table26142567[[#This Row],[Weight]:[Weight]]*((_xlfn.XMATCH(Table26142567[[#This Row],[3]],Table26142567[[#This Row],[1]:[11]],0))-1)/(COUNTA(Table26142567[[#This Row],[1]:[11]])-COUNTBLANK(Table26142567[[#This Row],[1]:[11]])-1)))</f>
        <v>3.378378378378378E-4</v>
      </c>
      <c r="AB69" s="30" cm="1">
        <f t="array" ref="AB69">IF(Table26142567[[#This Row],[4]]="","",Table26142567[[#This Row],[Weight]:[Weight]]-(Table26142567[[#This Row],[Weight]:[Weight]]*((_xlfn.XMATCH(Table26142567[[#This Row],[4]],Table26142567[[#This Row],[1]:[11]],0))-1)/(COUNTA(Table26142567[[#This Row],[1]:[11]])-COUNTBLANK(Table26142567[[#This Row],[1]:[11]])-1)))</f>
        <v>1.6891891891891893E-4</v>
      </c>
      <c r="AC69" s="30" cm="1">
        <f t="array" ref="AC69">IF(Table26142567[[#This Row],[5]]="","",Table26142567[[#This Row],[Weight]:[Weight]]-(Table26142567[[#This Row],[Weight]:[Weight]]*((_xlfn.XMATCH(Table26142567[[#This Row],[5]],Table26142567[[#This Row],[1]:[11]],0))-1)/(COUNTA(Table26142567[[#This Row],[1]:[11]])-COUNTBLANK(Table26142567[[#This Row],[1]:[11]])-1)))</f>
        <v>0</v>
      </c>
      <c r="AD69" s="30" t="str" cm="1">
        <f t="array" ref="AD69">IF(Table26142567[[#This Row],[6]]="","",Table26142567[[#This Row],[Weight]:[Weight]]-(Table26142567[[#This Row],[Weight]:[Weight]]*((_xlfn.XMATCH(Table26142567[[#This Row],[6]],Table26142567[[#This Row],[1]:[11]],0))-1)/(COUNTA(Table26142567[[#This Row],[1]:[11]])-COUNTBLANK(Table26142567[[#This Row],[1]:[11]])-1)))</f>
        <v/>
      </c>
      <c r="AE69" s="30" t="str" cm="1">
        <f t="array" ref="AE69">IF(Table26142567[[#This Row],[7]]="","",Table26142567[[#This Row],[Weight]:[Weight]]-(Table26142567[[#This Row],[Weight]:[Weight]]*((_xlfn.XMATCH(Table26142567[[#This Row],[7]],Table26142567[[#This Row],[1]:[11]],0))-1)/(COUNTA(Table26142567[[#This Row],[1]:[11]])-COUNTBLANK(Table26142567[[#This Row],[1]:[11]])-1)))</f>
        <v/>
      </c>
      <c r="AF69" s="30" t="str" cm="1">
        <f t="array" ref="AF69">IF(Table26142567[[#This Row],[8]]="","",Table26142567[[#This Row],[Weight]:[Weight]]-(Table26142567[[#This Row],[Weight]:[Weight]]*((_xlfn.XMATCH(Table26142567[[#This Row],[8]],Table26142567[[#This Row],[1]:[11]],0))-1)/(COUNTA(Table26142567[[#This Row],[1]:[11]])-COUNTBLANK(Table26142567[[#This Row],[1]:[11]])-1)))</f>
        <v/>
      </c>
      <c r="AG69" s="30" t="str" cm="1">
        <f t="array" ref="AG69">IF(Table26142567[[#This Row],[9]]="","",Table26142567[[#This Row],[Weight]:[Weight]]-(Table26142567[[#This Row],[Weight]:[Weight]]*((_xlfn.XMATCH(Table26142567[[#This Row],[9]],Table26142567[[#This Row],[1]:[11]],0))-1)/(COUNTA(Table26142567[[#This Row],[1]:[11]])-COUNTBLANK(Table26142567[[#This Row],[1]:[11]])-1)))</f>
        <v/>
      </c>
      <c r="AH69" s="30" t="str" cm="1">
        <f t="array" ref="AH69">IF(Table26142567[[#This Row],[10]]="","",Table26142567[[#This Row],[Weight]:[Weight]]-(Table26142567[[#This Row],[Weight]:[Weight]]*((_xlfn.XMATCH(Table26142567[[#This Row],[10]],Table26142567[[#This Row],[1]:[11]],0))-1)/(COUNTA(Table26142567[[#This Row],[1]:[11]])-COUNTBLANK(Table26142567[[#This Row],[1]:[11]])-1)))</f>
        <v/>
      </c>
      <c r="AI69" s="30" t="str" cm="1">
        <f t="array" ref="AI69">IF(Table26142567[[#This Row],[11]]="","",Table26142567[[#This Row],[Weight]:[Weight]]-(Table26142567[[#This Row],[Weight]:[Weight]]*((_xlfn.XMATCH(Table26142567[[#This Row],[11]],Table26142567[[#This Row],[1]:[11]],0))-1)/(COUNTA(Table26142567[[#This Row],[1]:[11]])-COUNTBLANK(Table26142567[[#This Row],[1]:[11]])-1)))</f>
        <v/>
      </c>
    </row>
    <row r="70" spans="1:35" ht="168" x14ac:dyDescent="0.2">
      <c r="A70" s="20">
        <v>58</v>
      </c>
      <c r="B70" s="90" t="s">
        <v>448</v>
      </c>
      <c r="C70" s="119" t="s">
        <v>215</v>
      </c>
      <c r="D70" s="153"/>
      <c r="E70" s="153"/>
      <c r="F70" s="121" t="s">
        <v>60</v>
      </c>
      <c r="G70" s="148" cm="1">
        <f t="array" ref="G70">_xlfn.IFS(F70="","",F70="No interest",0,F70="Nice to have",1,F70="Useful",2,F70="Important",3,F70="Very important",4,F70="Critical",5,F70="Show stopper",6)</f>
        <v>6</v>
      </c>
      <c r="H70" s="149">
        <f t="shared" si="2"/>
        <v>6.756756756756756E-4</v>
      </c>
      <c r="I70" s="150" t="s">
        <v>321</v>
      </c>
      <c r="J70" s="35" t="str" cm="1">
        <f t="array" ref="J70">_xlfn.TEXTJOIN(","&amp;CHAR(10),,TEXT(Table26142567[[#This Row],[12]:[22]],"0,00%"))</f>
        <v>0,00%,
0,00%,
0,00%,
0,00%,
0,00%</v>
      </c>
      <c r="K70" s="26"/>
      <c r="L70" s="27" t="e">
        <f>H70-(H70*((MATCH(Table26142567[[#This Row],[Evaluators Response (SELECT)]],Table26142567[[#This Row],[1]:[11]],0)-1)/(COUNTA(Table26142567[[#This Row],[1]:[11]])-COUNTBLANK(Table26142567[[#This Row],[1]:[11]])-1)))</f>
        <v>#N/A</v>
      </c>
      <c r="M70" s="28"/>
      <c r="N70" s="29" t="str" cm="1">
        <f t="array" ref="N70">IFERROR(INDEX(_xlfn.UNIQUE(TRIM(_xlfn.TEXTSPLIT(Table26142567[[#This Row],[Selection Options]:[Selection Options]],","))),,N$11),"")</f>
        <v>100%: Supported as delivered "out of the box"</v>
      </c>
      <c r="O70" s="29" t="str" cm="1">
        <f t="array" ref="O70">IFERROR(INDEX(_xlfn.UNIQUE(TRIM(_xlfn.TEXTSPLIT(Table26142567[[#This Row],[Selection Options]:[Selection Options]],","))),,O$11),"")</f>
        <v xml:space="preserve">
75%: Supported via modifications (config)</v>
      </c>
      <c r="P70" s="29" t="str" cm="1">
        <f t="array" ref="P70">IFERROR(INDEX(_xlfn.UNIQUE(TRIM(_xlfn.TEXTSPLIT(Table26142567[[#This Row],[Selection Options]:[Selection Options]],","))),,P$11),"")</f>
        <v xml:space="preserve">
50%: Supported via a third party solution</v>
      </c>
      <c r="Q70" s="29" t="str" cm="1">
        <f t="array" ref="Q70">IFERROR(INDEX(_xlfn.UNIQUE(TRIM(_xlfn.TEXTSPLIT(Table26142567[[#This Row],[Selection Options]:[Selection Options]],","))),,Q$11),"")</f>
        <v xml:space="preserve">
25%: Supported via customisation (source code changes)</v>
      </c>
      <c r="R70" s="29" t="str" cm="1">
        <f t="array" ref="R70">IFERROR(INDEX(_xlfn.UNIQUE(TRIM(_xlfn.TEXTSPLIT(Table26142567[[#This Row],[Selection Options]:[Selection Options]],","))),,R$11),"")</f>
        <v xml:space="preserve">
 0%: Not currently supported</v>
      </c>
      <c r="S70" s="29" t="str" cm="1">
        <f t="array" ref="S70">IFERROR(INDEX(_xlfn.UNIQUE(TRIM(_xlfn.TEXTSPLIT(Table26142567[[#This Row],[Selection Options]:[Selection Options]],","))),,S$11),"")</f>
        <v/>
      </c>
      <c r="T70" s="29" t="str" cm="1">
        <f t="array" ref="T70">IFERROR(INDEX(_xlfn.UNIQUE(TRIM(_xlfn.TEXTSPLIT(Table26142567[[#This Row],[Selection Options]:[Selection Options]],","))),,T$11),"")</f>
        <v/>
      </c>
      <c r="U70" s="29" t="str" cm="1">
        <f t="array" ref="U70">IFERROR(INDEX(_xlfn.UNIQUE(TRIM(_xlfn.TEXTSPLIT(Table26142567[[#This Row],[Selection Options]:[Selection Options]],","))),,U$11),"")</f>
        <v/>
      </c>
      <c r="V70" s="29" t="str" cm="1">
        <f t="array" ref="V70">IFERROR(INDEX(_xlfn.UNIQUE(TRIM(_xlfn.TEXTSPLIT(Table26142567[[#This Row],[Selection Options]:[Selection Options]],","))),,V$11),"")</f>
        <v/>
      </c>
      <c r="W70" s="29" t="str" cm="1">
        <f t="array" ref="W70">IFERROR(INDEX(_xlfn.UNIQUE(TRIM(_xlfn.TEXTSPLIT(Table26142567[[#This Row],[Selection Options]:[Selection Options]],","))),,W$11),"")</f>
        <v/>
      </c>
      <c r="X70" s="29" t="str" cm="1">
        <f t="array" ref="X70">IFERROR(INDEX(_xlfn.UNIQUE(TRIM(_xlfn.TEXTSPLIT(Table26142567[[#This Row],[Selection Options]:[Selection Options]],","))),,X$11),"")</f>
        <v/>
      </c>
      <c r="Y70" s="30" cm="1">
        <f t="array" ref="Y70">IF(Table26142567[[#This Row],[1]]="","",Table26142567[[#This Row],[Weight]:[Weight]]-(Table26142567[[#This Row],[Weight]:[Weight]]*((_xlfn.XMATCH(Table26142567[[#This Row],[1]],Table26142567[[#This Row],[1]:[11]],0))-1)/(COUNTA(Table26142567[[#This Row],[1]:[11]])-COUNTBLANK(Table26142567[[#This Row],[1]:[11]])-1)))</f>
        <v>6.756756756756756E-4</v>
      </c>
      <c r="Z70" s="30" cm="1">
        <f t="array" ref="Z70">IF(Table26142567[[#This Row],[2]]="","",Table26142567[[#This Row],[Weight]:[Weight]]-(Table26142567[[#This Row],[Weight]:[Weight]]*((_xlfn.XMATCH(Table26142567[[#This Row],[2]],Table26142567[[#This Row],[1]:[11]],0))-1)/(COUNTA(Table26142567[[#This Row],[1]:[11]])-COUNTBLANK(Table26142567[[#This Row],[1]:[11]])-1)))</f>
        <v>5.0675675675675668E-4</v>
      </c>
      <c r="AA70" s="30" cm="1">
        <f t="array" ref="AA70">IF(Table26142567[[#This Row],[3]]="","",Table26142567[[#This Row],[Weight]:[Weight]]-(Table26142567[[#This Row],[Weight]:[Weight]]*((_xlfn.XMATCH(Table26142567[[#This Row],[3]],Table26142567[[#This Row],[1]:[11]],0))-1)/(COUNTA(Table26142567[[#This Row],[1]:[11]])-COUNTBLANK(Table26142567[[#This Row],[1]:[11]])-1)))</f>
        <v>3.378378378378378E-4</v>
      </c>
      <c r="AB70" s="30" cm="1">
        <f t="array" ref="AB70">IF(Table26142567[[#This Row],[4]]="","",Table26142567[[#This Row],[Weight]:[Weight]]-(Table26142567[[#This Row],[Weight]:[Weight]]*((_xlfn.XMATCH(Table26142567[[#This Row],[4]],Table26142567[[#This Row],[1]:[11]],0))-1)/(COUNTA(Table26142567[[#This Row],[1]:[11]])-COUNTBLANK(Table26142567[[#This Row],[1]:[11]])-1)))</f>
        <v>1.6891891891891893E-4</v>
      </c>
      <c r="AC70" s="30" cm="1">
        <f t="array" ref="AC70">IF(Table26142567[[#This Row],[5]]="","",Table26142567[[#This Row],[Weight]:[Weight]]-(Table26142567[[#This Row],[Weight]:[Weight]]*((_xlfn.XMATCH(Table26142567[[#This Row],[5]],Table26142567[[#This Row],[1]:[11]],0))-1)/(COUNTA(Table26142567[[#This Row],[1]:[11]])-COUNTBLANK(Table26142567[[#This Row],[1]:[11]])-1)))</f>
        <v>0</v>
      </c>
      <c r="AD70" s="30" t="str" cm="1">
        <f t="array" ref="AD70">IF(Table26142567[[#This Row],[6]]="","",Table26142567[[#This Row],[Weight]:[Weight]]-(Table26142567[[#This Row],[Weight]:[Weight]]*((_xlfn.XMATCH(Table26142567[[#This Row],[6]],Table26142567[[#This Row],[1]:[11]],0))-1)/(COUNTA(Table26142567[[#This Row],[1]:[11]])-COUNTBLANK(Table26142567[[#This Row],[1]:[11]])-1)))</f>
        <v/>
      </c>
      <c r="AE70" s="30" t="str" cm="1">
        <f t="array" ref="AE70">IF(Table26142567[[#This Row],[7]]="","",Table26142567[[#This Row],[Weight]:[Weight]]-(Table26142567[[#This Row],[Weight]:[Weight]]*((_xlfn.XMATCH(Table26142567[[#This Row],[7]],Table26142567[[#This Row],[1]:[11]],0))-1)/(COUNTA(Table26142567[[#This Row],[1]:[11]])-COUNTBLANK(Table26142567[[#This Row],[1]:[11]])-1)))</f>
        <v/>
      </c>
      <c r="AF70" s="30" t="str" cm="1">
        <f t="array" ref="AF70">IF(Table26142567[[#This Row],[8]]="","",Table26142567[[#This Row],[Weight]:[Weight]]-(Table26142567[[#This Row],[Weight]:[Weight]]*((_xlfn.XMATCH(Table26142567[[#This Row],[8]],Table26142567[[#This Row],[1]:[11]],0))-1)/(COUNTA(Table26142567[[#This Row],[1]:[11]])-COUNTBLANK(Table26142567[[#This Row],[1]:[11]])-1)))</f>
        <v/>
      </c>
      <c r="AG70" s="30" t="str" cm="1">
        <f t="array" ref="AG70">IF(Table26142567[[#This Row],[9]]="","",Table26142567[[#This Row],[Weight]:[Weight]]-(Table26142567[[#This Row],[Weight]:[Weight]]*((_xlfn.XMATCH(Table26142567[[#This Row],[9]],Table26142567[[#This Row],[1]:[11]],0))-1)/(COUNTA(Table26142567[[#This Row],[1]:[11]])-COUNTBLANK(Table26142567[[#This Row],[1]:[11]])-1)))</f>
        <v/>
      </c>
      <c r="AH70" s="30" t="str" cm="1">
        <f t="array" ref="AH70">IF(Table26142567[[#This Row],[10]]="","",Table26142567[[#This Row],[Weight]:[Weight]]-(Table26142567[[#This Row],[Weight]:[Weight]]*((_xlfn.XMATCH(Table26142567[[#This Row],[10]],Table26142567[[#This Row],[1]:[11]],0))-1)/(COUNTA(Table26142567[[#This Row],[1]:[11]])-COUNTBLANK(Table26142567[[#This Row],[1]:[11]])-1)))</f>
        <v/>
      </c>
      <c r="AI70" s="30" t="str" cm="1">
        <f t="array" ref="AI70">IF(Table26142567[[#This Row],[11]]="","",Table26142567[[#This Row],[Weight]:[Weight]]-(Table26142567[[#This Row],[Weight]:[Weight]]*((_xlfn.XMATCH(Table26142567[[#This Row],[11]],Table26142567[[#This Row],[1]:[11]],0))-1)/(COUNTA(Table26142567[[#This Row],[1]:[11]])-COUNTBLANK(Table26142567[[#This Row],[1]:[11]])-1)))</f>
        <v/>
      </c>
    </row>
  </sheetData>
  <sheetProtection insertRows="0" insertHyperlinks="0" deleteRows="0" autoFilter="0"/>
  <mergeCells count="4">
    <mergeCell ref="E2:F3"/>
    <mergeCell ref="A10:A11"/>
    <mergeCell ref="B10:C11"/>
    <mergeCell ref="D10:E11"/>
  </mergeCells>
  <conditionalFormatting sqref="K13:K70">
    <cfRule type="expression" dxfId="409" priority="1">
      <formula>COUNTIF(N13:X13,K13)&lt;&gt;1</formula>
    </cfRule>
  </conditionalFormatting>
  <dataValidations count="4">
    <dataValidation type="list" allowBlank="1" showInputMessage="1" showErrorMessage="1" sqref="M14" xr:uid="{C05D2BF4-6E3D-49E8-B7FC-144DDB206994}">
      <formula1>_xlfn.UNIQUE(TRIM(_xlfn.TEXTSPLIT(#REF!,",")))</formula1>
    </dataValidation>
    <dataValidation type="list" allowBlank="1" showInputMessage="1" showErrorMessage="1" sqref="F13:F70" xr:uid="{E58FB674-3A4A-4078-B250-CB651F3AE15C}">
      <formula1>"No interest,Nice to have,Useful,Important,Very important,Critical,Show stopper"</formula1>
    </dataValidation>
    <dataValidation type="list" allowBlank="1" showInputMessage="1" showErrorMessage="1" sqref="H13:H70" xr:uid="{DF505A1C-252A-47C6-BE1D-6FFC03EE5997}">
      <formula1>N13:R13</formula1>
    </dataValidation>
    <dataValidation type="list" allowBlank="1" showInputMessage="1" showErrorMessage="1" sqref="K13:K70" xr:uid="{72FBA64F-8C9D-4FE7-8640-DBDAE04D139A}">
      <formula1>$N13:$X13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D0346-1D8A-46D5-BE99-4DF6705C7BBC}">
  <sheetPr>
    <tabColor rgb="FF92D050"/>
    <pageSetUpPr fitToPage="1"/>
  </sheetPr>
  <dimension ref="A2:AI54"/>
  <sheetViews>
    <sheetView zoomScale="67" zoomScaleNormal="67" workbookViewId="0">
      <selection activeCell="D16" sqref="D1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30.285156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Summary'!C19</f>
        <v>2.5000000000000001E-2</v>
      </c>
      <c r="G11" s="43">
        <f>SUM(Table261425678[Priority])</f>
        <v>234</v>
      </c>
      <c r="H11" s="8">
        <f>SUM(Table261425678[Weight])</f>
        <v>2.5000000000000012E-2</v>
      </c>
      <c r="I11" s="7"/>
      <c r="J11" s="7"/>
      <c r="K11" s="9" t="s">
        <v>17</v>
      </c>
      <c r="L11" s="8" t="e">
        <f>SUM(Table261425678[Score])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08" x14ac:dyDescent="0.2">
      <c r="A13" s="20">
        <v>1</v>
      </c>
      <c r="B13" s="90" t="s">
        <v>449</v>
      </c>
      <c r="C13" s="119" t="s">
        <v>215</v>
      </c>
      <c r="D13" s="90"/>
      <c r="E13" s="90" t="s">
        <v>55</v>
      </c>
      <c r="F13" s="120" t="s">
        <v>60</v>
      </c>
      <c r="G13" s="148" cm="1">
        <f t="array" ref="G13">_xlfn.IFS(F13="","",F13="No interest",0,F13="Nice to have",1,F13="Useful",2,F13="Important",3,F13="Very important",4,F13="Critical",5,F13="Show stopper",6)</f>
        <v>6</v>
      </c>
      <c r="H13" s="149">
        <f t="shared" ref="H13:H16" si="0">(G13/$G$11)*$F$11</f>
        <v>6.4102564102564103E-4</v>
      </c>
      <c r="I13" s="150" t="s">
        <v>321</v>
      </c>
      <c r="J13" s="25" t="str" cm="1">
        <f t="array" ref="J13">_xlfn.TEXTJOIN(","&amp;CHAR(10),,TEXT(Table261425678[[#This Row],[12]:[22]],"0,00%"))</f>
        <v>0,00%,
0,00%,
0,00%,
0,00%,
0,00%</v>
      </c>
      <c r="K13" s="26"/>
      <c r="L13" s="27" t="e">
        <f>H13-(H13*((MATCH(Table261425678[[#This Row],[Evaluators Response (SELECT)]],Table261425678[[#This Row],[1]:[11]],0)-1)/(COUNTA(Table261425678[[#This Row],[1]:[11]])-COUNTBLANK(Table261425678[[#This Row],[1]:[11]])-1)))</f>
        <v>#N/A</v>
      </c>
      <c r="M13" s="28"/>
      <c r="N13" s="29" t="str" cm="1">
        <f t="array" ref="N13">IFERROR(INDEX(_xlfn.UNIQUE(TRIM(_xlfn.TEXTSPLIT(Table261425678[[#This Row],[Selection Options]:[Selection Options]],","))),,N$11),"")</f>
        <v>100%: Supported as delivered "out of the box"</v>
      </c>
      <c r="O13" s="29" t="str" cm="1">
        <f t="array" ref="O13">IFERROR(INDEX(_xlfn.UNIQUE(TRIM(_xlfn.TEXTSPLIT(Table261425678[[#This Row],[Selection Options]:[Selection Options]],","))),,O$11),"")</f>
        <v xml:space="preserve">
75%: Supported via modifications (config)</v>
      </c>
      <c r="P13" s="29" t="str" cm="1">
        <f t="array" ref="P13">IFERROR(INDEX(_xlfn.UNIQUE(TRIM(_xlfn.TEXTSPLIT(Table261425678[[#This Row],[Selection Options]:[Selection Options]],","))),,P$11),"")</f>
        <v xml:space="preserve">
50%: Supported via a third party solution</v>
      </c>
      <c r="Q13" s="29" t="str" cm="1">
        <f t="array" ref="Q13">IFERROR(INDEX(_xlfn.UNIQUE(TRIM(_xlfn.TEXTSPLIT(Table261425678[[#This Row],[Selection Options]:[Selection Options]],","))),,Q$11),"")</f>
        <v xml:space="preserve">
25%: Supported via customisation (source code changes)</v>
      </c>
      <c r="R13" s="29" t="str" cm="1">
        <f t="array" ref="R13">IFERROR(INDEX(_xlfn.UNIQUE(TRIM(_xlfn.TEXTSPLIT(Table261425678[[#This Row],[Selection Options]:[Selection Options]],","))),,R$11),"")</f>
        <v xml:space="preserve">
 0%: Not currently supported</v>
      </c>
      <c r="S13" s="29" t="str" cm="1">
        <f t="array" ref="S13">IFERROR(INDEX(_xlfn.UNIQUE(TRIM(_xlfn.TEXTSPLIT(Table261425678[[#This Row],[Selection Options]:[Selection Options]],","))),,S$11),"")</f>
        <v/>
      </c>
      <c r="T13" s="29" t="str" cm="1">
        <f t="array" ref="T13">IFERROR(INDEX(_xlfn.UNIQUE(TRIM(_xlfn.TEXTSPLIT(Table261425678[[#This Row],[Selection Options]:[Selection Options]],","))),,T$11),"")</f>
        <v/>
      </c>
      <c r="U13" s="29" t="str" cm="1">
        <f t="array" ref="U13">IFERROR(INDEX(_xlfn.UNIQUE(TRIM(_xlfn.TEXTSPLIT(Table261425678[[#This Row],[Selection Options]:[Selection Options]],","))),,U$11),"")</f>
        <v/>
      </c>
      <c r="V13" s="29" t="str" cm="1">
        <f t="array" ref="V13">IFERROR(INDEX(_xlfn.UNIQUE(TRIM(_xlfn.TEXTSPLIT(Table261425678[[#This Row],[Selection Options]:[Selection Options]],","))),,V$11),"")</f>
        <v/>
      </c>
      <c r="W13" s="29" t="str" cm="1">
        <f t="array" ref="W13">IFERROR(INDEX(_xlfn.UNIQUE(TRIM(_xlfn.TEXTSPLIT(Table261425678[[#This Row],[Selection Options]:[Selection Options]],","))),,W$11),"")</f>
        <v/>
      </c>
      <c r="X13" s="29" t="str" cm="1">
        <f t="array" ref="X13">IFERROR(INDEX(_xlfn.UNIQUE(TRIM(_xlfn.TEXTSPLIT(Table261425678[[#This Row],[Selection Options]:[Selection Options]],","))),,X$11),"")</f>
        <v/>
      </c>
      <c r="Y13" s="30" cm="1">
        <f t="array" ref="Y13">IF(Table261425678[[#This Row],[1]]="","",Table261425678[[#This Row],[Weight]:[Weight]]-(Table261425678[[#This Row],[Weight]:[Weight]]*((_xlfn.XMATCH(Table261425678[[#This Row],[1]],Table261425678[[#This Row],[1]:[11]],0))-1)/(COUNTA(Table261425678[[#This Row],[1]:[11]])-COUNTBLANK(Table261425678[[#This Row],[1]:[11]])-1)))</f>
        <v>6.4102564102564103E-4</v>
      </c>
      <c r="Z13" s="30" cm="1">
        <f t="array" ref="Z13">IF(Table261425678[[#This Row],[2]]="","",Table261425678[[#This Row],[Weight]:[Weight]]-(Table261425678[[#This Row],[Weight]:[Weight]]*((_xlfn.XMATCH(Table261425678[[#This Row],[2]],Table261425678[[#This Row],[1]:[11]],0))-1)/(COUNTA(Table261425678[[#This Row],[1]:[11]])-COUNTBLANK(Table261425678[[#This Row],[1]:[11]])-1)))</f>
        <v>4.807692307692308E-4</v>
      </c>
      <c r="AA13" s="30" cm="1">
        <f t="array" ref="AA13">IF(Table261425678[[#This Row],[3]]="","",Table261425678[[#This Row],[Weight]:[Weight]]-(Table261425678[[#This Row],[Weight]:[Weight]]*((_xlfn.XMATCH(Table261425678[[#This Row],[3]],Table261425678[[#This Row],[1]:[11]],0))-1)/(COUNTA(Table261425678[[#This Row],[1]:[11]])-COUNTBLANK(Table261425678[[#This Row],[1]:[11]])-1)))</f>
        <v>3.2051282051282051E-4</v>
      </c>
      <c r="AB13" s="30" cm="1">
        <f t="array" ref="AB13">IF(Table261425678[[#This Row],[4]]="","",Table261425678[[#This Row],[Weight]:[Weight]]-(Table261425678[[#This Row],[Weight]:[Weight]]*((_xlfn.XMATCH(Table261425678[[#This Row],[4]],Table261425678[[#This Row],[1]:[11]],0))-1)/(COUNTA(Table261425678[[#This Row],[1]:[11]])-COUNTBLANK(Table261425678[[#This Row],[1]:[11]])-1)))</f>
        <v>1.6025641025641023E-4</v>
      </c>
      <c r="AC13" s="30" cm="1">
        <f t="array" ref="AC13">IF(Table261425678[[#This Row],[5]]="","",Table261425678[[#This Row],[Weight]:[Weight]]-(Table261425678[[#This Row],[Weight]:[Weight]]*((_xlfn.XMATCH(Table261425678[[#This Row],[5]],Table261425678[[#This Row],[1]:[11]],0))-1)/(COUNTA(Table261425678[[#This Row],[1]:[11]])-COUNTBLANK(Table261425678[[#This Row],[1]:[11]])-1)))</f>
        <v>0</v>
      </c>
      <c r="AD13" s="30" t="str" cm="1">
        <f t="array" ref="AD13">IF(Table261425678[[#This Row],[6]]="","",Table261425678[[#This Row],[Weight]:[Weight]]-(Table261425678[[#This Row],[Weight]:[Weight]]*((_xlfn.XMATCH(Table261425678[[#This Row],[6]],Table261425678[[#This Row],[1]:[11]],0))-1)/(COUNTA(Table261425678[[#This Row],[1]:[11]])-COUNTBLANK(Table261425678[[#This Row],[1]:[11]])-1)))</f>
        <v/>
      </c>
      <c r="AE13" s="30" t="str" cm="1">
        <f t="array" ref="AE13">IF(Table261425678[[#This Row],[7]]="","",Table261425678[[#This Row],[Weight]:[Weight]]-(Table261425678[[#This Row],[Weight]:[Weight]]*((_xlfn.XMATCH(Table261425678[[#This Row],[7]],Table261425678[[#This Row],[1]:[11]],0))-1)/(COUNTA(Table261425678[[#This Row],[1]:[11]])-COUNTBLANK(Table261425678[[#This Row],[1]:[11]])-1)))</f>
        <v/>
      </c>
      <c r="AF13" s="30" t="str" cm="1">
        <f t="array" ref="AF13">IF(Table261425678[[#This Row],[8]]="","",Table261425678[[#This Row],[Weight]:[Weight]]-(Table261425678[[#This Row],[Weight]:[Weight]]*((_xlfn.XMATCH(Table261425678[[#This Row],[8]],Table261425678[[#This Row],[1]:[11]],0))-1)/(COUNTA(Table261425678[[#This Row],[1]:[11]])-COUNTBLANK(Table261425678[[#This Row],[1]:[11]])-1)))</f>
        <v/>
      </c>
      <c r="AG13" s="30" t="str" cm="1">
        <f t="array" ref="AG13">IF(Table261425678[[#This Row],[9]]="","",Table261425678[[#This Row],[Weight]:[Weight]]-(Table261425678[[#This Row],[Weight]:[Weight]]*((_xlfn.XMATCH(Table261425678[[#This Row],[9]],Table261425678[[#This Row],[1]:[11]],0))-1)/(COUNTA(Table261425678[[#This Row],[1]:[11]])-COUNTBLANK(Table261425678[[#This Row],[1]:[11]])-1)))</f>
        <v/>
      </c>
      <c r="AH13" s="30" t="str" cm="1">
        <f t="array" ref="AH13">IF(Table261425678[[#This Row],[10]]="","",Table261425678[[#This Row],[Weight]:[Weight]]-(Table261425678[[#This Row],[Weight]:[Weight]]*((_xlfn.XMATCH(Table261425678[[#This Row],[10]],Table261425678[[#This Row],[1]:[11]],0))-1)/(COUNTA(Table261425678[[#This Row],[1]:[11]])-COUNTBLANK(Table261425678[[#This Row],[1]:[11]])-1)))</f>
        <v/>
      </c>
      <c r="AI13" s="30" t="str" cm="1">
        <f t="array" ref="AI13">IF(Table261425678[[#This Row],[11]]="","",Table261425678[[#This Row],[Weight]:[Weight]]-(Table261425678[[#This Row],[Weight]:[Weight]]*((_xlfn.XMATCH(Table261425678[[#This Row],[11]],Table261425678[[#This Row],[1]:[11]],0))-1)/(COUNTA(Table261425678[[#This Row],[1]:[11]])-COUNTBLANK(Table261425678[[#This Row],[1]:[11]])-1)))</f>
        <v/>
      </c>
    </row>
    <row r="14" spans="1:35" ht="108" x14ac:dyDescent="0.2">
      <c r="A14" s="20">
        <v>2</v>
      </c>
      <c r="B14" s="90" t="s">
        <v>450</v>
      </c>
      <c r="C14" s="119" t="s">
        <v>215</v>
      </c>
      <c r="D14" s="146"/>
      <c r="E14" s="146"/>
      <c r="F14" s="120" t="s">
        <v>60</v>
      </c>
      <c r="G14" s="148" cm="1">
        <f t="array" ref="G14">_xlfn.IFS(F14="","",F14="No interest",0,F14="Nice to have",1,F14="Useful",2,F14="Important",3,F14="Very important",4,F14="Critical",5,F14="Show stopper",6)</f>
        <v>6</v>
      </c>
      <c r="H14" s="149">
        <f t="shared" si="0"/>
        <v>6.4102564102564103E-4</v>
      </c>
      <c r="I14" s="150" t="s">
        <v>321</v>
      </c>
      <c r="J14" s="25" t="str" cm="1">
        <f t="array" ref="J14">_xlfn.TEXTJOIN(","&amp;CHAR(10),,TEXT(Table261425678[[#This Row],[12]:[22]],"0,00%"))</f>
        <v>0,00%,
0,00%,
0,00%,
0,00%,
0,00%</v>
      </c>
      <c r="K14" s="26"/>
      <c r="L14" s="27" t="e">
        <f>H14-(H14*((MATCH(Table261425678[[#This Row],[Evaluators Response (SELECT)]],Table261425678[[#This Row],[1]:[11]],0)-1)/(COUNTA(Table261425678[[#This Row],[1]:[11]])-COUNTBLANK(Table261425678[[#This Row],[1]:[11]])-1)))</f>
        <v>#N/A</v>
      </c>
      <c r="M14" s="28"/>
      <c r="N14" s="29" t="str" cm="1">
        <f t="array" ref="N14">IFERROR(INDEX(_xlfn.UNIQUE(TRIM(_xlfn.TEXTSPLIT(Table261425678[[#This Row],[Selection Options]:[Selection Options]],","))),,N$11),"")</f>
        <v>100%: Supported as delivered "out of the box"</v>
      </c>
      <c r="O14" s="29" t="str" cm="1">
        <f t="array" ref="O14">IFERROR(INDEX(_xlfn.UNIQUE(TRIM(_xlfn.TEXTSPLIT(Table261425678[[#This Row],[Selection Options]:[Selection Options]],","))),,O$11),"")</f>
        <v xml:space="preserve">
75%: Supported via modifications (config)</v>
      </c>
      <c r="P14" s="29" t="str" cm="1">
        <f t="array" ref="P14">IFERROR(INDEX(_xlfn.UNIQUE(TRIM(_xlfn.TEXTSPLIT(Table261425678[[#This Row],[Selection Options]:[Selection Options]],","))),,P$11),"")</f>
        <v xml:space="preserve">
50%: Supported via a third party solution</v>
      </c>
      <c r="Q14" s="29" t="str" cm="1">
        <f t="array" ref="Q14">IFERROR(INDEX(_xlfn.UNIQUE(TRIM(_xlfn.TEXTSPLIT(Table261425678[[#This Row],[Selection Options]:[Selection Options]],","))),,Q$11),"")</f>
        <v xml:space="preserve">
25%: Supported via customisation (source code changes)</v>
      </c>
      <c r="R14" s="29" t="str" cm="1">
        <f t="array" ref="R14">IFERROR(INDEX(_xlfn.UNIQUE(TRIM(_xlfn.TEXTSPLIT(Table261425678[[#This Row],[Selection Options]:[Selection Options]],","))),,R$11),"")</f>
        <v xml:space="preserve">
 0%: Not currently supported</v>
      </c>
      <c r="S14" s="29" t="str" cm="1">
        <f t="array" ref="S14">IFERROR(INDEX(_xlfn.UNIQUE(TRIM(_xlfn.TEXTSPLIT(Table261425678[[#This Row],[Selection Options]:[Selection Options]],","))),,S$11),"")</f>
        <v/>
      </c>
      <c r="T14" s="29" t="str" cm="1">
        <f t="array" ref="T14">IFERROR(INDEX(_xlfn.UNIQUE(TRIM(_xlfn.TEXTSPLIT(Table261425678[[#This Row],[Selection Options]:[Selection Options]],","))),,T$11),"")</f>
        <v/>
      </c>
      <c r="U14" s="29" t="str" cm="1">
        <f t="array" ref="U14">IFERROR(INDEX(_xlfn.UNIQUE(TRIM(_xlfn.TEXTSPLIT(Table261425678[[#This Row],[Selection Options]:[Selection Options]],","))),,U$11),"")</f>
        <v/>
      </c>
      <c r="V14" s="29" t="str" cm="1">
        <f t="array" ref="V14">IFERROR(INDEX(_xlfn.UNIQUE(TRIM(_xlfn.TEXTSPLIT(Table261425678[[#This Row],[Selection Options]:[Selection Options]],","))),,V$11),"")</f>
        <v/>
      </c>
      <c r="W14" s="29" t="str" cm="1">
        <f t="array" ref="W14">IFERROR(INDEX(_xlfn.UNIQUE(TRIM(_xlfn.TEXTSPLIT(Table261425678[[#This Row],[Selection Options]:[Selection Options]],","))),,W$11),"")</f>
        <v/>
      </c>
      <c r="X14" s="29" t="str" cm="1">
        <f t="array" ref="X14">IFERROR(INDEX(_xlfn.UNIQUE(TRIM(_xlfn.TEXTSPLIT(Table261425678[[#This Row],[Selection Options]:[Selection Options]],","))),,X$11),"")</f>
        <v/>
      </c>
      <c r="Y14" s="30" cm="1">
        <f t="array" ref="Y14">IF(Table261425678[[#This Row],[1]]="","",Table261425678[[#This Row],[Weight]:[Weight]]-(Table261425678[[#This Row],[Weight]:[Weight]]*((_xlfn.XMATCH(Table261425678[[#This Row],[1]],Table261425678[[#This Row],[1]:[11]],0))-1)/(COUNTA(Table261425678[[#This Row],[1]:[11]])-COUNTBLANK(Table261425678[[#This Row],[1]:[11]])-1)))</f>
        <v>6.4102564102564103E-4</v>
      </c>
      <c r="Z14" s="30" cm="1">
        <f t="array" ref="Z14">IF(Table261425678[[#This Row],[2]]="","",Table261425678[[#This Row],[Weight]:[Weight]]-(Table261425678[[#This Row],[Weight]:[Weight]]*((_xlfn.XMATCH(Table261425678[[#This Row],[2]],Table261425678[[#This Row],[1]:[11]],0))-1)/(COUNTA(Table261425678[[#This Row],[1]:[11]])-COUNTBLANK(Table261425678[[#This Row],[1]:[11]])-1)))</f>
        <v>4.807692307692308E-4</v>
      </c>
      <c r="AA14" s="30" cm="1">
        <f t="array" ref="AA14">IF(Table261425678[[#This Row],[3]]="","",Table261425678[[#This Row],[Weight]:[Weight]]-(Table261425678[[#This Row],[Weight]:[Weight]]*((_xlfn.XMATCH(Table261425678[[#This Row],[3]],Table261425678[[#This Row],[1]:[11]],0))-1)/(COUNTA(Table261425678[[#This Row],[1]:[11]])-COUNTBLANK(Table261425678[[#This Row],[1]:[11]])-1)))</f>
        <v>3.2051282051282051E-4</v>
      </c>
      <c r="AB14" s="30" cm="1">
        <f t="array" ref="AB14">IF(Table261425678[[#This Row],[4]]="","",Table261425678[[#This Row],[Weight]:[Weight]]-(Table261425678[[#This Row],[Weight]:[Weight]]*((_xlfn.XMATCH(Table261425678[[#This Row],[4]],Table261425678[[#This Row],[1]:[11]],0))-1)/(COUNTA(Table261425678[[#This Row],[1]:[11]])-COUNTBLANK(Table261425678[[#This Row],[1]:[11]])-1)))</f>
        <v>1.6025641025641023E-4</v>
      </c>
      <c r="AC14" s="30" cm="1">
        <f t="array" ref="AC14">IF(Table261425678[[#This Row],[5]]="","",Table261425678[[#This Row],[Weight]:[Weight]]-(Table261425678[[#This Row],[Weight]:[Weight]]*((_xlfn.XMATCH(Table261425678[[#This Row],[5]],Table261425678[[#This Row],[1]:[11]],0))-1)/(COUNTA(Table261425678[[#This Row],[1]:[11]])-COUNTBLANK(Table261425678[[#This Row],[1]:[11]])-1)))</f>
        <v>0</v>
      </c>
      <c r="AD14" s="30" t="str" cm="1">
        <f t="array" ref="AD14">IF(Table261425678[[#This Row],[6]]="","",Table261425678[[#This Row],[Weight]:[Weight]]-(Table261425678[[#This Row],[Weight]:[Weight]]*((_xlfn.XMATCH(Table261425678[[#This Row],[6]],Table261425678[[#This Row],[1]:[11]],0))-1)/(COUNTA(Table261425678[[#This Row],[1]:[11]])-COUNTBLANK(Table261425678[[#This Row],[1]:[11]])-1)))</f>
        <v/>
      </c>
      <c r="AE14" s="30" t="str" cm="1">
        <f t="array" ref="AE14">IF(Table261425678[[#This Row],[7]]="","",Table261425678[[#This Row],[Weight]:[Weight]]-(Table261425678[[#This Row],[Weight]:[Weight]]*((_xlfn.XMATCH(Table261425678[[#This Row],[7]],Table261425678[[#This Row],[1]:[11]],0))-1)/(COUNTA(Table261425678[[#This Row],[1]:[11]])-COUNTBLANK(Table261425678[[#This Row],[1]:[11]])-1)))</f>
        <v/>
      </c>
      <c r="AF14" s="30" t="str" cm="1">
        <f t="array" ref="AF14">IF(Table261425678[[#This Row],[8]]="","",Table261425678[[#This Row],[Weight]:[Weight]]-(Table261425678[[#This Row],[Weight]:[Weight]]*((_xlfn.XMATCH(Table261425678[[#This Row],[8]],Table261425678[[#This Row],[1]:[11]],0))-1)/(COUNTA(Table261425678[[#This Row],[1]:[11]])-COUNTBLANK(Table261425678[[#This Row],[1]:[11]])-1)))</f>
        <v/>
      </c>
      <c r="AG14" s="30" t="str" cm="1">
        <f t="array" ref="AG14">IF(Table261425678[[#This Row],[9]]="","",Table261425678[[#This Row],[Weight]:[Weight]]-(Table261425678[[#This Row],[Weight]:[Weight]]*((_xlfn.XMATCH(Table261425678[[#This Row],[9]],Table261425678[[#This Row],[1]:[11]],0))-1)/(COUNTA(Table261425678[[#This Row],[1]:[11]])-COUNTBLANK(Table261425678[[#This Row],[1]:[11]])-1)))</f>
        <v/>
      </c>
      <c r="AH14" s="30" t="str" cm="1">
        <f t="array" ref="AH14">IF(Table261425678[[#This Row],[10]]="","",Table261425678[[#This Row],[Weight]:[Weight]]-(Table261425678[[#This Row],[Weight]:[Weight]]*((_xlfn.XMATCH(Table261425678[[#This Row],[10]],Table261425678[[#This Row],[1]:[11]],0))-1)/(COUNTA(Table261425678[[#This Row],[1]:[11]])-COUNTBLANK(Table261425678[[#This Row],[1]:[11]])-1)))</f>
        <v/>
      </c>
      <c r="AI14" s="30" t="str" cm="1">
        <f t="array" ref="AI14">IF(Table261425678[[#This Row],[11]]="","",Table261425678[[#This Row],[Weight]:[Weight]]-(Table261425678[[#This Row],[Weight]:[Weight]]*((_xlfn.XMATCH(Table261425678[[#This Row],[11]],Table261425678[[#This Row],[1]:[11]],0))-1)/(COUNTA(Table261425678[[#This Row],[1]:[11]])-COUNTBLANK(Table261425678[[#This Row],[1]:[11]])-1)))</f>
        <v/>
      </c>
    </row>
    <row r="15" spans="1:35" ht="108" x14ac:dyDescent="0.2">
      <c r="A15" s="20">
        <v>3</v>
      </c>
      <c r="B15" s="119" t="s">
        <v>451</v>
      </c>
      <c r="C15" s="119" t="s">
        <v>215</v>
      </c>
      <c r="D15" s="147"/>
      <c r="E15" s="147"/>
      <c r="F15" s="121" t="s">
        <v>60</v>
      </c>
      <c r="G15" s="151" cm="1">
        <f t="array" ref="G15">_xlfn.IFS(F15="","",F15="No interest",0,F15="Nice to have",1,F15="Useful",2,F15="Important",3,F15="Very important",4,F15="Critical",5,F15="Show stopper",6)</f>
        <v>6</v>
      </c>
      <c r="H15" s="152">
        <f t="shared" si="0"/>
        <v>6.4102564102564103E-4</v>
      </c>
      <c r="I15" s="150" t="s">
        <v>321</v>
      </c>
      <c r="J15" s="35" t="str" cm="1">
        <f t="array" ref="J15">_xlfn.TEXTJOIN(","&amp;CHAR(10),,TEXT(Table261425678[[#This Row],[12]:[22]],"0,00%"))</f>
        <v>0,00%,
0,00%,
0,00%,
0,00%,
0,00%</v>
      </c>
      <c r="K15" s="36"/>
      <c r="L15" s="37" t="e">
        <f>H15-(H15*((MATCH(Table261425678[[#This Row],[Evaluators Response (SELECT)]],Table261425678[[#This Row],[1]:[11]],0)-1)/(COUNTA(Table261425678[[#This Row],[1]:[11]])-COUNTBLANK(Table261425678[[#This Row],[1]:[11]])-1)))</f>
        <v>#N/A</v>
      </c>
      <c r="M15" s="38"/>
      <c r="N15" s="29" t="str" cm="1">
        <f t="array" ref="N15">IFERROR(INDEX(_xlfn.UNIQUE(TRIM(_xlfn.TEXTSPLIT(Table261425678[[#This Row],[Selection Options]:[Selection Options]],","))),,N$11),"")</f>
        <v>100%: Supported as delivered "out of the box"</v>
      </c>
      <c r="O15" s="29" t="str" cm="1">
        <f t="array" ref="O15">IFERROR(INDEX(_xlfn.UNIQUE(TRIM(_xlfn.TEXTSPLIT(Table261425678[[#This Row],[Selection Options]:[Selection Options]],","))),,O$11),"")</f>
        <v xml:space="preserve">
75%: Supported via modifications (config)</v>
      </c>
      <c r="P15" s="29" t="str" cm="1">
        <f t="array" ref="P15">IFERROR(INDEX(_xlfn.UNIQUE(TRIM(_xlfn.TEXTSPLIT(Table261425678[[#This Row],[Selection Options]:[Selection Options]],","))),,P$11),"")</f>
        <v xml:space="preserve">
50%: Supported via a third party solution</v>
      </c>
      <c r="Q15" s="29" t="str" cm="1">
        <f t="array" ref="Q15">IFERROR(INDEX(_xlfn.UNIQUE(TRIM(_xlfn.TEXTSPLIT(Table261425678[[#This Row],[Selection Options]:[Selection Options]],","))),,Q$11),"")</f>
        <v xml:space="preserve">
25%: Supported via customisation (source code changes)</v>
      </c>
      <c r="R15" s="29" t="str" cm="1">
        <f t="array" ref="R15">IFERROR(INDEX(_xlfn.UNIQUE(TRIM(_xlfn.TEXTSPLIT(Table261425678[[#This Row],[Selection Options]:[Selection Options]],","))),,R$11),"")</f>
        <v xml:space="preserve">
 0%: Not currently supported</v>
      </c>
      <c r="S15" s="29" t="str" cm="1">
        <f t="array" ref="S15">IFERROR(INDEX(_xlfn.UNIQUE(TRIM(_xlfn.TEXTSPLIT(Table261425678[[#This Row],[Selection Options]:[Selection Options]],","))),,S$11),"")</f>
        <v/>
      </c>
      <c r="T15" s="29" t="str" cm="1">
        <f t="array" ref="T15">IFERROR(INDEX(_xlfn.UNIQUE(TRIM(_xlfn.TEXTSPLIT(Table261425678[[#This Row],[Selection Options]:[Selection Options]],","))),,T$11),"")</f>
        <v/>
      </c>
      <c r="U15" s="29" t="str" cm="1">
        <f t="array" ref="U15">IFERROR(INDEX(_xlfn.UNIQUE(TRIM(_xlfn.TEXTSPLIT(Table261425678[[#This Row],[Selection Options]:[Selection Options]],","))),,U$11),"")</f>
        <v/>
      </c>
      <c r="V15" s="29" t="str" cm="1">
        <f t="array" ref="V15">IFERROR(INDEX(_xlfn.UNIQUE(TRIM(_xlfn.TEXTSPLIT(Table261425678[[#This Row],[Selection Options]:[Selection Options]],","))),,V$11),"")</f>
        <v/>
      </c>
      <c r="W15" s="29" t="str" cm="1">
        <f t="array" ref="W15">IFERROR(INDEX(_xlfn.UNIQUE(TRIM(_xlfn.TEXTSPLIT(Table261425678[[#This Row],[Selection Options]:[Selection Options]],","))),,W$11),"")</f>
        <v/>
      </c>
      <c r="X15" s="29" t="str" cm="1">
        <f t="array" ref="X15">IFERROR(INDEX(_xlfn.UNIQUE(TRIM(_xlfn.TEXTSPLIT(Table261425678[[#This Row],[Selection Options]:[Selection Options]],","))),,X$11),"")</f>
        <v/>
      </c>
      <c r="Y15" s="30" cm="1">
        <f t="array" ref="Y15">IF(Table261425678[[#This Row],[1]]="","",Table261425678[[#This Row],[Weight]:[Weight]]-(Table261425678[[#This Row],[Weight]:[Weight]]*((_xlfn.XMATCH(Table261425678[[#This Row],[1]],Table261425678[[#This Row],[1]:[11]],0))-1)/(COUNTA(Table261425678[[#This Row],[1]:[11]])-COUNTBLANK(Table261425678[[#This Row],[1]:[11]])-1)))</f>
        <v>6.4102564102564103E-4</v>
      </c>
      <c r="Z15" s="30" cm="1">
        <f t="array" ref="Z15">IF(Table261425678[[#This Row],[2]]="","",Table261425678[[#This Row],[Weight]:[Weight]]-(Table261425678[[#This Row],[Weight]:[Weight]]*((_xlfn.XMATCH(Table261425678[[#This Row],[2]],Table261425678[[#This Row],[1]:[11]],0))-1)/(COUNTA(Table261425678[[#This Row],[1]:[11]])-COUNTBLANK(Table261425678[[#This Row],[1]:[11]])-1)))</f>
        <v>4.807692307692308E-4</v>
      </c>
      <c r="AA15" s="30" cm="1">
        <f t="array" ref="AA15">IF(Table261425678[[#This Row],[3]]="","",Table261425678[[#This Row],[Weight]:[Weight]]-(Table261425678[[#This Row],[Weight]:[Weight]]*((_xlfn.XMATCH(Table261425678[[#This Row],[3]],Table261425678[[#This Row],[1]:[11]],0))-1)/(COUNTA(Table261425678[[#This Row],[1]:[11]])-COUNTBLANK(Table261425678[[#This Row],[1]:[11]])-1)))</f>
        <v>3.2051282051282051E-4</v>
      </c>
      <c r="AB15" s="30" cm="1">
        <f t="array" ref="AB15">IF(Table261425678[[#This Row],[4]]="","",Table261425678[[#This Row],[Weight]:[Weight]]-(Table261425678[[#This Row],[Weight]:[Weight]]*((_xlfn.XMATCH(Table261425678[[#This Row],[4]],Table261425678[[#This Row],[1]:[11]],0))-1)/(COUNTA(Table261425678[[#This Row],[1]:[11]])-COUNTBLANK(Table261425678[[#This Row],[1]:[11]])-1)))</f>
        <v>1.6025641025641023E-4</v>
      </c>
      <c r="AC15" s="30" cm="1">
        <f t="array" ref="AC15">IF(Table261425678[[#This Row],[5]]="","",Table261425678[[#This Row],[Weight]:[Weight]]-(Table261425678[[#This Row],[Weight]:[Weight]]*((_xlfn.XMATCH(Table261425678[[#This Row],[5]],Table261425678[[#This Row],[1]:[11]],0))-1)/(COUNTA(Table261425678[[#This Row],[1]:[11]])-COUNTBLANK(Table261425678[[#This Row],[1]:[11]])-1)))</f>
        <v>0</v>
      </c>
      <c r="AD15" s="30" t="str" cm="1">
        <f t="array" ref="AD15">IF(Table261425678[[#This Row],[6]]="","",Table261425678[[#This Row],[Weight]:[Weight]]-(Table261425678[[#This Row],[Weight]:[Weight]]*((_xlfn.XMATCH(Table261425678[[#This Row],[6]],Table261425678[[#This Row],[1]:[11]],0))-1)/(COUNTA(Table261425678[[#This Row],[1]:[11]])-COUNTBLANK(Table261425678[[#This Row],[1]:[11]])-1)))</f>
        <v/>
      </c>
      <c r="AE15" s="30" t="str" cm="1">
        <f t="array" ref="AE15">IF(Table261425678[[#This Row],[7]]="","",Table261425678[[#This Row],[Weight]:[Weight]]-(Table261425678[[#This Row],[Weight]:[Weight]]*((_xlfn.XMATCH(Table261425678[[#This Row],[7]],Table261425678[[#This Row],[1]:[11]],0))-1)/(COUNTA(Table261425678[[#This Row],[1]:[11]])-COUNTBLANK(Table261425678[[#This Row],[1]:[11]])-1)))</f>
        <v/>
      </c>
      <c r="AF15" s="30" t="str" cm="1">
        <f t="array" ref="AF15">IF(Table261425678[[#This Row],[8]]="","",Table261425678[[#This Row],[Weight]:[Weight]]-(Table261425678[[#This Row],[Weight]:[Weight]]*((_xlfn.XMATCH(Table261425678[[#This Row],[8]],Table261425678[[#This Row],[1]:[11]],0))-1)/(COUNTA(Table261425678[[#This Row],[1]:[11]])-COUNTBLANK(Table261425678[[#This Row],[1]:[11]])-1)))</f>
        <v/>
      </c>
      <c r="AG15" s="30" t="str" cm="1">
        <f t="array" ref="AG15">IF(Table261425678[[#This Row],[9]]="","",Table261425678[[#This Row],[Weight]:[Weight]]-(Table261425678[[#This Row],[Weight]:[Weight]]*((_xlfn.XMATCH(Table261425678[[#This Row],[9]],Table261425678[[#This Row],[1]:[11]],0))-1)/(COUNTA(Table261425678[[#This Row],[1]:[11]])-COUNTBLANK(Table261425678[[#This Row],[1]:[11]])-1)))</f>
        <v/>
      </c>
      <c r="AH15" s="30" t="str" cm="1">
        <f t="array" ref="AH15">IF(Table261425678[[#This Row],[10]]="","",Table261425678[[#This Row],[Weight]:[Weight]]-(Table261425678[[#This Row],[Weight]:[Weight]]*((_xlfn.XMATCH(Table261425678[[#This Row],[10]],Table261425678[[#This Row],[1]:[11]],0))-1)/(COUNTA(Table261425678[[#This Row],[1]:[11]])-COUNTBLANK(Table261425678[[#This Row],[1]:[11]])-1)))</f>
        <v/>
      </c>
      <c r="AI15" s="30" t="str" cm="1">
        <f t="array" ref="AI15">IF(Table261425678[[#This Row],[11]]="","",Table261425678[[#This Row],[Weight]:[Weight]]-(Table261425678[[#This Row],[Weight]:[Weight]]*((_xlfn.XMATCH(Table261425678[[#This Row],[11]],Table261425678[[#This Row],[1]:[11]],0))-1)/(COUNTA(Table261425678[[#This Row],[1]:[11]])-COUNTBLANK(Table261425678[[#This Row],[1]:[11]])-1)))</f>
        <v/>
      </c>
    </row>
    <row r="16" spans="1:35" ht="108" x14ac:dyDescent="0.2">
      <c r="A16" s="20">
        <v>4</v>
      </c>
      <c r="B16" s="90" t="s">
        <v>404</v>
      </c>
      <c r="C16" s="119" t="s">
        <v>215</v>
      </c>
      <c r="D16" s="146"/>
      <c r="E16" s="146"/>
      <c r="F16" s="120" t="s">
        <v>188</v>
      </c>
      <c r="G16" s="148" cm="1">
        <f t="array" ref="G16">_xlfn.IFS(F16="","",F16="No interest",0,F16="Nice to have",1,F16="Useful",2,F16="Important",3,F16="Very important",4,F16="Critical",5,F16="Show stopper",6)</f>
        <v>5</v>
      </c>
      <c r="H16" s="149">
        <f t="shared" si="0"/>
        <v>5.3418803418803424E-4</v>
      </c>
      <c r="I16" s="150" t="s">
        <v>321</v>
      </c>
      <c r="J16" s="25" t="str" cm="1">
        <f t="array" ref="J16">_xlfn.TEXTJOIN(","&amp;CHAR(10),,TEXT(Table261425678[[#This Row],[12]:[22]],"0,00%"))</f>
        <v>0,00%,
0,00%,
0,00%,
0,00%,
0,00%</v>
      </c>
      <c r="K16" s="26"/>
      <c r="L16" s="27" t="e">
        <f>H16-(H16*((MATCH(Table261425678[[#This Row],[Evaluators Response (SELECT)]],Table261425678[[#This Row],[1]:[11]],0)-1)/(COUNTA(Table261425678[[#This Row],[1]:[11]])-COUNTBLANK(Table261425678[[#This Row],[1]:[11]])-1)))</f>
        <v>#N/A</v>
      </c>
      <c r="M16" s="28"/>
      <c r="N16" s="29" t="str" cm="1">
        <f t="array" ref="N16">IFERROR(INDEX(_xlfn.UNIQUE(TRIM(_xlfn.TEXTSPLIT(Table261425678[[#This Row],[Selection Options]:[Selection Options]],","))),,N$11),"")</f>
        <v>100%: Supported as delivered "out of the box"</v>
      </c>
      <c r="O16" s="29" t="str" cm="1">
        <f t="array" ref="O16">IFERROR(INDEX(_xlfn.UNIQUE(TRIM(_xlfn.TEXTSPLIT(Table261425678[[#This Row],[Selection Options]:[Selection Options]],","))),,O$11),"")</f>
        <v xml:space="preserve">
75%: Supported via modifications (config)</v>
      </c>
      <c r="P16" s="29" t="str" cm="1">
        <f t="array" ref="P16">IFERROR(INDEX(_xlfn.UNIQUE(TRIM(_xlfn.TEXTSPLIT(Table261425678[[#This Row],[Selection Options]:[Selection Options]],","))),,P$11),"")</f>
        <v xml:space="preserve">
50%: Supported via a third party solution</v>
      </c>
      <c r="Q16" s="29" t="str" cm="1">
        <f t="array" ref="Q16">IFERROR(INDEX(_xlfn.UNIQUE(TRIM(_xlfn.TEXTSPLIT(Table261425678[[#This Row],[Selection Options]:[Selection Options]],","))),,Q$11),"")</f>
        <v xml:space="preserve">
25%: Supported via customisation (source code changes)</v>
      </c>
      <c r="R16" s="29" t="str" cm="1">
        <f t="array" ref="R16">IFERROR(INDEX(_xlfn.UNIQUE(TRIM(_xlfn.TEXTSPLIT(Table261425678[[#This Row],[Selection Options]:[Selection Options]],","))),,R$11),"")</f>
        <v xml:space="preserve">
 0%: Not currently supported</v>
      </c>
      <c r="S16" s="29" t="str" cm="1">
        <f t="array" ref="S16">IFERROR(INDEX(_xlfn.UNIQUE(TRIM(_xlfn.TEXTSPLIT(Table261425678[[#This Row],[Selection Options]:[Selection Options]],","))),,S$11),"")</f>
        <v/>
      </c>
      <c r="T16" s="29" t="str" cm="1">
        <f t="array" ref="T16">IFERROR(INDEX(_xlfn.UNIQUE(TRIM(_xlfn.TEXTSPLIT(Table261425678[[#This Row],[Selection Options]:[Selection Options]],","))),,T$11),"")</f>
        <v/>
      </c>
      <c r="U16" s="29" t="str" cm="1">
        <f t="array" ref="U16">IFERROR(INDEX(_xlfn.UNIQUE(TRIM(_xlfn.TEXTSPLIT(Table261425678[[#This Row],[Selection Options]:[Selection Options]],","))),,U$11),"")</f>
        <v/>
      </c>
      <c r="V16" s="29" t="str" cm="1">
        <f t="array" ref="V16">IFERROR(INDEX(_xlfn.UNIQUE(TRIM(_xlfn.TEXTSPLIT(Table261425678[[#This Row],[Selection Options]:[Selection Options]],","))),,V$11),"")</f>
        <v/>
      </c>
      <c r="W16" s="29" t="str" cm="1">
        <f t="array" ref="W16">IFERROR(INDEX(_xlfn.UNIQUE(TRIM(_xlfn.TEXTSPLIT(Table261425678[[#This Row],[Selection Options]:[Selection Options]],","))),,W$11),"")</f>
        <v/>
      </c>
      <c r="X16" s="29" t="str" cm="1">
        <f t="array" ref="X16">IFERROR(INDEX(_xlfn.UNIQUE(TRIM(_xlfn.TEXTSPLIT(Table261425678[[#This Row],[Selection Options]:[Selection Options]],","))),,X$11),"")</f>
        <v/>
      </c>
      <c r="Y16" s="30" cm="1">
        <f t="array" ref="Y16">IF(Table261425678[[#This Row],[1]]="","",Table261425678[[#This Row],[Weight]:[Weight]]-(Table261425678[[#This Row],[Weight]:[Weight]]*((_xlfn.XMATCH(Table261425678[[#This Row],[1]],Table261425678[[#This Row],[1]:[11]],0))-1)/(COUNTA(Table261425678[[#This Row],[1]:[11]])-COUNTBLANK(Table261425678[[#This Row],[1]:[11]])-1)))</f>
        <v>5.3418803418803424E-4</v>
      </c>
      <c r="Z16" s="30" cm="1">
        <f t="array" ref="Z16">IF(Table261425678[[#This Row],[2]]="","",Table261425678[[#This Row],[Weight]:[Weight]]-(Table261425678[[#This Row],[Weight]:[Weight]]*((_xlfn.XMATCH(Table261425678[[#This Row],[2]],Table261425678[[#This Row],[1]:[11]],0))-1)/(COUNTA(Table261425678[[#This Row],[1]:[11]])-COUNTBLANK(Table261425678[[#This Row],[1]:[11]])-1)))</f>
        <v>4.0064102564102568E-4</v>
      </c>
      <c r="AA16" s="30" cm="1">
        <f t="array" ref="AA16">IF(Table261425678[[#This Row],[3]]="","",Table261425678[[#This Row],[Weight]:[Weight]]-(Table261425678[[#This Row],[Weight]:[Weight]]*((_xlfn.XMATCH(Table261425678[[#This Row],[3]],Table261425678[[#This Row],[1]:[11]],0))-1)/(COUNTA(Table261425678[[#This Row],[1]:[11]])-COUNTBLANK(Table261425678[[#This Row],[1]:[11]])-1)))</f>
        <v>2.6709401709401712E-4</v>
      </c>
      <c r="AB16" s="30" cm="1">
        <f t="array" ref="AB16">IF(Table261425678[[#This Row],[4]]="","",Table261425678[[#This Row],[Weight]:[Weight]]-(Table261425678[[#This Row],[Weight]:[Weight]]*((_xlfn.XMATCH(Table261425678[[#This Row],[4]],Table261425678[[#This Row],[1]:[11]],0))-1)/(COUNTA(Table261425678[[#This Row],[1]:[11]])-COUNTBLANK(Table261425678[[#This Row],[1]:[11]])-1)))</f>
        <v>1.3354700854700856E-4</v>
      </c>
      <c r="AC16" s="30" cm="1">
        <f t="array" ref="AC16">IF(Table261425678[[#This Row],[5]]="","",Table261425678[[#This Row],[Weight]:[Weight]]-(Table261425678[[#This Row],[Weight]:[Weight]]*((_xlfn.XMATCH(Table261425678[[#This Row],[5]],Table261425678[[#This Row],[1]:[11]],0))-1)/(COUNTA(Table261425678[[#This Row],[1]:[11]])-COUNTBLANK(Table261425678[[#This Row],[1]:[11]])-1)))</f>
        <v>0</v>
      </c>
      <c r="AD16" s="30" t="str" cm="1">
        <f t="array" ref="AD16">IF(Table261425678[[#This Row],[6]]="","",Table261425678[[#This Row],[Weight]:[Weight]]-(Table261425678[[#This Row],[Weight]:[Weight]]*((_xlfn.XMATCH(Table261425678[[#This Row],[6]],Table261425678[[#This Row],[1]:[11]],0))-1)/(COUNTA(Table261425678[[#This Row],[1]:[11]])-COUNTBLANK(Table261425678[[#This Row],[1]:[11]])-1)))</f>
        <v/>
      </c>
      <c r="AE16" s="30" t="str" cm="1">
        <f t="array" ref="AE16">IF(Table261425678[[#This Row],[7]]="","",Table261425678[[#This Row],[Weight]:[Weight]]-(Table261425678[[#This Row],[Weight]:[Weight]]*((_xlfn.XMATCH(Table261425678[[#This Row],[7]],Table261425678[[#This Row],[1]:[11]],0))-1)/(COUNTA(Table261425678[[#This Row],[1]:[11]])-COUNTBLANK(Table261425678[[#This Row],[1]:[11]])-1)))</f>
        <v/>
      </c>
      <c r="AF16" s="30" t="str" cm="1">
        <f t="array" ref="AF16">IF(Table261425678[[#This Row],[8]]="","",Table261425678[[#This Row],[Weight]:[Weight]]-(Table261425678[[#This Row],[Weight]:[Weight]]*((_xlfn.XMATCH(Table261425678[[#This Row],[8]],Table261425678[[#This Row],[1]:[11]],0))-1)/(COUNTA(Table261425678[[#This Row],[1]:[11]])-COUNTBLANK(Table261425678[[#This Row],[1]:[11]])-1)))</f>
        <v/>
      </c>
      <c r="AG16" s="30" t="str" cm="1">
        <f t="array" ref="AG16">IF(Table261425678[[#This Row],[9]]="","",Table261425678[[#This Row],[Weight]:[Weight]]-(Table261425678[[#This Row],[Weight]:[Weight]]*((_xlfn.XMATCH(Table261425678[[#This Row],[9]],Table261425678[[#This Row],[1]:[11]],0))-1)/(COUNTA(Table261425678[[#This Row],[1]:[11]])-COUNTBLANK(Table261425678[[#This Row],[1]:[11]])-1)))</f>
        <v/>
      </c>
      <c r="AH16" s="30" t="str" cm="1">
        <f t="array" ref="AH16">IF(Table261425678[[#This Row],[10]]="","",Table261425678[[#This Row],[Weight]:[Weight]]-(Table261425678[[#This Row],[Weight]:[Weight]]*((_xlfn.XMATCH(Table261425678[[#This Row],[10]],Table261425678[[#This Row],[1]:[11]],0))-1)/(COUNTA(Table261425678[[#This Row],[1]:[11]])-COUNTBLANK(Table261425678[[#This Row],[1]:[11]])-1)))</f>
        <v/>
      </c>
      <c r="AI16" s="30" t="str" cm="1">
        <f t="array" ref="AI16">IF(Table261425678[[#This Row],[11]]="","",Table261425678[[#This Row],[Weight]:[Weight]]-(Table261425678[[#This Row],[Weight]:[Weight]]*((_xlfn.XMATCH(Table261425678[[#This Row],[11]],Table261425678[[#This Row],[1]:[11]],0))-1)/(COUNTA(Table261425678[[#This Row],[1]:[11]])-COUNTBLANK(Table261425678[[#This Row],[1]:[11]])-1)))</f>
        <v/>
      </c>
    </row>
    <row r="17" spans="1:35" ht="108" x14ac:dyDescent="0.2">
      <c r="A17" s="20">
        <v>5</v>
      </c>
      <c r="B17" s="90" t="s">
        <v>452</v>
      </c>
      <c r="C17" s="119" t="s">
        <v>215</v>
      </c>
      <c r="D17" s="146"/>
      <c r="E17" s="146"/>
      <c r="F17" s="120" t="s">
        <v>60</v>
      </c>
      <c r="G17" s="148" cm="1">
        <f t="array" ref="G17">_xlfn.IFS(F17="","",F17="No interest",0,F17="Nice to have",1,F17="Useful",2,F17="Important",3,F17="Very important",4,F17="Critical",5,F17="Show stopper",6)</f>
        <v>6</v>
      </c>
      <c r="H17" s="149">
        <f>(G17/$G$11)*$F$11</f>
        <v>6.4102564102564103E-4</v>
      </c>
      <c r="I17" s="150" t="s">
        <v>321</v>
      </c>
      <c r="J17" s="35" t="str" cm="1">
        <f t="array" ref="J17">_xlfn.TEXTJOIN(","&amp;CHAR(10),,TEXT(Table261425678[[#This Row],[12]:[22]],"0,00%"))</f>
        <v>0,00%,
0,00%,
0,00%,
0,00%,
0,00%</v>
      </c>
      <c r="K17" s="26"/>
      <c r="L17" s="27" t="e">
        <f>H17-(H17*((MATCH(Table261425678[[#This Row],[Evaluators Response (SELECT)]],Table261425678[[#This Row],[1]:[11]],0)-1)/(COUNTA(Table261425678[[#This Row],[1]:[11]])-COUNTBLANK(Table261425678[[#This Row],[1]:[11]])-1)))</f>
        <v>#N/A</v>
      </c>
      <c r="M17" s="28"/>
      <c r="N17" s="29" t="str" cm="1">
        <f t="array" ref="N17">IFERROR(INDEX(_xlfn.UNIQUE(TRIM(_xlfn.TEXTSPLIT(Table261425678[[#This Row],[Selection Options]:[Selection Options]],","))),,N$11),"")</f>
        <v>100%: Supported as delivered "out of the box"</v>
      </c>
      <c r="O17" s="29" t="str" cm="1">
        <f t="array" ref="O17">IFERROR(INDEX(_xlfn.UNIQUE(TRIM(_xlfn.TEXTSPLIT(Table261425678[[#This Row],[Selection Options]:[Selection Options]],","))),,O$11),"")</f>
        <v xml:space="preserve">
75%: Supported via modifications (config)</v>
      </c>
      <c r="P17" s="29" t="str" cm="1">
        <f t="array" ref="P17">IFERROR(INDEX(_xlfn.UNIQUE(TRIM(_xlfn.TEXTSPLIT(Table261425678[[#This Row],[Selection Options]:[Selection Options]],","))),,P$11),"")</f>
        <v xml:space="preserve">
50%: Supported via a third party solution</v>
      </c>
      <c r="Q17" s="29" t="str" cm="1">
        <f t="array" ref="Q17">IFERROR(INDEX(_xlfn.UNIQUE(TRIM(_xlfn.TEXTSPLIT(Table261425678[[#This Row],[Selection Options]:[Selection Options]],","))),,Q$11),"")</f>
        <v xml:space="preserve">
25%: Supported via customisation (source code changes)</v>
      </c>
      <c r="R17" s="29" t="str" cm="1">
        <f t="array" ref="R17">IFERROR(INDEX(_xlfn.UNIQUE(TRIM(_xlfn.TEXTSPLIT(Table261425678[[#This Row],[Selection Options]:[Selection Options]],","))),,R$11),"")</f>
        <v xml:space="preserve">
 0%: Not currently supported</v>
      </c>
      <c r="S17" s="29" t="str" cm="1">
        <f t="array" ref="S17">IFERROR(INDEX(_xlfn.UNIQUE(TRIM(_xlfn.TEXTSPLIT(Table261425678[[#This Row],[Selection Options]:[Selection Options]],","))),,S$11),"")</f>
        <v/>
      </c>
      <c r="T17" s="29" t="str" cm="1">
        <f t="array" ref="T17">IFERROR(INDEX(_xlfn.UNIQUE(TRIM(_xlfn.TEXTSPLIT(Table261425678[[#This Row],[Selection Options]:[Selection Options]],","))),,T$11),"")</f>
        <v/>
      </c>
      <c r="U17" s="29" t="str" cm="1">
        <f t="array" ref="U17">IFERROR(INDEX(_xlfn.UNIQUE(TRIM(_xlfn.TEXTSPLIT(Table261425678[[#This Row],[Selection Options]:[Selection Options]],","))),,U$11),"")</f>
        <v/>
      </c>
      <c r="V17" s="29" t="str" cm="1">
        <f t="array" ref="V17">IFERROR(INDEX(_xlfn.UNIQUE(TRIM(_xlfn.TEXTSPLIT(Table261425678[[#This Row],[Selection Options]:[Selection Options]],","))),,V$11),"")</f>
        <v/>
      </c>
      <c r="W17" s="29" t="str" cm="1">
        <f t="array" ref="W17">IFERROR(INDEX(_xlfn.UNIQUE(TRIM(_xlfn.TEXTSPLIT(Table261425678[[#This Row],[Selection Options]:[Selection Options]],","))),,W$11),"")</f>
        <v/>
      </c>
      <c r="X17" s="29" t="str" cm="1">
        <f t="array" ref="X17">IFERROR(INDEX(_xlfn.UNIQUE(TRIM(_xlfn.TEXTSPLIT(Table261425678[[#This Row],[Selection Options]:[Selection Options]],","))),,X$11),"")</f>
        <v/>
      </c>
      <c r="Y17" s="30" cm="1">
        <f t="array" ref="Y17">IF(Table261425678[[#This Row],[1]]="","",Table261425678[[#This Row],[Weight]:[Weight]]-(Table261425678[[#This Row],[Weight]:[Weight]]*((_xlfn.XMATCH(Table261425678[[#This Row],[1]],Table261425678[[#This Row],[1]:[11]],0))-1)/(COUNTA(Table261425678[[#This Row],[1]:[11]])-COUNTBLANK(Table261425678[[#This Row],[1]:[11]])-1)))</f>
        <v>6.4102564102564103E-4</v>
      </c>
      <c r="Z17" s="30" cm="1">
        <f t="array" ref="Z17">IF(Table261425678[[#This Row],[2]]="","",Table261425678[[#This Row],[Weight]:[Weight]]-(Table261425678[[#This Row],[Weight]:[Weight]]*((_xlfn.XMATCH(Table261425678[[#This Row],[2]],Table261425678[[#This Row],[1]:[11]],0))-1)/(COUNTA(Table261425678[[#This Row],[1]:[11]])-COUNTBLANK(Table261425678[[#This Row],[1]:[11]])-1)))</f>
        <v>4.807692307692308E-4</v>
      </c>
      <c r="AA17" s="30" cm="1">
        <f t="array" ref="AA17">IF(Table261425678[[#This Row],[3]]="","",Table261425678[[#This Row],[Weight]:[Weight]]-(Table261425678[[#This Row],[Weight]:[Weight]]*((_xlfn.XMATCH(Table261425678[[#This Row],[3]],Table261425678[[#This Row],[1]:[11]],0))-1)/(COUNTA(Table261425678[[#This Row],[1]:[11]])-COUNTBLANK(Table261425678[[#This Row],[1]:[11]])-1)))</f>
        <v>3.2051282051282051E-4</v>
      </c>
      <c r="AB17" s="30" cm="1">
        <f t="array" ref="AB17">IF(Table261425678[[#This Row],[4]]="","",Table261425678[[#This Row],[Weight]:[Weight]]-(Table261425678[[#This Row],[Weight]:[Weight]]*((_xlfn.XMATCH(Table261425678[[#This Row],[4]],Table261425678[[#This Row],[1]:[11]],0))-1)/(COUNTA(Table261425678[[#This Row],[1]:[11]])-COUNTBLANK(Table261425678[[#This Row],[1]:[11]])-1)))</f>
        <v>1.6025641025641023E-4</v>
      </c>
      <c r="AC17" s="30" cm="1">
        <f t="array" ref="AC17">IF(Table261425678[[#This Row],[5]]="","",Table261425678[[#This Row],[Weight]:[Weight]]-(Table261425678[[#This Row],[Weight]:[Weight]]*((_xlfn.XMATCH(Table261425678[[#This Row],[5]],Table261425678[[#This Row],[1]:[11]],0))-1)/(COUNTA(Table261425678[[#This Row],[1]:[11]])-COUNTBLANK(Table261425678[[#This Row],[1]:[11]])-1)))</f>
        <v>0</v>
      </c>
      <c r="AD17" s="30" t="str" cm="1">
        <f t="array" ref="AD17">IF(Table261425678[[#This Row],[6]]="","",Table261425678[[#This Row],[Weight]:[Weight]]-(Table261425678[[#This Row],[Weight]:[Weight]]*((_xlfn.XMATCH(Table261425678[[#This Row],[6]],Table261425678[[#This Row],[1]:[11]],0))-1)/(COUNTA(Table261425678[[#This Row],[1]:[11]])-COUNTBLANK(Table261425678[[#This Row],[1]:[11]])-1)))</f>
        <v/>
      </c>
      <c r="AE17" s="30" t="str" cm="1">
        <f t="array" ref="AE17">IF(Table261425678[[#This Row],[7]]="","",Table261425678[[#This Row],[Weight]:[Weight]]-(Table261425678[[#This Row],[Weight]:[Weight]]*((_xlfn.XMATCH(Table261425678[[#This Row],[7]],Table261425678[[#This Row],[1]:[11]],0))-1)/(COUNTA(Table261425678[[#This Row],[1]:[11]])-COUNTBLANK(Table261425678[[#This Row],[1]:[11]])-1)))</f>
        <v/>
      </c>
      <c r="AF17" s="30" t="str" cm="1">
        <f t="array" ref="AF17">IF(Table261425678[[#This Row],[8]]="","",Table261425678[[#This Row],[Weight]:[Weight]]-(Table261425678[[#This Row],[Weight]:[Weight]]*((_xlfn.XMATCH(Table261425678[[#This Row],[8]],Table261425678[[#This Row],[1]:[11]],0))-1)/(COUNTA(Table261425678[[#This Row],[1]:[11]])-COUNTBLANK(Table261425678[[#This Row],[1]:[11]])-1)))</f>
        <v/>
      </c>
      <c r="AG17" s="30" t="str" cm="1">
        <f t="array" ref="AG17">IF(Table261425678[[#This Row],[9]]="","",Table261425678[[#This Row],[Weight]:[Weight]]-(Table261425678[[#This Row],[Weight]:[Weight]]*((_xlfn.XMATCH(Table261425678[[#This Row],[9]],Table261425678[[#This Row],[1]:[11]],0))-1)/(COUNTA(Table261425678[[#This Row],[1]:[11]])-COUNTBLANK(Table261425678[[#This Row],[1]:[11]])-1)))</f>
        <v/>
      </c>
      <c r="AH17" s="30" t="str" cm="1">
        <f t="array" ref="AH17">IF(Table261425678[[#This Row],[10]]="","",Table261425678[[#This Row],[Weight]:[Weight]]-(Table261425678[[#This Row],[Weight]:[Weight]]*((_xlfn.XMATCH(Table261425678[[#This Row],[10]],Table261425678[[#This Row],[1]:[11]],0))-1)/(COUNTA(Table261425678[[#This Row],[1]:[11]])-COUNTBLANK(Table261425678[[#This Row],[1]:[11]])-1)))</f>
        <v/>
      </c>
      <c r="AI17" s="30" t="str" cm="1">
        <f t="array" ref="AI17">IF(Table261425678[[#This Row],[11]]="","",Table261425678[[#This Row],[Weight]:[Weight]]-(Table261425678[[#This Row],[Weight]:[Weight]]*((_xlfn.XMATCH(Table261425678[[#This Row],[11]],Table261425678[[#This Row],[1]:[11]],0))-1)/(COUNTA(Table261425678[[#This Row],[1]:[11]])-COUNTBLANK(Table261425678[[#This Row],[1]:[11]])-1)))</f>
        <v/>
      </c>
    </row>
    <row r="18" spans="1:35" ht="108" x14ac:dyDescent="0.2">
      <c r="A18" s="20">
        <v>6</v>
      </c>
      <c r="B18" s="119" t="s">
        <v>453</v>
      </c>
      <c r="C18" s="119" t="s">
        <v>215</v>
      </c>
      <c r="D18" s="147"/>
      <c r="E18" s="147"/>
      <c r="F18" s="121" t="s">
        <v>60</v>
      </c>
      <c r="G18" s="151" cm="1">
        <f t="array" ref="G18">_xlfn.IFS(F18="","",F18="No interest",0,F18="Nice to have",1,F18="Useful",2,F18="Important",3,F18="Very important",4,F18="Critical",5,F18="Show stopper",6)</f>
        <v>6</v>
      </c>
      <c r="H18" s="152">
        <f t="shared" ref="H18:H54" si="1">(G18/$G$11)*$F$11</f>
        <v>6.4102564102564103E-4</v>
      </c>
      <c r="I18" s="150" t="s">
        <v>321</v>
      </c>
      <c r="J18" s="35" t="str" cm="1">
        <f t="array" ref="J18">_xlfn.TEXTJOIN(","&amp;CHAR(10),,TEXT(Table261425678[[#This Row],[12]:[22]],"0,00%"))</f>
        <v>0,00%,
0,00%,
0,00%,
0,00%,
0,00%</v>
      </c>
      <c r="K18" s="36"/>
      <c r="L18" s="37" t="e">
        <f>H18-(H18*((MATCH(Table261425678[[#This Row],[Evaluators Response (SELECT)]],Table261425678[[#This Row],[1]:[11]],0)-1)/(COUNTA(Table261425678[[#This Row],[1]:[11]])-COUNTBLANK(Table261425678[[#This Row],[1]:[11]])-1)))</f>
        <v>#N/A</v>
      </c>
      <c r="M18" s="38"/>
      <c r="N18" s="29" t="str" cm="1">
        <f t="array" ref="N18">IFERROR(INDEX(_xlfn.UNIQUE(TRIM(_xlfn.TEXTSPLIT(Table261425678[[#This Row],[Selection Options]:[Selection Options]],","))),,N$11),"")</f>
        <v>100%: Supported as delivered "out of the box"</v>
      </c>
      <c r="O18" s="29" t="str" cm="1">
        <f t="array" ref="O18">IFERROR(INDEX(_xlfn.UNIQUE(TRIM(_xlfn.TEXTSPLIT(Table261425678[[#This Row],[Selection Options]:[Selection Options]],","))),,O$11),"")</f>
        <v xml:space="preserve">
75%: Supported via modifications (config)</v>
      </c>
      <c r="P18" s="29" t="str" cm="1">
        <f t="array" ref="P18">IFERROR(INDEX(_xlfn.UNIQUE(TRIM(_xlfn.TEXTSPLIT(Table261425678[[#This Row],[Selection Options]:[Selection Options]],","))),,P$11),"")</f>
        <v xml:space="preserve">
50%: Supported via a third party solution</v>
      </c>
      <c r="Q18" s="29" t="str" cm="1">
        <f t="array" ref="Q18">IFERROR(INDEX(_xlfn.UNIQUE(TRIM(_xlfn.TEXTSPLIT(Table261425678[[#This Row],[Selection Options]:[Selection Options]],","))),,Q$11),"")</f>
        <v xml:space="preserve">
25%: Supported via customisation (source code changes)</v>
      </c>
      <c r="R18" s="29" t="str" cm="1">
        <f t="array" ref="R18">IFERROR(INDEX(_xlfn.UNIQUE(TRIM(_xlfn.TEXTSPLIT(Table261425678[[#This Row],[Selection Options]:[Selection Options]],","))),,R$11),"")</f>
        <v xml:space="preserve">
 0%: Not currently supported</v>
      </c>
      <c r="S18" s="29" t="str" cm="1">
        <f t="array" ref="S18">IFERROR(INDEX(_xlfn.UNIQUE(TRIM(_xlfn.TEXTSPLIT(Table261425678[[#This Row],[Selection Options]:[Selection Options]],","))),,S$11),"")</f>
        <v/>
      </c>
      <c r="T18" s="29" t="str" cm="1">
        <f t="array" ref="T18">IFERROR(INDEX(_xlfn.UNIQUE(TRIM(_xlfn.TEXTSPLIT(Table261425678[[#This Row],[Selection Options]:[Selection Options]],","))),,T$11),"")</f>
        <v/>
      </c>
      <c r="U18" s="29" t="str" cm="1">
        <f t="array" ref="U18">IFERROR(INDEX(_xlfn.UNIQUE(TRIM(_xlfn.TEXTSPLIT(Table261425678[[#This Row],[Selection Options]:[Selection Options]],","))),,U$11),"")</f>
        <v/>
      </c>
      <c r="V18" s="29" t="str" cm="1">
        <f t="array" ref="V18">IFERROR(INDEX(_xlfn.UNIQUE(TRIM(_xlfn.TEXTSPLIT(Table261425678[[#This Row],[Selection Options]:[Selection Options]],","))),,V$11),"")</f>
        <v/>
      </c>
      <c r="W18" s="29" t="str" cm="1">
        <f t="array" ref="W18">IFERROR(INDEX(_xlfn.UNIQUE(TRIM(_xlfn.TEXTSPLIT(Table261425678[[#This Row],[Selection Options]:[Selection Options]],","))),,W$11),"")</f>
        <v/>
      </c>
      <c r="X18" s="29" t="str" cm="1">
        <f t="array" ref="X18">IFERROR(INDEX(_xlfn.UNIQUE(TRIM(_xlfn.TEXTSPLIT(Table261425678[[#This Row],[Selection Options]:[Selection Options]],","))),,X$11),"")</f>
        <v/>
      </c>
      <c r="Y18" s="30" cm="1">
        <f t="array" ref="Y18">IF(Table261425678[[#This Row],[1]]="","",Table261425678[[#This Row],[Weight]:[Weight]]-(Table261425678[[#This Row],[Weight]:[Weight]]*((_xlfn.XMATCH(Table261425678[[#This Row],[1]],Table261425678[[#This Row],[1]:[11]],0))-1)/(COUNTA(Table261425678[[#This Row],[1]:[11]])-COUNTBLANK(Table261425678[[#This Row],[1]:[11]])-1)))</f>
        <v>6.4102564102564103E-4</v>
      </c>
      <c r="Z18" s="30" cm="1">
        <f t="array" ref="Z18">IF(Table261425678[[#This Row],[2]]="","",Table261425678[[#This Row],[Weight]:[Weight]]-(Table261425678[[#This Row],[Weight]:[Weight]]*((_xlfn.XMATCH(Table261425678[[#This Row],[2]],Table261425678[[#This Row],[1]:[11]],0))-1)/(COUNTA(Table261425678[[#This Row],[1]:[11]])-COUNTBLANK(Table261425678[[#This Row],[1]:[11]])-1)))</f>
        <v>4.807692307692308E-4</v>
      </c>
      <c r="AA18" s="30" cm="1">
        <f t="array" ref="AA18">IF(Table261425678[[#This Row],[3]]="","",Table261425678[[#This Row],[Weight]:[Weight]]-(Table261425678[[#This Row],[Weight]:[Weight]]*((_xlfn.XMATCH(Table261425678[[#This Row],[3]],Table261425678[[#This Row],[1]:[11]],0))-1)/(COUNTA(Table261425678[[#This Row],[1]:[11]])-COUNTBLANK(Table261425678[[#This Row],[1]:[11]])-1)))</f>
        <v>3.2051282051282051E-4</v>
      </c>
      <c r="AB18" s="30" cm="1">
        <f t="array" ref="AB18">IF(Table261425678[[#This Row],[4]]="","",Table261425678[[#This Row],[Weight]:[Weight]]-(Table261425678[[#This Row],[Weight]:[Weight]]*((_xlfn.XMATCH(Table261425678[[#This Row],[4]],Table261425678[[#This Row],[1]:[11]],0))-1)/(COUNTA(Table261425678[[#This Row],[1]:[11]])-COUNTBLANK(Table261425678[[#This Row],[1]:[11]])-1)))</f>
        <v>1.6025641025641023E-4</v>
      </c>
      <c r="AC18" s="30" cm="1">
        <f t="array" ref="AC18">IF(Table261425678[[#This Row],[5]]="","",Table261425678[[#This Row],[Weight]:[Weight]]-(Table261425678[[#This Row],[Weight]:[Weight]]*((_xlfn.XMATCH(Table261425678[[#This Row],[5]],Table261425678[[#This Row],[1]:[11]],0))-1)/(COUNTA(Table261425678[[#This Row],[1]:[11]])-COUNTBLANK(Table261425678[[#This Row],[1]:[11]])-1)))</f>
        <v>0</v>
      </c>
      <c r="AD18" s="30" t="str" cm="1">
        <f t="array" ref="AD18">IF(Table261425678[[#This Row],[6]]="","",Table261425678[[#This Row],[Weight]:[Weight]]-(Table261425678[[#This Row],[Weight]:[Weight]]*((_xlfn.XMATCH(Table261425678[[#This Row],[6]],Table261425678[[#This Row],[1]:[11]],0))-1)/(COUNTA(Table261425678[[#This Row],[1]:[11]])-COUNTBLANK(Table261425678[[#This Row],[1]:[11]])-1)))</f>
        <v/>
      </c>
      <c r="AE18" s="30" t="str" cm="1">
        <f t="array" ref="AE18">IF(Table261425678[[#This Row],[7]]="","",Table261425678[[#This Row],[Weight]:[Weight]]-(Table261425678[[#This Row],[Weight]:[Weight]]*((_xlfn.XMATCH(Table261425678[[#This Row],[7]],Table261425678[[#This Row],[1]:[11]],0))-1)/(COUNTA(Table261425678[[#This Row],[1]:[11]])-COUNTBLANK(Table261425678[[#This Row],[1]:[11]])-1)))</f>
        <v/>
      </c>
      <c r="AF18" s="30" t="str" cm="1">
        <f t="array" ref="AF18">IF(Table261425678[[#This Row],[8]]="","",Table261425678[[#This Row],[Weight]:[Weight]]-(Table261425678[[#This Row],[Weight]:[Weight]]*((_xlfn.XMATCH(Table261425678[[#This Row],[8]],Table261425678[[#This Row],[1]:[11]],0))-1)/(COUNTA(Table261425678[[#This Row],[1]:[11]])-COUNTBLANK(Table261425678[[#This Row],[1]:[11]])-1)))</f>
        <v/>
      </c>
      <c r="AG18" s="30" t="str" cm="1">
        <f t="array" ref="AG18">IF(Table261425678[[#This Row],[9]]="","",Table261425678[[#This Row],[Weight]:[Weight]]-(Table261425678[[#This Row],[Weight]:[Weight]]*((_xlfn.XMATCH(Table261425678[[#This Row],[9]],Table261425678[[#This Row],[1]:[11]],0))-1)/(COUNTA(Table261425678[[#This Row],[1]:[11]])-COUNTBLANK(Table261425678[[#This Row],[1]:[11]])-1)))</f>
        <v/>
      </c>
      <c r="AH18" s="30" t="str" cm="1">
        <f t="array" ref="AH18">IF(Table261425678[[#This Row],[10]]="","",Table261425678[[#This Row],[Weight]:[Weight]]-(Table261425678[[#This Row],[Weight]:[Weight]]*((_xlfn.XMATCH(Table261425678[[#This Row],[10]],Table261425678[[#This Row],[1]:[11]],0))-1)/(COUNTA(Table261425678[[#This Row],[1]:[11]])-COUNTBLANK(Table261425678[[#This Row],[1]:[11]])-1)))</f>
        <v/>
      </c>
      <c r="AI18" s="30" t="str" cm="1">
        <f t="array" ref="AI18">IF(Table261425678[[#This Row],[11]]="","",Table261425678[[#This Row],[Weight]:[Weight]]-(Table261425678[[#This Row],[Weight]:[Weight]]*((_xlfn.XMATCH(Table261425678[[#This Row],[11]],Table261425678[[#This Row],[1]:[11]],0))-1)/(COUNTA(Table261425678[[#This Row],[1]:[11]])-COUNTBLANK(Table261425678[[#This Row],[1]:[11]])-1)))</f>
        <v/>
      </c>
    </row>
    <row r="19" spans="1:35" ht="108" x14ac:dyDescent="0.2">
      <c r="A19" s="20">
        <v>7</v>
      </c>
      <c r="B19" s="119" t="s">
        <v>454</v>
      </c>
      <c r="C19" s="119" t="s">
        <v>215</v>
      </c>
      <c r="D19" s="147"/>
      <c r="E19" s="147"/>
      <c r="F19" s="121" t="s">
        <v>60</v>
      </c>
      <c r="G19" s="151" cm="1">
        <f t="array" ref="G19">_xlfn.IFS(F19="","",F19="No interest",0,F19="Nice to have",1,F19="Useful",2,F19="Important",3,F19="Very important",4,F19="Critical",5,F19="Show stopper",6)</f>
        <v>6</v>
      </c>
      <c r="H19" s="152">
        <f t="shared" si="1"/>
        <v>6.4102564102564103E-4</v>
      </c>
      <c r="I19" s="150" t="s">
        <v>321</v>
      </c>
      <c r="J19" s="35" t="str" cm="1">
        <f t="array" ref="J19">_xlfn.TEXTJOIN(","&amp;CHAR(10),,TEXT(Table261425678[[#This Row],[12]:[22]],"0,00%"))</f>
        <v>0,00%,
0,00%,
0,00%,
0,00%,
0,00%</v>
      </c>
      <c r="K19" s="36"/>
      <c r="L19" s="37" t="e">
        <f>H19-(H19*((MATCH(Table261425678[[#This Row],[Evaluators Response (SELECT)]],Table261425678[[#This Row],[1]:[11]],0)-1)/(COUNTA(Table261425678[[#This Row],[1]:[11]])-COUNTBLANK(Table261425678[[#This Row],[1]:[11]])-1)))</f>
        <v>#N/A</v>
      </c>
      <c r="M19" s="38"/>
      <c r="N19" s="29" t="str" cm="1">
        <f t="array" ref="N19">IFERROR(INDEX(_xlfn.UNIQUE(TRIM(_xlfn.TEXTSPLIT(Table261425678[[#This Row],[Selection Options]:[Selection Options]],","))),,N$11),"")</f>
        <v>100%: Supported as delivered "out of the box"</v>
      </c>
      <c r="O19" s="29" t="str" cm="1">
        <f t="array" ref="O19">IFERROR(INDEX(_xlfn.UNIQUE(TRIM(_xlfn.TEXTSPLIT(Table261425678[[#This Row],[Selection Options]:[Selection Options]],","))),,O$11),"")</f>
        <v xml:space="preserve">
75%: Supported via modifications (config)</v>
      </c>
      <c r="P19" s="29" t="str" cm="1">
        <f t="array" ref="P19">IFERROR(INDEX(_xlfn.UNIQUE(TRIM(_xlfn.TEXTSPLIT(Table261425678[[#This Row],[Selection Options]:[Selection Options]],","))),,P$11),"")</f>
        <v xml:space="preserve">
50%: Supported via a third party solution</v>
      </c>
      <c r="Q19" s="29" t="str" cm="1">
        <f t="array" ref="Q19">IFERROR(INDEX(_xlfn.UNIQUE(TRIM(_xlfn.TEXTSPLIT(Table261425678[[#This Row],[Selection Options]:[Selection Options]],","))),,Q$11),"")</f>
        <v xml:space="preserve">
25%: Supported via customisation (source code changes)</v>
      </c>
      <c r="R19" s="29" t="str" cm="1">
        <f t="array" ref="R19">IFERROR(INDEX(_xlfn.UNIQUE(TRIM(_xlfn.TEXTSPLIT(Table261425678[[#This Row],[Selection Options]:[Selection Options]],","))),,R$11),"")</f>
        <v xml:space="preserve">
 0%: Not currently supported</v>
      </c>
      <c r="S19" s="29" t="str" cm="1">
        <f t="array" ref="S19">IFERROR(INDEX(_xlfn.UNIQUE(TRIM(_xlfn.TEXTSPLIT(Table261425678[[#This Row],[Selection Options]:[Selection Options]],","))),,S$11),"")</f>
        <v/>
      </c>
      <c r="T19" s="29" t="str" cm="1">
        <f t="array" ref="T19">IFERROR(INDEX(_xlfn.UNIQUE(TRIM(_xlfn.TEXTSPLIT(Table261425678[[#This Row],[Selection Options]:[Selection Options]],","))),,T$11),"")</f>
        <v/>
      </c>
      <c r="U19" s="29" t="str" cm="1">
        <f t="array" ref="U19">IFERROR(INDEX(_xlfn.UNIQUE(TRIM(_xlfn.TEXTSPLIT(Table261425678[[#This Row],[Selection Options]:[Selection Options]],","))),,U$11),"")</f>
        <v/>
      </c>
      <c r="V19" s="29" t="str" cm="1">
        <f t="array" ref="V19">IFERROR(INDEX(_xlfn.UNIQUE(TRIM(_xlfn.TEXTSPLIT(Table261425678[[#This Row],[Selection Options]:[Selection Options]],","))),,V$11),"")</f>
        <v/>
      </c>
      <c r="W19" s="29" t="str" cm="1">
        <f t="array" ref="W19">IFERROR(INDEX(_xlfn.UNIQUE(TRIM(_xlfn.TEXTSPLIT(Table261425678[[#This Row],[Selection Options]:[Selection Options]],","))),,W$11),"")</f>
        <v/>
      </c>
      <c r="X19" s="29" t="str" cm="1">
        <f t="array" ref="X19">IFERROR(INDEX(_xlfn.UNIQUE(TRIM(_xlfn.TEXTSPLIT(Table261425678[[#This Row],[Selection Options]:[Selection Options]],","))),,X$11),"")</f>
        <v/>
      </c>
      <c r="Y19" s="30" cm="1">
        <f t="array" ref="Y19">IF(Table261425678[[#This Row],[1]]="","",Table261425678[[#This Row],[Weight]:[Weight]]-(Table261425678[[#This Row],[Weight]:[Weight]]*((_xlfn.XMATCH(Table261425678[[#This Row],[1]],Table261425678[[#This Row],[1]:[11]],0))-1)/(COUNTA(Table261425678[[#This Row],[1]:[11]])-COUNTBLANK(Table261425678[[#This Row],[1]:[11]])-1)))</f>
        <v>6.4102564102564103E-4</v>
      </c>
      <c r="Z19" s="30" cm="1">
        <f t="array" ref="Z19">IF(Table261425678[[#This Row],[2]]="","",Table261425678[[#This Row],[Weight]:[Weight]]-(Table261425678[[#This Row],[Weight]:[Weight]]*((_xlfn.XMATCH(Table261425678[[#This Row],[2]],Table261425678[[#This Row],[1]:[11]],0))-1)/(COUNTA(Table261425678[[#This Row],[1]:[11]])-COUNTBLANK(Table261425678[[#This Row],[1]:[11]])-1)))</f>
        <v>4.807692307692308E-4</v>
      </c>
      <c r="AA19" s="30" cm="1">
        <f t="array" ref="AA19">IF(Table261425678[[#This Row],[3]]="","",Table261425678[[#This Row],[Weight]:[Weight]]-(Table261425678[[#This Row],[Weight]:[Weight]]*((_xlfn.XMATCH(Table261425678[[#This Row],[3]],Table261425678[[#This Row],[1]:[11]],0))-1)/(COUNTA(Table261425678[[#This Row],[1]:[11]])-COUNTBLANK(Table261425678[[#This Row],[1]:[11]])-1)))</f>
        <v>3.2051282051282051E-4</v>
      </c>
      <c r="AB19" s="30" cm="1">
        <f t="array" ref="AB19">IF(Table261425678[[#This Row],[4]]="","",Table261425678[[#This Row],[Weight]:[Weight]]-(Table261425678[[#This Row],[Weight]:[Weight]]*((_xlfn.XMATCH(Table261425678[[#This Row],[4]],Table261425678[[#This Row],[1]:[11]],0))-1)/(COUNTA(Table261425678[[#This Row],[1]:[11]])-COUNTBLANK(Table261425678[[#This Row],[1]:[11]])-1)))</f>
        <v>1.6025641025641023E-4</v>
      </c>
      <c r="AC19" s="30" cm="1">
        <f t="array" ref="AC19">IF(Table261425678[[#This Row],[5]]="","",Table261425678[[#This Row],[Weight]:[Weight]]-(Table261425678[[#This Row],[Weight]:[Weight]]*((_xlfn.XMATCH(Table261425678[[#This Row],[5]],Table261425678[[#This Row],[1]:[11]],0))-1)/(COUNTA(Table261425678[[#This Row],[1]:[11]])-COUNTBLANK(Table261425678[[#This Row],[1]:[11]])-1)))</f>
        <v>0</v>
      </c>
      <c r="AD19" s="30" t="str" cm="1">
        <f t="array" ref="AD19">IF(Table261425678[[#This Row],[6]]="","",Table261425678[[#This Row],[Weight]:[Weight]]-(Table261425678[[#This Row],[Weight]:[Weight]]*((_xlfn.XMATCH(Table261425678[[#This Row],[6]],Table261425678[[#This Row],[1]:[11]],0))-1)/(COUNTA(Table261425678[[#This Row],[1]:[11]])-COUNTBLANK(Table261425678[[#This Row],[1]:[11]])-1)))</f>
        <v/>
      </c>
      <c r="AE19" s="30" t="str" cm="1">
        <f t="array" ref="AE19">IF(Table261425678[[#This Row],[7]]="","",Table261425678[[#This Row],[Weight]:[Weight]]-(Table261425678[[#This Row],[Weight]:[Weight]]*((_xlfn.XMATCH(Table261425678[[#This Row],[7]],Table261425678[[#This Row],[1]:[11]],0))-1)/(COUNTA(Table261425678[[#This Row],[1]:[11]])-COUNTBLANK(Table261425678[[#This Row],[1]:[11]])-1)))</f>
        <v/>
      </c>
      <c r="AF19" s="30" t="str" cm="1">
        <f t="array" ref="AF19">IF(Table261425678[[#This Row],[8]]="","",Table261425678[[#This Row],[Weight]:[Weight]]-(Table261425678[[#This Row],[Weight]:[Weight]]*((_xlfn.XMATCH(Table261425678[[#This Row],[8]],Table261425678[[#This Row],[1]:[11]],0))-1)/(COUNTA(Table261425678[[#This Row],[1]:[11]])-COUNTBLANK(Table261425678[[#This Row],[1]:[11]])-1)))</f>
        <v/>
      </c>
      <c r="AG19" s="30" t="str" cm="1">
        <f t="array" ref="AG19">IF(Table261425678[[#This Row],[9]]="","",Table261425678[[#This Row],[Weight]:[Weight]]-(Table261425678[[#This Row],[Weight]:[Weight]]*((_xlfn.XMATCH(Table261425678[[#This Row],[9]],Table261425678[[#This Row],[1]:[11]],0))-1)/(COUNTA(Table261425678[[#This Row],[1]:[11]])-COUNTBLANK(Table261425678[[#This Row],[1]:[11]])-1)))</f>
        <v/>
      </c>
      <c r="AH19" s="30" t="str" cm="1">
        <f t="array" ref="AH19">IF(Table261425678[[#This Row],[10]]="","",Table261425678[[#This Row],[Weight]:[Weight]]-(Table261425678[[#This Row],[Weight]:[Weight]]*((_xlfn.XMATCH(Table261425678[[#This Row],[10]],Table261425678[[#This Row],[1]:[11]],0))-1)/(COUNTA(Table261425678[[#This Row],[1]:[11]])-COUNTBLANK(Table261425678[[#This Row],[1]:[11]])-1)))</f>
        <v/>
      </c>
      <c r="AI19" s="30" t="str" cm="1">
        <f t="array" ref="AI19">IF(Table261425678[[#This Row],[11]]="","",Table261425678[[#This Row],[Weight]:[Weight]]-(Table261425678[[#This Row],[Weight]:[Weight]]*((_xlfn.XMATCH(Table261425678[[#This Row],[11]],Table261425678[[#This Row],[1]:[11]],0))-1)/(COUNTA(Table261425678[[#This Row],[1]:[11]])-COUNTBLANK(Table261425678[[#This Row],[1]:[11]])-1)))</f>
        <v/>
      </c>
    </row>
    <row r="20" spans="1:35" ht="108" x14ac:dyDescent="0.2">
      <c r="A20" s="20">
        <v>8</v>
      </c>
      <c r="B20" s="119" t="s">
        <v>455</v>
      </c>
      <c r="C20" s="119" t="s">
        <v>215</v>
      </c>
      <c r="D20" s="147"/>
      <c r="E20" s="147"/>
      <c r="F20" s="121" t="s">
        <v>188</v>
      </c>
      <c r="G20" s="151" cm="1">
        <f t="array" ref="G20">_xlfn.IFS(F20="","",F20="No interest",0,F20="Nice to have",1,F20="Useful",2,F20="Important",3,F20="Very important",4,F20="Critical",5,F20="Show stopper",6)</f>
        <v>5</v>
      </c>
      <c r="H20" s="152">
        <f t="shared" si="1"/>
        <v>5.3418803418803424E-4</v>
      </c>
      <c r="I20" s="150" t="s">
        <v>321</v>
      </c>
      <c r="J20" s="35" t="str" cm="1">
        <f t="array" ref="J20">_xlfn.TEXTJOIN(","&amp;CHAR(10),,TEXT(Table261425678[[#This Row],[12]:[22]],"0,00%"))</f>
        <v>0,00%,
0,00%,
0,00%,
0,00%,
0,00%</v>
      </c>
      <c r="K20" s="36"/>
      <c r="L20" s="37" t="e">
        <f>H20-(H20*((MATCH(Table261425678[[#This Row],[Evaluators Response (SELECT)]],Table261425678[[#This Row],[1]:[11]],0)-1)/(COUNTA(Table261425678[[#This Row],[1]:[11]])-COUNTBLANK(Table261425678[[#This Row],[1]:[11]])-1)))</f>
        <v>#N/A</v>
      </c>
      <c r="M20" s="38"/>
      <c r="N20" s="29" t="str" cm="1">
        <f t="array" ref="N20">IFERROR(INDEX(_xlfn.UNIQUE(TRIM(_xlfn.TEXTSPLIT(Table261425678[[#This Row],[Selection Options]:[Selection Options]],","))),,N$11),"")</f>
        <v>100%: Supported as delivered "out of the box"</v>
      </c>
      <c r="O20" s="29" t="str" cm="1">
        <f t="array" ref="O20">IFERROR(INDEX(_xlfn.UNIQUE(TRIM(_xlfn.TEXTSPLIT(Table261425678[[#This Row],[Selection Options]:[Selection Options]],","))),,O$11),"")</f>
        <v xml:space="preserve">
75%: Supported via modifications (config)</v>
      </c>
      <c r="P20" s="29" t="str" cm="1">
        <f t="array" ref="P20">IFERROR(INDEX(_xlfn.UNIQUE(TRIM(_xlfn.TEXTSPLIT(Table261425678[[#This Row],[Selection Options]:[Selection Options]],","))),,P$11),"")</f>
        <v xml:space="preserve">
50%: Supported via a third party solution</v>
      </c>
      <c r="Q20" s="29" t="str" cm="1">
        <f t="array" ref="Q20">IFERROR(INDEX(_xlfn.UNIQUE(TRIM(_xlfn.TEXTSPLIT(Table261425678[[#This Row],[Selection Options]:[Selection Options]],","))),,Q$11),"")</f>
        <v xml:space="preserve">
25%: Supported via customisation (source code changes)</v>
      </c>
      <c r="R20" s="29" t="str" cm="1">
        <f t="array" ref="R20">IFERROR(INDEX(_xlfn.UNIQUE(TRIM(_xlfn.TEXTSPLIT(Table261425678[[#This Row],[Selection Options]:[Selection Options]],","))),,R$11),"")</f>
        <v xml:space="preserve">
 0%: Not currently supported</v>
      </c>
      <c r="S20" s="29" t="str" cm="1">
        <f t="array" ref="S20">IFERROR(INDEX(_xlfn.UNIQUE(TRIM(_xlfn.TEXTSPLIT(Table261425678[[#This Row],[Selection Options]:[Selection Options]],","))),,S$11),"")</f>
        <v/>
      </c>
      <c r="T20" s="29" t="str" cm="1">
        <f t="array" ref="T20">IFERROR(INDEX(_xlfn.UNIQUE(TRIM(_xlfn.TEXTSPLIT(Table261425678[[#This Row],[Selection Options]:[Selection Options]],","))),,T$11),"")</f>
        <v/>
      </c>
      <c r="U20" s="29" t="str" cm="1">
        <f t="array" ref="U20">IFERROR(INDEX(_xlfn.UNIQUE(TRIM(_xlfn.TEXTSPLIT(Table261425678[[#This Row],[Selection Options]:[Selection Options]],","))),,U$11),"")</f>
        <v/>
      </c>
      <c r="V20" s="29" t="str" cm="1">
        <f t="array" ref="V20">IFERROR(INDEX(_xlfn.UNIQUE(TRIM(_xlfn.TEXTSPLIT(Table261425678[[#This Row],[Selection Options]:[Selection Options]],","))),,V$11),"")</f>
        <v/>
      </c>
      <c r="W20" s="29" t="str" cm="1">
        <f t="array" ref="W20">IFERROR(INDEX(_xlfn.UNIQUE(TRIM(_xlfn.TEXTSPLIT(Table261425678[[#This Row],[Selection Options]:[Selection Options]],","))),,W$11),"")</f>
        <v/>
      </c>
      <c r="X20" s="29" t="str" cm="1">
        <f t="array" ref="X20">IFERROR(INDEX(_xlfn.UNIQUE(TRIM(_xlfn.TEXTSPLIT(Table261425678[[#This Row],[Selection Options]:[Selection Options]],","))),,X$11),"")</f>
        <v/>
      </c>
      <c r="Y20" s="30" cm="1">
        <f t="array" ref="Y20">IF(Table261425678[[#This Row],[1]]="","",Table261425678[[#This Row],[Weight]:[Weight]]-(Table261425678[[#This Row],[Weight]:[Weight]]*((_xlfn.XMATCH(Table261425678[[#This Row],[1]],Table261425678[[#This Row],[1]:[11]],0))-1)/(COUNTA(Table261425678[[#This Row],[1]:[11]])-COUNTBLANK(Table261425678[[#This Row],[1]:[11]])-1)))</f>
        <v>5.3418803418803424E-4</v>
      </c>
      <c r="Z20" s="30" cm="1">
        <f t="array" ref="Z20">IF(Table261425678[[#This Row],[2]]="","",Table261425678[[#This Row],[Weight]:[Weight]]-(Table261425678[[#This Row],[Weight]:[Weight]]*((_xlfn.XMATCH(Table261425678[[#This Row],[2]],Table261425678[[#This Row],[1]:[11]],0))-1)/(COUNTA(Table261425678[[#This Row],[1]:[11]])-COUNTBLANK(Table261425678[[#This Row],[1]:[11]])-1)))</f>
        <v>4.0064102564102568E-4</v>
      </c>
      <c r="AA20" s="30" cm="1">
        <f t="array" ref="AA20">IF(Table261425678[[#This Row],[3]]="","",Table261425678[[#This Row],[Weight]:[Weight]]-(Table261425678[[#This Row],[Weight]:[Weight]]*((_xlfn.XMATCH(Table261425678[[#This Row],[3]],Table261425678[[#This Row],[1]:[11]],0))-1)/(COUNTA(Table261425678[[#This Row],[1]:[11]])-COUNTBLANK(Table261425678[[#This Row],[1]:[11]])-1)))</f>
        <v>2.6709401709401712E-4</v>
      </c>
      <c r="AB20" s="30" cm="1">
        <f t="array" ref="AB20">IF(Table261425678[[#This Row],[4]]="","",Table261425678[[#This Row],[Weight]:[Weight]]-(Table261425678[[#This Row],[Weight]:[Weight]]*((_xlfn.XMATCH(Table261425678[[#This Row],[4]],Table261425678[[#This Row],[1]:[11]],0))-1)/(COUNTA(Table261425678[[#This Row],[1]:[11]])-COUNTBLANK(Table261425678[[#This Row],[1]:[11]])-1)))</f>
        <v>1.3354700854700856E-4</v>
      </c>
      <c r="AC20" s="30" cm="1">
        <f t="array" ref="AC20">IF(Table261425678[[#This Row],[5]]="","",Table261425678[[#This Row],[Weight]:[Weight]]-(Table261425678[[#This Row],[Weight]:[Weight]]*((_xlfn.XMATCH(Table261425678[[#This Row],[5]],Table261425678[[#This Row],[1]:[11]],0))-1)/(COUNTA(Table261425678[[#This Row],[1]:[11]])-COUNTBLANK(Table261425678[[#This Row],[1]:[11]])-1)))</f>
        <v>0</v>
      </c>
      <c r="AD20" s="30" t="str" cm="1">
        <f t="array" ref="AD20">IF(Table261425678[[#This Row],[6]]="","",Table261425678[[#This Row],[Weight]:[Weight]]-(Table261425678[[#This Row],[Weight]:[Weight]]*((_xlfn.XMATCH(Table261425678[[#This Row],[6]],Table261425678[[#This Row],[1]:[11]],0))-1)/(COUNTA(Table261425678[[#This Row],[1]:[11]])-COUNTBLANK(Table261425678[[#This Row],[1]:[11]])-1)))</f>
        <v/>
      </c>
      <c r="AE20" s="30" t="str" cm="1">
        <f t="array" ref="AE20">IF(Table261425678[[#This Row],[7]]="","",Table261425678[[#This Row],[Weight]:[Weight]]-(Table261425678[[#This Row],[Weight]:[Weight]]*((_xlfn.XMATCH(Table261425678[[#This Row],[7]],Table261425678[[#This Row],[1]:[11]],0))-1)/(COUNTA(Table261425678[[#This Row],[1]:[11]])-COUNTBLANK(Table261425678[[#This Row],[1]:[11]])-1)))</f>
        <v/>
      </c>
      <c r="AF20" s="30" t="str" cm="1">
        <f t="array" ref="AF20">IF(Table261425678[[#This Row],[8]]="","",Table261425678[[#This Row],[Weight]:[Weight]]-(Table261425678[[#This Row],[Weight]:[Weight]]*((_xlfn.XMATCH(Table261425678[[#This Row],[8]],Table261425678[[#This Row],[1]:[11]],0))-1)/(COUNTA(Table261425678[[#This Row],[1]:[11]])-COUNTBLANK(Table261425678[[#This Row],[1]:[11]])-1)))</f>
        <v/>
      </c>
      <c r="AG20" s="30" t="str" cm="1">
        <f t="array" ref="AG20">IF(Table261425678[[#This Row],[9]]="","",Table261425678[[#This Row],[Weight]:[Weight]]-(Table261425678[[#This Row],[Weight]:[Weight]]*((_xlfn.XMATCH(Table261425678[[#This Row],[9]],Table261425678[[#This Row],[1]:[11]],0))-1)/(COUNTA(Table261425678[[#This Row],[1]:[11]])-COUNTBLANK(Table261425678[[#This Row],[1]:[11]])-1)))</f>
        <v/>
      </c>
      <c r="AH20" s="30" t="str" cm="1">
        <f t="array" ref="AH20">IF(Table261425678[[#This Row],[10]]="","",Table261425678[[#This Row],[Weight]:[Weight]]-(Table261425678[[#This Row],[Weight]:[Weight]]*((_xlfn.XMATCH(Table261425678[[#This Row],[10]],Table261425678[[#This Row],[1]:[11]],0))-1)/(COUNTA(Table261425678[[#This Row],[1]:[11]])-COUNTBLANK(Table261425678[[#This Row],[1]:[11]])-1)))</f>
        <v/>
      </c>
      <c r="AI20" s="30" t="str" cm="1">
        <f t="array" ref="AI20">IF(Table261425678[[#This Row],[11]]="","",Table261425678[[#This Row],[Weight]:[Weight]]-(Table261425678[[#This Row],[Weight]:[Weight]]*((_xlfn.XMATCH(Table261425678[[#This Row],[11]],Table261425678[[#This Row],[1]:[11]],0))-1)/(COUNTA(Table261425678[[#This Row],[1]:[11]])-COUNTBLANK(Table261425678[[#This Row],[1]:[11]])-1)))</f>
        <v/>
      </c>
    </row>
    <row r="21" spans="1:35" ht="108" x14ac:dyDescent="0.2">
      <c r="A21" s="20">
        <v>9</v>
      </c>
      <c r="B21" s="119" t="s">
        <v>456</v>
      </c>
      <c r="C21" s="119" t="s">
        <v>215</v>
      </c>
      <c r="D21" s="146"/>
      <c r="E21" s="146"/>
      <c r="F21" s="121" t="s">
        <v>60</v>
      </c>
      <c r="G21" s="148" cm="1">
        <f t="array" ref="G21">_xlfn.IFS(F21="","",F21="No interest",0,F21="Nice to have",1,F21="Useful",2,F21="Important",3,F21="Very important",4,F21="Critical",5,F21="Show stopper",6)</f>
        <v>6</v>
      </c>
      <c r="H21" s="149">
        <f t="shared" si="1"/>
        <v>6.4102564102564103E-4</v>
      </c>
      <c r="I21" s="150" t="s">
        <v>321</v>
      </c>
      <c r="J21" s="35" t="str" cm="1">
        <f t="array" ref="J21">_xlfn.TEXTJOIN(","&amp;CHAR(10),,TEXT(Table261425678[[#This Row],[12]:[22]],"0,00%"))</f>
        <v>0,00%,
0,00%,
0,00%,
0,00%,
0,00%</v>
      </c>
      <c r="K21" s="26"/>
      <c r="L21" s="27" t="e">
        <f>H21-(H21*((MATCH(Table261425678[[#This Row],[Evaluators Response (SELECT)]],Table261425678[[#This Row],[1]:[11]],0)-1)/(COUNTA(Table261425678[[#This Row],[1]:[11]])-COUNTBLANK(Table261425678[[#This Row],[1]:[11]])-1)))</f>
        <v>#N/A</v>
      </c>
      <c r="M21" s="28"/>
      <c r="N21" s="29" t="str" cm="1">
        <f t="array" ref="N21">IFERROR(INDEX(_xlfn.UNIQUE(TRIM(_xlfn.TEXTSPLIT(Table261425678[[#This Row],[Selection Options]:[Selection Options]],","))),,N$11),"")</f>
        <v>100%: Supported as delivered "out of the box"</v>
      </c>
      <c r="O21" s="29" t="str" cm="1">
        <f t="array" ref="O21">IFERROR(INDEX(_xlfn.UNIQUE(TRIM(_xlfn.TEXTSPLIT(Table261425678[[#This Row],[Selection Options]:[Selection Options]],","))),,O$11),"")</f>
        <v xml:space="preserve">
75%: Supported via modifications (config)</v>
      </c>
      <c r="P21" s="29" t="str" cm="1">
        <f t="array" ref="P21">IFERROR(INDEX(_xlfn.UNIQUE(TRIM(_xlfn.TEXTSPLIT(Table261425678[[#This Row],[Selection Options]:[Selection Options]],","))),,P$11),"")</f>
        <v xml:space="preserve">
50%: Supported via a third party solution</v>
      </c>
      <c r="Q21" s="29" t="str" cm="1">
        <f t="array" ref="Q21">IFERROR(INDEX(_xlfn.UNIQUE(TRIM(_xlfn.TEXTSPLIT(Table261425678[[#This Row],[Selection Options]:[Selection Options]],","))),,Q$11),"")</f>
        <v xml:space="preserve">
25%: Supported via customisation (source code changes)</v>
      </c>
      <c r="R21" s="29" t="str" cm="1">
        <f t="array" ref="R21">IFERROR(INDEX(_xlfn.UNIQUE(TRIM(_xlfn.TEXTSPLIT(Table261425678[[#This Row],[Selection Options]:[Selection Options]],","))),,R$11),"")</f>
        <v xml:space="preserve">
 0%: Not currently supported</v>
      </c>
      <c r="S21" s="29" t="str" cm="1">
        <f t="array" ref="S21">IFERROR(INDEX(_xlfn.UNIQUE(TRIM(_xlfn.TEXTSPLIT(Table261425678[[#This Row],[Selection Options]:[Selection Options]],","))),,S$11),"")</f>
        <v/>
      </c>
      <c r="T21" s="29" t="str" cm="1">
        <f t="array" ref="T21">IFERROR(INDEX(_xlfn.UNIQUE(TRIM(_xlfn.TEXTSPLIT(Table261425678[[#This Row],[Selection Options]:[Selection Options]],","))),,T$11),"")</f>
        <v/>
      </c>
      <c r="U21" s="29" t="str" cm="1">
        <f t="array" ref="U21">IFERROR(INDEX(_xlfn.UNIQUE(TRIM(_xlfn.TEXTSPLIT(Table261425678[[#This Row],[Selection Options]:[Selection Options]],","))),,U$11),"")</f>
        <v/>
      </c>
      <c r="V21" s="29" t="str" cm="1">
        <f t="array" ref="V21">IFERROR(INDEX(_xlfn.UNIQUE(TRIM(_xlfn.TEXTSPLIT(Table261425678[[#This Row],[Selection Options]:[Selection Options]],","))),,V$11),"")</f>
        <v/>
      </c>
      <c r="W21" s="29" t="str" cm="1">
        <f t="array" ref="W21">IFERROR(INDEX(_xlfn.UNIQUE(TRIM(_xlfn.TEXTSPLIT(Table261425678[[#This Row],[Selection Options]:[Selection Options]],","))),,W$11),"")</f>
        <v/>
      </c>
      <c r="X21" s="29" t="str" cm="1">
        <f t="array" ref="X21">IFERROR(INDEX(_xlfn.UNIQUE(TRIM(_xlfn.TEXTSPLIT(Table261425678[[#This Row],[Selection Options]:[Selection Options]],","))),,X$11),"")</f>
        <v/>
      </c>
      <c r="Y21" s="30" cm="1">
        <f t="array" ref="Y21">IF(Table261425678[[#This Row],[1]]="","",Table261425678[[#This Row],[Weight]:[Weight]]-(Table261425678[[#This Row],[Weight]:[Weight]]*((_xlfn.XMATCH(Table261425678[[#This Row],[1]],Table261425678[[#This Row],[1]:[11]],0))-1)/(COUNTA(Table261425678[[#This Row],[1]:[11]])-COUNTBLANK(Table261425678[[#This Row],[1]:[11]])-1)))</f>
        <v>6.4102564102564103E-4</v>
      </c>
      <c r="Z21" s="30" cm="1">
        <f t="array" ref="Z21">IF(Table261425678[[#This Row],[2]]="","",Table261425678[[#This Row],[Weight]:[Weight]]-(Table261425678[[#This Row],[Weight]:[Weight]]*((_xlfn.XMATCH(Table261425678[[#This Row],[2]],Table261425678[[#This Row],[1]:[11]],0))-1)/(COUNTA(Table261425678[[#This Row],[1]:[11]])-COUNTBLANK(Table261425678[[#This Row],[1]:[11]])-1)))</f>
        <v>4.807692307692308E-4</v>
      </c>
      <c r="AA21" s="30" cm="1">
        <f t="array" ref="AA21">IF(Table261425678[[#This Row],[3]]="","",Table261425678[[#This Row],[Weight]:[Weight]]-(Table261425678[[#This Row],[Weight]:[Weight]]*((_xlfn.XMATCH(Table261425678[[#This Row],[3]],Table261425678[[#This Row],[1]:[11]],0))-1)/(COUNTA(Table261425678[[#This Row],[1]:[11]])-COUNTBLANK(Table261425678[[#This Row],[1]:[11]])-1)))</f>
        <v>3.2051282051282051E-4</v>
      </c>
      <c r="AB21" s="30" cm="1">
        <f t="array" ref="AB21">IF(Table261425678[[#This Row],[4]]="","",Table261425678[[#This Row],[Weight]:[Weight]]-(Table261425678[[#This Row],[Weight]:[Weight]]*((_xlfn.XMATCH(Table261425678[[#This Row],[4]],Table261425678[[#This Row],[1]:[11]],0))-1)/(COUNTA(Table261425678[[#This Row],[1]:[11]])-COUNTBLANK(Table261425678[[#This Row],[1]:[11]])-1)))</f>
        <v>1.6025641025641023E-4</v>
      </c>
      <c r="AC21" s="30" cm="1">
        <f t="array" ref="AC21">IF(Table261425678[[#This Row],[5]]="","",Table261425678[[#This Row],[Weight]:[Weight]]-(Table261425678[[#This Row],[Weight]:[Weight]]*((_xlfn.XMATCH(Table261425678[[#This Row],[5]],Table261425678[[#This Row],[1]:[11]],0))-1)/(COUNTA(Table261425678[[#This Row],[1]:[11]])-COUNTBLANK(Table261425678[[#This Row],[1]:[11]])-1)))</f>
        <v>0</v>
      </c>
      <c r="AD21" s="30" t="str" cm="1">
        <f t="array" ref="AD21">IF(Table261425678[[#This Row],[6]]="","",Table261425678[[#This Row],[Weight]:[Weight]]-(Table261425678[[#This Row],[Weight]:[Weight]]*((_xlfn.XMATCH(Table261425678[[#This Row],[6]],Table261425678[[#This Row],[1]:[11]],0))-1)/(COUNTA(Table261425678[[#This Row],[1]:[11]])-COUNTBLANK(Table261425678[[#This Row],[1]:[11]])-1)))</f>
        <v/>
      </c>
      <c r="AE21" s="30" t="str" cm="1">
        <f t="array" ref="AE21">IF(Table261425678[[#This Row],[7]]="","",Table261425678[[#This Row],[Weight]:[Weight]]-(Table261425678[[#This Row],[Weight]:[Weight]]*((_xlfn.XMATCH(Table261425678[[#This Row],[7]],Table261425678[[#This Row],[1]:[11]],0))-1)/(COUNTA(Table261425678[[#This Row],[1]:[11]])-COUNTBLANK(Table261425678[[#This Row],[1]:[11]])-1)))</f>
        <v/>
      </c>
      <c r="AF21" s="30" t="str" cm="1">
        <f t="array" ref="AF21">IF(Table261425678[[#This Row],[8]]="","",Table261425678[[#This Row],[Weight]:[Weight]]-(Table261425678[[#This Row],[Weight]:[Weight]]*((_xlfn.XMATCH(Table261425678[[#This Row],[8]],Table261425678[[#This Row],[1]:[11]],0))-1)/(COUNTA(Table261425678[[#This Row],[1]:[11]])-COUNTBLANK(Table261425678[[#This Row],[1]:[11]])-1)))</f>
        <v/>
      </c>
      <c r="AG21" s="30" t="str" cm="1">
        <f t="array" ref="AG21">IF(Table261425678[[#This Row],[9]]="","",Table261425678[[#This Row],[Weight]:[Weight]]-(Table261425678[[#This Row],[Weight]:[Weight]]*((_xlfn.XMATCH(Table261425678[[#This Row],[9]],Table261425678[[#This Row],[1]:[11]],0))-1)/(COUNTA(Table261425678[[#This Row],[1]:[11]])-COUNTBLANK(Table261425678[[#This Row],[1]:[11]])-1)))</f>
        <v/>
      </c>
      <c r="AH21" s="30" t="str" cm="1">
        <f t="array" ref="AH21">IF(Table261425678[[#This Row],[10]]="","",Table261425678[[#This Row],[Weight]:[Weight]]-(Table261425678[[#This Row],[Weight]:[Weight]]*((_xlfn.XMATCH(Table261425678[[#This Row],[10]],Table261425678[[#This Row],[1]:[11]],0))-1)/(COUNTA(Table261425678[[#This Row],[1]:[11]])-COUNTBLANK(Table261425678[[#This Row],[1]:[11]])-1)))</f>
        <v/>
      </c>
      <c r="AI21" s="30" t="str" cm="1">
        <f t="array" ref="AI21">IF(Table261425678[[#This Row],[11]]="","",Table261425678[[#This Row],[Weight]:[Weight]]-(Table261425678[[#This Row],[Weight]:[Weight]]*((_xlfn.XMATCH(Table261425678[[#This Row],[11]],Table261425678[[#This Row],[1]:[11]],0))-1)/(COUNTA(Table261425678[[#This Row],[1]:[11]])-COUNTBLANK(Table261425678[[#This Row],[1]:[11]])-1)))</f>
        <v/>
      </c>
    </row>
    <row r="22" spans="1:35" ht="108" x14ac:dyDescent="0.2">
      <c r="A22" s="20">
        <v>10</v>
      </c>
      <c r="B22" s="90" t="s">
        <v>457</v>
      </c>
      <c r="C22" s="119" t="s">
        <v>215</v>
      </c>
      <c r="D22" s="146"/>
      <c r="E22" s="146"/>
      <c r="F22" s="120" t="s">
        <v>60</v>
      </c>
      <c r="G22" s="148" cm="1">
        <f t="array" ref="G22">_xlfn.IFS(F22="","",F22="No interest",0,F22="Nice to have",1,F22="Useful",2,F22="Important",3,F22="Very important",4,F22="Critical",5,F22="Show stopper",6)</f>
        <v>6</v>
      </c>
      <c r="H22" s="149">
        <f t="shared" si="1"/>
        <v>6.4102564102564103E-4</v>
      </c>
      <c r="I22" s="150" t="s">
        <v>321</v>
      </c>
      <c r="J22" s="35" t="str" cm="1">
        <f t="array" ref="J22">_xlfn.TEXTJOIN(","&amp;CHAR(10),,TEXT(Table261425678[[#This Row],[12]:[22]],"0,00%"))</f>
        <v>0,00%,
0,00%,
0,00%,
0,00%,
0,00%</v>
      </c>
      <c r="K22" s="26"/>
      <c r="L22" s="27" t="e">
        <f>H22-(H22*((MATCH(Table261425678[[#This Row],[Evaluators Response (SELECT)]],Table261425678[[#This Row],[1]:[11]],0)-1)/(COUNTA(Table261425678[[#This Row],[1]:[11]])-COUNTBLANK(Table261425678[[#This Row],[1]:[11]])-1)))</f>
        <v>#N/A</v>
      </c>
      <c r="M22" s="28"/>
      <c r="N22" s="29" t="str" cm="1">
        <f t="array" ref="N22">IFERROR(INDEX(_xlfn.UNIQUE(TRIM(_xlfn.TEXTSPLIT(Table261425678[[#This Row],[Selection Options]:[Selection Options]],","))),,N$11),"")</f>
        <v>100%: Supported as delivered "out of the box"</v>
      </c>
      <c r="O22" s="29" t="str" cm="1">
        <f t="array" ref="O22">IFERROR(INDEX(_xlfn.UNIQUE(TRIM(_xlfn.TEXTSPLIT(Table261425678[[#This Row],[Selection Options]:[Selection Options]],","))),,O$11),"")</f>
        <v xml:space="preserve">
75%: Supported via modifications (config)</v>
      </c>
      <c r="P22" s="29" t="str" cm="1">
        <f t="array" ref="P22">IFERROR(INDEX(_xlfn.UNIQUE(TRIM(_xlfn.TEXTSPLIT(Table261425678[[#This Row],[Selection Options]:[Selection Options]],","))),,P$11),"")</f>
        <v xml:space="preserve">
50%: Supported via a third party solution</v>
      </c>
      <c r="Q22" s="29" t="str" cm="1">
        <f t="array" ref="Q22">IFERROR(INDEX(_xlfn.UNIQUE(TRIM(_xlfn.TEXTSPLIT(Table261425678[[#This Row],[Selection Options]:[Selection Options]],","))),,Q$11),"")</f>
        <v xml:space="preserve">
25%: Supported via customisation (source code changes)</v>
      </c>
      <c r="R22" s="29" t="str" cm="1">
        <f t="array" ref="R22">IFERROR(INDEX(_xlfn.UNIQUE(TRIM(_xlfn.TEXTSPLIT(Table261425678[[#This Row],[Selection Options]:[Selection Options]],","))),,R$11),"")</f>
        <v xml:space="preserve">
 0%: Not currently supported</v>
      </c>
      <c r="S22" s="29" t="str" cm="1">
        <f t="array" ref="S22">IFERROR(INDEX(_xlfn.UNIQUE(TRIM(_xlfn.TEXTSPLIT(Table261425678[[#This Row],[Selection Options]:[Selection Options]],","))),,S$11),"")</f>
        <v/>
      </c>
      <c r="T22" s="29" t="str" cm="1">
        <f t="array" ref="T22">IFERROR(INDEX(_xlfn.UNIQUE(TRIM(_xlfn.TEXTSPLIT(Table261425678[[#This Row],[Selection Options]:[Selection Options]],","))),,T$11),"")</f>
        <v/>
      </c>
      <c r="U22" s="29" t="str" cm="1">
        <f t="array" ref="U22">IFERROR(INDEX(_xlfn.UNIQUE(TRIM(_xlfn.TEXTSPLIT(Table261425678[[#This Row],[Selection Options]:[Selection Options]],","))),,U$11),"")</f>
        <v/>
      </c>
      <c r="V22" s="29" t="str" cm="1">
        <f t="array" ref="V22">IFERROR(INDEX(_xlfn.UNIQUE(TRIM(_xlfn.TEXTSPLIT(Table261425678[[#This Row],[Selection Options]:[Selection Options]],","))),,V$11),"")</f>
        <v/>
      </c>
      <c r="W22" s="29" t="str" cm="1">
        <f t="array" ref="W22">IFERROR(INDEX(_xlfn.UNIQUE(TRIM(_xlfn.TEXTSPLIT(Table261425678[[#This Row],[Selection Options]:[Selection Options]],","))),,W$11),"")</f>
        <v/>
      </c>
      <c r="X22" s="29" t="str" cm="1">
        <f t="array" ref="X22">IFERROR(INDEX(_xlfn.UNIQUE(TRIM(_xlfn.TEXTSPLIT(Table261425678[[#This Row],[Selection Options]:[Selection Options]],","))),,X$11),"")</f>
        <v/>
      </c>
      <c r="Y22" s="30" cm="1">
        <f t="array" ref="Y22">IF(Table261425678[[#This Row],[1]]="","",Table261425678[[#This Row],[Weight]:[Weight]]-(Table261425678[[#This Row],[Weight]:[Weight]]*((_xlfn.XMATCH(Table261425678[[#This Row],[1]],Table261425678[[#This Row],[1]:[11]],0))-1)/(COUNTA(Table261425678[[#This Row],[1]:[11]])-COUNTBLANK(Table261425678[[#This Row],[1]:[11]])-1)))</f>
        <v>6.4102564102564103E-4</v>
      </c>
      <c r="Z22" s="30" cm="1">
        <f t="array" ref="Z22">IF(Table261425678[[#This Row],[2]]="","",Table261425678[[#This Row],[Weight]:[Weight]]-(Table261425678[[#This Row],[Weight]:[Weight]]*((_xlfn.XMATCH(Table261425678[[#This Row],[2]],Table261425678[[#This Row],[1]:[11]],0))-1)/(COUNTA(Table261425678[[#This Row],[1]:[11]])-COUNTBLANK(Table261425678[[#This Row],[1]:[11]])-1)))</f>
        <v>4.807692307692308E-4</v>
      </c>
      <c r="AA22" s="30" cm="1">
        <f t="array" ref="AA22">IF(Table261425678[[#This Row],[3]]="","",Table261425678[[#This Row],[Weight]:[Weight]]-(Table261425678[[#This Row],[Weight]:[Weight]]*((_xlfn.XMATCH(Table261425678[[#This Row],[3]],Table261425678[[#This Row],[1]:[11]],0))-1)/(COUNTA(Table261425678[[#This Row],[1]:[11]])-COUNTBLANK(Table261425678[[#This Row],[1]:[11]])-1)))</f>
        <v>3.2051282051282051E-4</v>
      </c>
      <c r="AB22" s="30" cm="1">
        <f t="array" ref="AB22">IF(Table261425678[[#This Row],[4]]="","",Table261425678[[#This Row],[Weight]:[Weight]]-(Table261425678[[#This Row],[Weight]:[Weight]]*((_xlfn.XMATCH(Table261425678[[#This Row],[4]],Table261425678[[#This Row],[1]:[11]],0))-1)/(COUNTA(Table261425678[[#This Row],[1]:[11]])-COUNTBLANK(Table261425678[[#This Row],[1]:[11]])-1)))</f>
        <v>1.6025641025641023E-4</v>
      </c>
      <c r="AC22" s="30" cm="1">
        <f t="array" ref="AC22">IF(Table261425678[[#This Row],[5]]="","",Table261425678[[#This Row],[Weight]:[Weight]]-(Table261425678[[#This Row],[Weight]:[Weight]]*((_xlfn.XMATCH(Table261425678[[#This Row],[5]],Table261425678[[#This Row],[1]:[11]],0))-1)/(COUNTA(Table261425678[[#This Row],[1]:[11]])-COUNTBLANK(Table261425678[[#This Row],[1]:[11]])-1)))</f>
        <v>0</v>
      </c>
      <c r="AD22" s="30" t="str" cm="1">
        <f t="array" ref="AD22">IF(Table261425678[[#This Row],[6]]="","",Table261425678[[#This Row],[Weight]:[Weight]]-(Table261425678[[#This Row],[Weight]:[Weight]]*((_xlfn.XMATCH(Table261425678[[#This Row],[6]],Table261425678[[#This Row],[1]:[11]],0))-1)/(COUNTA(Table261425678[[#This Row],[1]:[11]])-COUNTBLANK(Table261425678[[#This Row],[1]:[11]])-1)))</f>
        <v/>
      </c>
      <c r="AE22" s="30" t="str" cm="1">
        <f t="array" ref="AE22">IF(Table261425678[[#This Row],[7]]="","",Table261425678[[#This Row],[Weight]:[Weight]]-(Table261425678[[#This Row],[Weight]:[Weight]]*((_xlfn.XMATCH(Table261425678[[#This Row],[7]],Table261425678[[#This Row],[1]:[11]],0))-1)/(COUNTA(Table261425678[[#This Row],[1]:[11]])-COUNTBLANK(Table261425678[[#This Row],[1]:[11]])-1)))</f>
        <v/>
      </c>
      <c r="AF22" s="30" t="str" cm="1">
        <f t="array" ref="AF22">IF(Table261425678[[#This Row],[8]]="","",Table261425678[[#This Row],[Weight]:[Weight]]-(Table261425678[[#This Row],[Weight]:[Weight]]*((_xlfn.XMATCH(Table261425678[[#This Row],[8]],Table261425678[[#This Row],[1]:[11]],0))-1)/(COUNTA(Table261425678[[#This Row],[1]:[11]])-COUNTBLANK(Table261425678[[#This Row],[1]:[11]])-1)))</f>
        <v/>
      </c>
      <c r="AG22" s="30" t="str" cm="1">
        <f t="array" ref="AG22">IF(Table261425678[[#This Row],[9]]="","",Table261425678[[#This Row],[Weight]:[Weight]]-(Table261425678[[#This Row],[Weight]:[Weight]]*((_xlfn.XMATCH(Table261425678[[#This Row],[9]],Table261425678[[#This Row],[1]:[11]],0))-1)/(COUNTA(Table261425678[[#This Row],[1]:[11]])-COUNTBLANK(Table261425678[[#This Row],[1]:[11]])-1)))</f>
        <v/>
      </c>
      <c r="AH22" s="30" t="str" cm="1">
        <f t="array" ref="AH22">IF(Table261425678[[#This Row],[10]]="","",Table261425678[[#This Row],[Weight]:[Weight]]-(Table261425678[[#This Row],[Weight]:[Weight]]*((_xlfn.XMATCH(Table261425678[[#This Row],[10]],Table261425678[[#This Row],[1]:[11]],0))-1)/(COUNTA(Table261425678[[#This Row],[1]:[11]])-COUNTBLANK(Table261425678[[#This Row],[1]:[11]])-1)))</f>
        <v/>
      </c>
      <c r="AI22" s="30" t="str" cm="1">
        <f t="array" ref="AI22">IF(Table261425678[[#This Row],[11]]="","",Table261425678[[#This Row],[Weight]:[Weight]]-(Table261425678[[#This Row],[Weight]:[Weight]]*((_xlfn.XMATCH(Table261425678[[#This Row],[11]],Table261425678[[#This Row],[1]:[11]],0))-1)/(COUNTA(Table261425678[[#This Row],[1]:[11]])-COUNTBLANK(Table261425678[[#This Row],[1]:[11]])-1)))</f>
        <v/>
      </c>
    </row>
    <row r="23" spans="1:35" ht="108" x14ac:dyDescent="0.2">
      <c r="A23" s="20">
        <v>11</v>
      </c>
      <c r="B23" s="90" t="s">
        <v>458</v>
      </c>
      <c r="C23" s="119" t="s">
        <v>215</v>
      </c>
      <c r="D23" s="146"/>
      <c r="E23" s="146"/>
      <c r="F23" s="120" t="s">
        <v>60</v>
      </c>
      <c r="G23" s="148" cm="1">
        <f t="array" ref="G23">_xlfn.IFS(F23="","",F23="No interest",0,F23="Nice to have",1,F23="Useful",2,F23="Important",3,F23="Very important",4,F23="Critical",5,F23="Show stopper",6)</f>
        <v>6</v>
      </c>
      <c r="H23" s="149">
        <f t="shared" si="1"/>
        <v>6.4102564102564103E-4</v>
      </c>
      <c r="I23" s="150" t="s">
        <v>321</v>
      </c>
      <c r="J23" s="35" t="str" cm="1">
        <f t="array" ref="J23">_xlfn.TEXTJOIN(","&amp;CHAR(10),,TEXT(Table261425678[[#This Row],[12]:[22]],"0,00%"))</f>
        <v>0,00%,
0,00%,
0,00%,
0,00%,
0,00%</v>
      </c>
      <c r="K23" s="26"/>
      <c r="L23" s="27" t="e">
        <f>H23-(H23*((MATCH(Table261425678[[#This Row],[Evaluators Response (SELECT)]],Table261425678[[#This Row],[1]:[11]],0)-1)/(COUNTA(Table261425678[[#This Row],[1]:[11]])-COUNTBLANK(Table261425678[[#This Row],[1]:[11]])-1)))</f>
        <v>#N/A</v>
      </c>
      <c r="M23" s="28"/>
      <c r="N23" s="29" t="str" cm="1">
        <f t="array" ref="N23">IFERROR(INDEX(_xlfn.UNIQUE(TRIM(_xlfn.TEXTSPLIT(Table261425678[[#This Row],[Selection Options]:[Selection Options]],","))),,N$11),"")</f>
        <v>100%: Supported as delivered "out of the box"</v>
      </c>
      <c r="O23" s="29" t="str" cm="1">
        <f t="array" ref="O23">IFERROR(INDEX(_xlfn.UNIQUE(TRIM(_xlfn.TEXTSPLIT(Table261425678[[#This Row],[Selection Options]:[Selection Options]],","))),,O$11),"")</f>
        <v xml:space="preserve">
75%: Supported via modifications (config)</v>
      </c>
      <c r="P23" s="29" t="str" cm="1">
        <f t="array" ref="P23">IFERROR(INDEX(_xlfn.UNIQUE(TRIM(_xlfn.TEXTSPLIT(Table261425678[[#This Row],[Selection Options]:[Selection Options]],","))),,P$11),"")</f>
        <v xml:space="preserve">
50%: Supported via a third party solution</v>
      </c>
      <c r="Q23" s="29" t="str" cm="1">
        <f t="array" ref="Q23">IFERROR(INDEX(_xlfn.UNIQUE(TRIM(_xlfn.TEXTSPLIT(Table261425678[[#This Row],[Selection Options]:[Selection Options]],","))),,Q$11),"")</f>
        <v xml:space="preserve">
25%: Supported via customisation (source code changes)</v>
      </c>
      <c r="R23" s="29" t="str" cm="1">
        <f t="array" ref="R23">IFERROR(INDEX(_xlfn.UNIQUE(TRIM(_xlfn.TEXTSPLIT(Table261425678[[#This Row],[Selection Options]:[Selection Options]],","))),,R$11),"")</f>
        <v xml:space="preserve">
 0%: Not currently supported</v>
      </c>
      <c r="S23" s="29" t="str" cm="1">
        <f t="array" ref="S23">IFERROR(INDEX(_xlfn.UNIQUE(TRIM(_xlfn.TEXTSPLIT(Table261425678[[#This Row],[Selection Options]:[Selection Options]],","))),,S$11),"")</f>
        <v/>
      </c>
      <c r="T23" s="29" t="str" cm="1">
        <f t="array" ref="T23">IFERROR(INDEX(_xlfn.UNIQUE(TRIM(_xlfn.TEXTSPLIT(Table261425678[[#This Row],[Selection Options]:[Selection Options]],","))),,T$11),"")</f>
        <v/>
      </c>
      <c r="U23" s="29" t="str" cm="1">
        <f t="array" ref="U23">IFERROR(INDEX(_xlfn.UNIQUE(TRIM(_xlfn.TEXTSPLIT(Table261425678[[#This Row],[Selection Options]:[Selection Options]],","))),,U$11),"")</f>
        <v/>
      </c>
      <c r="V23" s="29" t="str" cm="1">
        <f t="array" ref="V23">IFERROR(INDEX(_xlfn.UNIQUE(TRIM(_xlfn.TEXTSPLIT(Table261425678[[#This Row],[Selection Options]:[Selection Options]],","))),,V$11),"")</f>
        <v/>
      </c>
      <c r="W23" s="29" t="str" cm="1">
        <f t="array" ref="W23">IFERROR(INDEX(_xlfn.UNIQUE(TRIM(_xlfn.TEXTSPLIT(Table261425678[[#This Row],[Selection Options]:[Selection Options]],","))),,W$11),"")</f>
        <v/>
      </c>
      <c r="X23" s="29" t="str" cm="1">
        <f t="array" ref="X23">IFERROR(INDEX(_xlfn.UNIQUE(TRIM(_xlfn.TEXTSPLIT(Table261425678[[#This Row],[Selection Options]:[Selection Options]],","))),,X$11),"")</f>
        <v/>
      </c>
      <c r="Y23" s="30" cm="1">
        <f t="array" ref="Y23">IF(Table261425678[[#This Row],[1]]="","",Table261425678[[#This Row],[Weight]:[Weight]]-(Table261425678[[#This Row],[Weight]:[Weight]]*((_xlfn.XMATCH(Table261425678[[#This Row],[1]],Table261425678[[#This Row],[1]:[11]],0))-1)/(COUNTA(Table261425678[[#This Row],[1]:[11]])-COUNTBLANK(Table261425678[[#This Row],[1]:[11]])-1)))</f>
        <v>6.4102564102564103E-4</v>
      </c>
      <c r="Z23" s="30" cm="1">
        <f t="array" ref="Z23">IF(Table261425678[[#This Row],[2]]="","",Table261425678[[#This Row],[Weight]:[Weight]]-(Table261425678[[#This Row],[Weight]:[Weight]]*((_xlfn.XMATCH(Table261425678[[#This Row],[2]],Table261425678[[#This Row],[1]:[11]],0))-1)/(COUNTA(Table261425678[[#This Row],[1]:[11]])-COUNTBLANK(Table261425678[[#This Row],[1]:[11]])-1)))</f>
        <v>4.807692307692308E-4</v>
      </c>
      <c r="AA23" s="30" cm="1">
        <f t="array" ref="AA23">IF(Table261425678[[#This Row],[3]]="","",Table261425678[[#This Row],[Weight]:[Weight]]-(Table261425678[[#This Row],[Weight]:[Weight]]*((_xlfn.XMATCH(Table261425678[[#This Row],[3]],Table261425678[[#This Row],[1]:[11]],0))-1)/(COUNTA(Table261425678[[#This Row],[1]:[11]])-COUNTBLANK(Table261425678[[#This Row],[1]:[11]])-1)))</f>
        <v>3.2051282051282051E-4</v>
      </c>
      <c r="AB23" s="30" cm="1">
        <f t="array" ref="AB23">IF(Table261425678[[#This Row],[4]]="","",Table261425678[[#This Row],[Weight]:[Weight]]-(Table261425678[[#This Row],[Weight]:[Weight]]*((_xlfn.XMATCH(Table261425678[[#This Row],[4]],Table261425678[[#This Row],[1]:[11]],0))-1)/(COUNTA(Table261425678[[#This Row],[1]:[11]])-COUNTBLANK(Table261425678[[#This Row],[1]:[11]])-1)))</f>
        <v>1.6025641025641023E-4</v>
      </c>
      <c r="AC23" s="30" cm="1">
        <f t="array" ref="AC23">IF(Table261425678[[#This Row],[5]]="","",Table261425678[[#This Row],[Weight]:[Weight]]-(Table261425678[[#This Row],[Weight]:[Weight]]*((_xlfn.XMATCH(Table261425678[[#This Row],[5]],Table261425678[[#This Row],[1]:[11]],0))-1)/(COUNTA(Table261425678[[#This Row],[1]:[11]])-COUNTBLANK(Table261425678[[#This Row],[1]:[11]])-1)))</f>
        <v>0</v>
      </c>
      <c r="AD23" s="30" t="str" cm="1">
        <f t="array" ref="AD23">IF(Table261425678[[#This Row],[6]]="","",Table261425678[[#This Row],[Weight]:[Weight]]-(Table261425678[[#This Row],[Weight]:[Weight]]*((_xlfn.XMATCH(Table261425678[[#This Row],[6]],Table261425678[[#This Row],[1]:[11]],0))-1)/(COUNTA(Table261425678[[#This Row],[1]:[11]])-COUNTBLANK(Table261425678[[#This Row],[1]:[11]])-1)))</f>
        <v/>
      </c>
      <c r="AE23" s="30" t="str" cm="1">
        <f t="array" ref="AE23">IF(Table261425678[[#This Row],[7]]="","",Table261425678[[#This Row],[Weight]:[Weight]]-(Table261425678[[#This Row],[Weight]:[Weight]]*((_xlfn.XMATCH(Table261425678[[#This Row],[7]],Table261425678[[#This Row],[1]:[11]],0))-1)/(COUNTA(Table261425678[[#This Row],[1]:[11]])-COUNTBLANK(Table261425678[[#This Row],[1]:[11]])-1)))</f>
        <v/>
      </c>
      <c r="AF23" s="30" t="str" cm="1">
        <f t="array" ref="AF23">IF(Table261425678[[#This Row],[8]]="","",Table261425678[[#This Row],[Weight]:[Weight]]-(Table261425678[[#This Row],[Weight]:[Weight]]*((_xlfn.XMATCH(Table261425678[[#This Row],[8]],Table261425678[[#This Row],[1]:[11]],0))-1)/(COUNTA(Table261425678[[#This Row],[1]:[11]])-COUNTBLANK(Table261425678[[#This Row],[1]:[11]])-1)))</f>
        <v/>
      </c>
      <c r="AG23" s="30" t="str" cm="1">
        <f t="array" ref="AG23">IF(Table261425678[[#This Row],[9]]="","",Table261425678[[#This Row],[Weight]:[Weight]]-(Table261425678[[#This Row],[Weight]:[Weight]]*((_xlfn.XMATCH(Table261425678[[#This Row],[9]],Table261425678[[#This Row],[1]:[11]],0))-1)/(COUNTA(Table261425678[[#This Row],[1]:[11]])-COUNTBLANK(Table261425678[[#This Row],[1]:[11]])-1)))</f>
        <v/>
      </c>
      <c r="AH23" s="30" t="str" cm="1">
        <f t="array" ref="AH23">IF(Table261425678[[#This Row],[10]]="","",Table261425678[[#This Row],[Weight]:[Weight]]-(Table261425678[[#This Row],[Weight]:[Weight]]*((_xlfn.XMATCH(Table261425678[[#This Row],[10]],Table261425678[[#This Row],[1]:[11]],0))-1)/(COUNTA(Table261425678[[#This Row],[1]:[11]])-COUNTBLANK(Table261425678[[#This Row],[1]:[11]])-1)))</f>
        <v/>
      </c>
      <c r="AI23" s="30" t="str" cm="1">
        <f t="array" ref="AI23">IF(Table261425678[[#This Row],[11]]="","",Table261425678[[#This Row],[Weight]:[Weight]]-(Table261425678[[#This Row],[Weight]:[Weight]]*((_xlfn.XMATCH(Table261425678[[#This Row],[11]],Table261425678[[#This Row],[1]:[11]],0))-1)/(COUNTA(Table261425678[[#This Row],[1]:[11]])-COUNTBLANK(Table261425678[[#This Row],[1]:[11]])-1)))</f>
        <v/>
      </c>
    </row>
    <row r="24" spans="1:35" ht="108" x14ac:dyDescent="0.2">
      <c r="A24" s="20">
        <v>12</v>
      </c>
      <c r="B24" s="90" t="s">
        <v>459</v>
      </c>
      <c r="C24" s="119" t="s">
        <v>215</v>
      </c>
      <c r="D24" s="146"/>
      <c r="E24" s="146"/>
      <c r="F24" s="120" t="s">
        <v>60</v>
      </c>
      <c r="G24" s="148" cm="1">
        <f t="array" ref="G24">_xlfn.IFS(F24="","",F24="No interest",0,F24="Nice to have",1,F24="Useful",2,F24="Important",3,F24="Very important",4,F24="Critical",5,F24="Show stopper",6)</f>
        <v>6</v>
      </c>
      <c r="H24" s="149">
        <f t="shared" si="1"/>
        <v>6.4102564102564103E-4</v>
      </c>
      <c r="I24" s="150" t="s">
        <v>321</v>
      </c>
      <c r="J24" s="35" t="str" cm="1">
        <f t="array" ref="J24">_xlfn.TEXTJOIN(","&amp;CHAR(10),,TEXT(Table261425678[[#This Row],[12]:[22]],"0,00%"))</f>
        <v>0,00%,
0,00%,
0,00%,
0,00%,
0,00%</v>
      </c>
      <c r="K24" s="26"/>
      <c r="L24" s="27" t="e">
        <f>H24-(H24*((MATCH(Table261425678[[#This Row],[Evaluators Response (SELECT)]],Table261425678[[#This Row],[1]:[11]],0)-1)/(COUNTA(Table261425678[[#This Row],[1]:[11]])-COUNTBLANK(Table261425678[[#This Row],[1]:[11]])-1)))</f>
        <v>#N/A</v>
      </c>
      <c r="M24" s="28"/>
      <c r="N24" s="29" t="str" cm="1">
        <f t="array" ref="N24">IFERROR(INDEX(_xlfn.UNIQUE(TRIM(_xlfn.TEXTSPLIT(Table261425678[[#This Row],[Selection Options]:[Selection Options]],","))),,N$11),"")</f>
        <v>100%: Supported as delivered "out of the box"</v>
      </c>
      <c r="O24" s="29" t="str" cm="1">
        <f t="array" ref="O24">IFERROR(INDEX(_xlfn.UNIQUE(TRIM(_xlfn.TEXTSPLIT(Table261425678[[#This Row],[Selection Options]:[Selection Options]],","))),,O$11),"")</f>
        <v xml:space="preserve">
75%: Supported via modifications (config)</v>
      </c>
      <c r="P24" s="29" t="str" cm="1">
        <f t="array" ref="P24">IFERROR(INDEX(_xlfn.UNIQUE(TRIM(_xlfn.TEXTSPLIT(Table261425678[[#This Row],[Selection Options]:[Selection Options]],","))),,P$11),"")</f>
        <v xml:space="preserve">
50%: Supported via a third party solution</v>
      </c>
      <c r="Q24" s="29" t="str" cm="1">
        <f t="array" ref="Q24">IFERROR(INDEX(_xlfn.UNIQUE(TRIM(_xlfn.TEXTSPLIT(Table261425678[[#This Row],[Selection Options]:[Selection Options]],","))),,Q$11),"")</f>
        <v xml:space="preserve">
25%: Supported via customisation (source code changes)</v>
      </c>
      <c r="R24" s="29" t="str" cm="1">
        <f t="array" ref="R24">IFERROR(INDEX(_xlfn.UNIQUE(TRIM(_xlfn.TEXTSPLIT(Table261425678[[#This Row],[Selection Options]:[Selection Options]],","))),,R$11),"")</f>
        <v xml:space="preserve">
 0%: Not currently supported</v>
      </c>
      <c r="S24" s="29" t="str" cm="1">
        <f t="array" ref="S24">IFERROR(INDEX(_xlfn.UNIQUE(TRIM(_xlfn.TEXTSPLIT(Table261425678[[#This Row],[Selection Options]:[Selection Options]],","))),,S$11),"")</f>
        <v/>
      </c>
      <c r="T24" s="29" t="str" cm="1">
        <f t="array" ref="T24">IFERROR(INDEX(_xlfn.UNIQUE(TRIM(_xlfn.TEXTSPLIT(Table261425678[[#This Row],[Selection Options]:[Selection Options]],","))),,T$11),"")</f>
        <v/>
      </c>
      <c r="U24" s="29" t="str" cm="1">
        <f t="array" ref="U24">IFERROR(INDEX(_xlfn.UNIQUE(TRIM(_xlfn.TEXTSPLIT(Table261425678[[#This Row],[Selection Options]:[Selection Options]],","))),,U$11),"")</f>
        <v/>
      </c>
      <c r="V24" s="29" t="str" cm="1">
        <f t="array" ref="V24">IFERROR(INDEX(_xlfn.UNIQUE(TRIM(_xlfn.TEXTSPLIT(Table261425678[[#This Row],[Selection Options]:[Selection Options]],","))),,V$11),"")</f>
        <v/>
      </c>
      <c r="W24" s="29" t="str" cm="1">
        <f t="array" ref="W24">IFERROR(INDEX(_xlfn.UNIQUE(TRIM(_xlfn.TEXTSPLIT(Table261425678[[#This Row],[Selection Options]:[Selection Options]],","))),,W$11),"")</f>
        <v/>
      </c>
      <c r="X24" s="29" t="str" cm="1">
        <f t="array" ref="X24">IFERROR(INDEX(_xlfn.UNIQUE(TRIM(_xlfn.TEXTSPLIT(Table261425678[[#This Row],[Selection Options]:[Selection Options]],","))),,X$11),"")</f>
        <v/>
      </c>
      <c r="Y24" s="30" cm="1">
        <f t="array" ref="Y24">IF(Table261425678[[#This Row],[1]]="","",Table261425678[[#This Row],[Weight]:[Weight]]-(Table261425678[[#This Row],[Weight]:[Weight]]*((_xlfn.XMATCH(Table261425678[[#This Row],[1]],Table261425678[[#This Row],[1]:[11]],0))-1)/(COUNTA(Table261425678[[#This Row],[1]:[11]])-COUNTBLANK(Table261425678[[#This Row],[1]:[11]])-1)))</f>
        <v>6.4102564102564103E-4</v>
      </c>
      <c r="Z24" s="30" cm="1">
        <f t="array" ref="Z24">IF(Table261425678[[#This Row],[2]]="","",Table261425678[[#This Row],[Weight]:[Weight]]-(Table261425678[[#This Row],[Weight]:[Weight]]*((_xlfn.XMATCH(Table261425678[[#This Row],[2]],Table261425678[[#This Row],[1]:[11]],0))-1)/(COUNTA(Table261425678[[#This Row],[1]:[11]])-COUNTBLANK(Table261425678[[#This Row],[1]:[11]])-1)))</f>
        <v>4.807692307692308E-4</v>
      </c>
      <c r="AA24" s="30" cm="1">
        <f t="array" ref="AA24">IF(Table261425678[[#This Row],[3]]="","",Table261425678[[#This Row],[Weight]:[Weight]]-(Table261425678[[#This Row],[Weight]:[Weight]]*((_xlfn.XMATCH(Table261425678[[#This Row],[3]],Table261425678[[#This Row],[1]:[11]],0))-1)/(COUNTA(Table261425678[[#This Row],[1]:[11]])-COUNTBLANK(Table261425678[[#This Row],[1]:[11]])-1)))</f>
        <v>3.2051282051282051E-4</v>
      </c>
      <c r="AB24" s="30" cm="1">
        <f t="array" ref="AB24">IF(Table261425678[[#This Row],[4]]="","",Table261425678[[#This Row],[Weight]:[Weight]]-(Table261425678[[#This Row],[Weight]:[Weight]]*((_xlfn.XMATCH(Table261425678[[#This Row],[4]],Table261425678[[#This Row],[1]:[11]],0))-1)/(COUNTA(Table261425678[[#This Row],[1]:[11]])-COUNTBLANK(Table261425678[[#This Row],[1]:[11]])-1)))</f>
        <v>1.6025641025641023E-4</v>
      </c>
      <c r="AC24" s="30" cm="1">
        <f t="array" ref="AC24">IF(Table261425678[[#This Row],[5]]="","",Table261425678[[#This Row],[Weight]:[Weight]]-(Table261425678[[#This Row],[Weight]:[Weight]]*((_xlfn.XMATCH(Table261425678[[#This Row],[5]],Table261425678[[#This Row],[1]:[11]],0))-1)/(COUNTA(Table261425678[[#This Row],[1]:[11]])-COUNTBLANK(Table261425678[[#This Row],[1]:[11]])-1)))</f>
        <v>0</v>
      </c>
      <c r="AD24" s="30" t="str" cm="1">
        <f t="array" ref="AD24">IF(Table261425678[[#This Row],[6]]="","",Table261425678[[#This Row],[Weight]:[Weight]]-(Table261425678[[#This Row],[Weight]:[Weight]]*((_xlfn.XMATCH(Table261425678[[#This Row],[6]],Table261425678[[#This Row],[1]:[11]],0))-1)/(COUNTA(Table261425678[[#This Row],[1]:[11]])-COUNTBLANK(Table261425678[[#This Row],[1]:[11]])-1)))</f>
        <v/>
      </c>
      <c r="AE24" s="30" t="str" cm="1">
        <f t="array" ref="AE24">IF(Table261425678[[#This Row],[7]]="","",Table261425678[[#This Row],[Weight]:[Weight]]-(Table261425678[[#This Row],[Weight]:[Weight]]*((_xlfn.XMATCH(Table261425678[[#This Row],[7]],Table261425678[[#This Row],[1]:[11]],0))-1)/(COUNTA(Table261425678[[#This Row],[1]:[11]])-COUNTBLANK(Table261425678[[#This Row],[1]:[11]])-1)))</f>
        <v/>
      </c>
      <c r="AF24" s="30" t="str" cm="1">
        <f t="array" ref="AF24">IF(Table261425678[[#This Row],[8]]="","",Table261425678[[#This Row],[Weight]:[Weight]]-(Table261425678[[#This Row],[Weight]:[Weight]]*((_xlfn.XMATCH(Table261425678[[#This Row],[8]],Table261425678[[#This Row],[1]:[11]],0))-1)/(COUNTA(Table261425678[[#This Row],[1]:[11]])-COUNTBLANK(Table261425678[[#This Row],[1]:[11]])-1)))</f>
        <v/>
      </c>
      <c r="AG24" s="30" t="str" cm="1">
        <f t="array" ref="AG24">IF(Table261425678[[#This Row],[9]]="","",Table261425678[[#This Row],[Weight]:[Weight]]-(Table261425678[[#This Row],[Weight]:[Weight]]*((_xlfn.XMATCH(Table261425678[[#This Row],[9]],Table261425678[[#This Row],[1]:[11]],0))-1)/(COUNTA(Table261425678[[#This Row],[1]:[11]])-COUNTBLANK(Table261425678[[#This Row],[1]:[11]])-1)))</f>
        <v/>
      </c>
      <c r="AH24" s="30" t="str" cm="1">
        <f t="array" ref="AH24">IF(Table261425678[[#This Row],[10]]="","",Table261425678[[#This Row],[Weight]:[Weight]]-(Table261425678[[#This Row],[Weight]:[Weight]]*((_xlfn.XMATCH(Table261425678[[#This Row],[10]],Table261425678[[#This Row],[1]:[11]],0))-1)/(COUNTA(Table261425678[[#This Row],[1]:[11]])-COUNTBLANK(Table261425678[[#This Row],[1]:[11]])-1)))</f>
        <v/>
      </c>
      <c r="AI24" s="30" t="str" cm="1">
        <f t="array" ref="AI24">IF(Table261425678[[#This Row],[11]]="","",Table261425678[[#This Row],[Weight]:[Weight]]-(Table261425678[[#This Row],[Weight]:[Weight]]*((_xlfn.XMATCH(Table261425678[[#This Row],[11]],Table261425678[[#This Row],[1]:[11]],0))-1)/(COUNTA(Table261425678[[#This Row],[1]:[11]])-COUNTBLANK(Table261425678[[#This Row],[1]:[11]])-1)))</f>
        <v/>
      </c>
    </row>
    <row r="25" spans="1:35" ht="108" x14ac:dyDescent="0.2">
      <c r="A25" s="20">
        <v>13</v>
      </c>
      <c r="B25" s="90" t="s">
        <v>460</v>
      </c>
      <c r="C25" s="119" t="s">
        <v>215</v>
      </c>
      <c r="D25" s="146"/>
      <c r="E25" s="146"/>
      <c r="F25" s="121" t="s">
        <v>60</v>
      </c>
      <c r="G25" s="148" cm="1">
        <f t="array" ref="G25">_xlfn.IFS(F25="","",F25="No interest",0,F25="Nice to have",1,F25="Useful",2,F25="Important",3,F25="Very important",4,F25="Critical",5,F25="Show stopper",6)</f>
        <v>6</v>
      </c>
      <c r="H25" s="149">
        <f t="shared" si="1"/>
        <v>6.4102564102564103E-4</v>
      </c>
      <c r="I25" s="150" t="s">
        <v>321</v>
      </c>
      <c r="J25" s="35" t="str" cm="1">
        <f t="array" ref="J25">_xlfn.TEXTJOIN(","&amp;CHAR(10),,TEXT(Table261425678[[#This Row],[12]:[22]],"0,00%"))</f>
        <v>0,00%,
0,00%,
0,00%,
0,00%,
0,00%</v>
      </c>
      <c r="K25" s="26"/>
      <c r="L25" s="27" t="e">
        <f>H25-(H25*((MATCH(Table261425678[[#This Row],[Evaluators Response (SELECT)]],Table261425678[[#This Row],[1]:[11]],0)-1)/(COUNTA(Table261425678[[#This Row],[1]:[11]])-COUNTBLANK(Table261425678[[#This Row],[1]:[11]])-1)))</f>
        <v>#N/A</v>
      </c>
      <c r="M25" s="28"/>
      <c r="N25" s="29" t="str" cm="1">
        <f t="array" ref="N25">IFERROR(INDEX(_xlfn.UNIQUE(TRIM(_xlfn.TEXTSPLIT(Table261425678[[#This Row],[Selection Options]:[Selection Options]],","))),,N$11),"")</f>
        <v>100%: Supported as delivered "out of the box"</v>
      </c>
      <c r="O25" s="29" t="str" cm="1">
        <f t="array" ref="O25">IFERROR(INDEX(_xlfn.UNIQUE(TRIM(_xlfn.TEXTSPLIT(Table261425678[[#This Row],[Selection Options]:[Selection Options]],","))),,O$11),"")</f>
        <v xml:space="preserve">
75%: Supported via modifications (config)</v>
      </c>
      <c r="P25" s="29" t="str" cm="1">
        <f t="array" ref="P25">IFERROR(INDEX(_xlfn.UNIQUE(TRIM(_xlfn.TEXTSPLIT(Table261425678[[#This Row],[Selection Options]:[Selection Options]],","))),,P$11),"")</f>
        <v xml:space="preserve">
50%: Supported via a third party solution</v>
      </c>
      <c r="Q25" s="29" t="str" cm="1">
        <f t="array" ref="Q25">IFERROR(INDEX(_xlfn.UNIQUE(TRIM(_xlfn.TEXTSPLIT(Table261425678[[#This Row],[Selection Options]:[Selection Options]],","))),,Q$11),"")</f>
        <v xml:space="preserve">
25%: Supported via customisation (source code changes)</v>
      </c>
      <c r="R25" s="29" t="str" cm="1">
        <f t="array" ref="R25">IFERROR(INDEX(_xlfn.UNIQUE(TRIM(_xlfn.TEXTSPLIT(Table261425678[[#This Row],[Selection Options]:[Selection Options]],","))),,R$11),"")</f>
        <v xml:space="preserve">
 0%: Not currently supported</v>
      </c>
      <c r="S25" s="29" t="str" cm="1">
        <f t="array" ref="S25">IFERROR(INDEX(_xlfn.UNIQUE(TRIM(_xlfn.TEXTSPLIT(Table261425678[[#This Row],[Selection Options]:[Selection Options]],","))),,S$11),"")</f>
        <v/>
      </c>
      <c r="T25" s="29" t="str" cm="1">
        <f t="array" ref="T25">IFERROR(INDEX(_xlfn.UNIQUE(TRIM(_xlfn.TEXTSPLIT(Table261425678[[#This Row],[Selection Options]:[Selection Options]],","))),,T$11),"")</f>
        <v/>
      </c>
      <c r="U25" s="29" t="str" cm="1">
        <f t="array" ref="U25">IFERROR(INDEX(_xlfn.UNIQUE(TRIM(_xlfn.TEXTSPLIT(Table261425678[[#This Row],[Selection Options]:[Selection Options]],","))),,U$11),"")</f>
        <v/>
      </c>
      <c r="V25" s="29" t="str" cm="1">
        <f t="array" ref="V25">IFERROR(INDEX(_xlfn.UNIQUE(TRIM(_xlfn.TEXTSPLIT(Table261425678[[#This Row],[Selection Options]:[Selection Options]],","))),,V$11),"")</f>
        <v/>
      </c>
      <c r="W25" s="29" t="str" cm="1">
        <f t="array" ref="W25">IFERROR(INDEX(_xlfn.UNIQUE(TRIM(_xlfn.TEXTSPLIT(Table261425678[[#This Row],[Selection Options]:[Selection Options]],","))),,W$11),"")</f>
        <v/>
      </c>
      <c r="X25" s="29" t="str" cm="1">
        <f t="array" ref="X25">IFERROR(INDEX(_xlfn.UNIQUE(TRIM(_xlfn.TEXTSPLIT(Table261425678[[#This Row],[Selection Options]:[Selection Options]],","))),,X$11),"")</f>
        <v/>
      </c>
      <c r="Y25" s="30" cm="1">
        <f t="array" ref="Y25">IF(Table261425678[[#This Row],[1]]="","",Table261425678[[#This Row],[Weight]:[Weight]]-(Table261425678[[#This Row],[Weight]:[Weight]]*((_xlfn.XMATCH(Table261425678[[#This Row],[1]],Table261425678[[#This Row],[1]:[11]],0))-1)/(COUNTA(Table261425678[[#This Row],[1]:[11]])-COUNTBLANK(Table261425678[[#This Row],[1]:[11]])-1)))</f>
        <v>6.4102564102564103E-4</v>
      </c>
      <c r="Z25" s="30" cm="1">
        <f t="array" ref="Z25">IF(Table261425678[[#This Row],[2]]="","",Table261425678[[#This Row],[Weight]:[Weight]]-(Table261425678[[#This Row],[Weight]:[Weight]]*((_xlfn.XMATCH(Table261425678[[#This Row],[2]],Table261425678[[#This Row],[1]:[11]],0))-1)/(COUNTA(Table261425678[[#This Row],[1]:[11]])-COUNTBLANK(Table261425678[[#This Row],[1]:[11]])-1)))</f>
        <v>4.807692307692308E-4</v>
      </c>
      <c r="AA25" s="30" cm="1">
        <f t="array" ref="AA25">IF(Table261425678[[#This Row],[3]]="","",Table261425678[[#This Row],[Weight]:[Weight]]-(Table261425678[[#This Row],[Weight]:[Weight]]*((_xlfn.XMATCH(Table261425678[[#This Row],[3]],Table261425678[[#This Row],[1]:[11]],0))-1)/(COUNTA(Table261425678[[#This Row],[1]:[11]])-COUNTBLANK(Table261425678[[#This Row],[1]:[11]])-1)))</f>
        <v>3.2051282051282051E-4</v>
      </c>
      <c r="AB25" s="30" cm="1">
        <f t="array" ref="AB25">IF(Table261425678[[#This Row],[4]]="","",Table261425678[[#This Row],[Weight]:[Weight]]-(Table261425678[[#This Row],[Weight]:[Weight]]*((_xlfn.XMATCH(Table261425678[[#This Row],[4]],Table261425678[[#This Row],[1]:[11]],0))-1)/(COUNTA(Table261425678[[#This Row],[1]:[11]])-COUNTBLANK(Table261425678[[#This Row],[1]:[11]])-1)))</f>
        <v>1.6025641025641023E-4</v>
      </c>
      <c r="AC25" s="30" cm="1">
        <f t="array" ref="AC25">IF(Table261425678[[#This Row],[5]]="","",Table261425678[[#This Row],[Weight]:[Weight]]-(Table261425678[[#This Row],[Weight]:[Weight]]*((_xlfn.XMATCH(Table261425678[[#This Row],[5]],Table261425678[[#This Row],[1]:[11]],0))-1)/(COUNTA(Table261425678[[#This Row],[1]:[11]])-COUNTBLANK(Table261425678[[#This Row],[1]:[11]])-1)))</f>
        <v>0</v>
      </c>
      <c r="AD25" s="30" t="str" cm="1">
        <f t="array" ref="AD25">IF(Table261425678[[#This Row],[6]]="","",Table261425678[[#This Row],[Weight]:[Weight]]-(Table261425678[[#This Row],[Weight]:[Weight]]*((_xlfn.XMATCH(Table261425678[[#This Row],[6]],Table261425678[[#This Row],[1]:[11]],0))-1)/(COUNTA(Table261425678[[#This Row],[1]:[11]])-COUNTBLANK(Table261425678[[#This Row],[1]:[11]])-1)))</f>
        <v/>
      </c>
      <c r="AE25" s="30" t="str" cm="1">
        <f t="array" ref="AE25">IF(Table261425678[[#This Row],[7]]="","",Table261425678[[#This Row],[Weight]:[Weight]]-(Table261425678[[#This Row],[Weight]:[Weight]]*((_xlfn.XMATCH(Table261425678[[#This Row],[7]],Table261425678[[#This Row],[1]:[11]],0))-1)/(COUNTA(Table261425678[[#This Row],[1]:[11]])-COUNTBLANK(Table261425678[[#This Row],[1]:[11]])-1)))</f>
        <v/>
      </c>
      <c r="AF25" s="30" t="str" cm="1">
        <f t="array" ref="AF25">IF(Table261425678[[#This Row],[8]]="","",Table261425678[[#This Row],[Weight]:[Weight]]-(Table261425678[[#This Row],[Weight]:[Weight]]*((_xlfn.XMATCH(Table261425678[[#This Row],[8]],Table261425678[[#This Row],[1]:[11]],0))-1)/(COUNTA(Table261425678[[#This Row],[1]:[11]])-COUNTBLANK(Table261425678[[#This Row],[1]:[11]])-1)))</f>
        <v/>
      </c>
      <c r="AG25" s="30" t="str" cm="1">
        <f t="array" ref="AG25">IF(Table261425678[[#This Row],[9]]="","",Table261425678[[#This Row],[Weight]:[Weight]]-(Table261425678[[#This Row],[Weight]:[Weight]]*((_xlfn.XMATCH(Table261425678[[#This Row],[9]],Table261425678[[#This Row],[1]:[11]],0))-1)/(COUNTA(Table261425678[[#This Row],[1]:[11]])-COUNTBLANK(Table261425678[[#This Row],[1]:[11]])-1)))</f>
        <v/>
      </c>
      <c r="AH25" s="30" t="str" cm="1">
        <f t="array" ref="AH25">IF(Table261425678[[#This Row],[10]]="","",Table261425678[[#This Row],[Weight]:[Weight]]-(Table261425678[[#This Row],[Weight]:[Weight]]*((_xlfn.XMATCH(Table261425678[[#This Row],[10]],Table261425678[[#This Row],[1]:[11]],0))-1)/(COUNTA(Table261425678[[#This Row],[1]:[11]])-COUNTBLANK(Table261425678[[#This Row],[1]:[11]])-1)))</f>
        <v/>
      </c>
      <c r="AI25" s="30" t="str" cm="1">
        <f t="array" ref="AI25">IF(Table261425678[[#This Row],[11]]="","",Table261425678[[#This Row],[Weight]:[Weight]]-(Table261425678[[#This Row],[Weight]:[Weight]]*((_xlfn.XMATCH(Table261425678[[#This Row],[11]],Table261425678[[#This Row],[1]:[11]],0))-1)/(COUNTA(Table261425678[[#This Row],[1]:[11]])-COUNTBLANK(Table261425678[[#This Row],[1]:[11]])-1)))</f>
        <v/>
      </c>
    </row>
    <row r="26" spans="1:35" ht="108" x14ac:dyDescent="0.2">
      <c r="A26" s="20">
        <v>14</v>
      </c>
      <c r="B26" s="90" t="s">
        <v>461</v>
      </c>
      <c r="C26" s="119" t="s">
        <v>215</v>
      </c>
      <c r="D26" s="146"/>
      <c r="E26" s="146"/>
      <c r="F26" s="121" t="s">
        <v>60</v>
      </c>
      <c r="G26" s="148" cm="1">
        <f t="array" ref="G26">_xlfn.IFS(F26="","",F26="No interest",0,F26="Nice to have",1,F26="Useful",2,F26="Important",3,F26="Very important",4,F26="Critical",5,F26="Show stopper",6)</f>
        <v>6</v>
      </c>
      <c r="H26" s="149">
        <f t="shared" si="1"/>
        <v>6.4102564102564103E-4</v>
      </c>
      <c r="I26" s="150" t="s">
        <v>321</v>
      </c>
      <c r="J26" s="35" t="str" cm="1">
        <f t="array" ref="J26">_xlfn.TEXTJOIN(","&amp;CHAR(10),,TEXT(Table261425678[[#This Row],[12]:[22]],"0,00%"))</f>
        <v>0,00%,
0,00%,
0,00%,
0,00%,
0,00%</v>
      </c>
      <c r="K26" s="26"/>
      <c r="L26" s="27" t="e">
        <f>H26-(H26*((MATCH(Table261425678[[#This Row],[Evaluators Response (SELECT)]],Table261425678[[#This Row],[1]:[11]],0)-1)/(COUNTA(Table261425678[[#This Row],[1]:[11]])-COUNTBLANK(Table261425678[[#This Row],[1]:[11]])-1)))</f>
        <v>#N/A</v>
      </c>
      <c r="M26" s="28"/>
      <c r="N26" s="29" t="str" cm="1">
        <f t="array" ref="N26">IFERROR(INDEX(_xlfn.UNIQUE(TRIM(_xlfn.TEXTSPLIT(Table261425678[[#This Row],[Selection Options]:[Selection Options]],","))),,N$11),"")</f>
        <v>100%: Supported as delivered "out of the box"</v>
      </c>
      <c r="O26" s="29" t="str" cm="1">
        <f t="array" ref="O26">IFERROR(INDEX(_xlfn.UNIQUE(TRIM(_xlfn.TEXTSPLIT(Table261425678[[#This Row],[Selection Options]:[Selection Options]],","))),,O$11),"")</f>
        <v xml:space="preserve">
75%: Supported via modifications (config)</v>
      </c>
      <c r="P26" s="29" t="str" cm="1">
        <f t="array" ref="P26">IFERROR(INDEX(_xlfn.UNIQUE(TRIM(_xlfn.TEXTSPLIT(Table261425678[[#This Row],[Selection Options]:[Selection Options]],","))),,P$11),"")</f>
        <v xml:space="preserve">
50%: Supported via a third party solution</v>
      </c>
      <c r="Q26" s="29" t="str" cm="1">
        <f t="array" ref="Q26">IFERROR(INDEX(_xlfn.UNIQUE(TRIM(_xlfn.TEXTSPLIT(Table261425678[[#This Row],[Selection Options]:[Selection Options]],","))),,Q$11),"")</f>
        <v xml:space="preserve">
25%: Supported via customisation (source code changes)</v>
      </c>
      <c r="R26" s="29" t="str" cm="1">
        <f t="array" ref="R26">IFERROR(INDEX(_xlfn.UNIQUE(TRIM(_xlfn.TEXTSPLIT(Table261425678[[#This Row],[Selection Options]:[Selection Options]],","))),,R$11),"")</f>
        <v xml:space="preserve">
 0%: Not currently supported</v>
      </c>
      <c r="S26" s="29" t="str" cm="1">
        <f t="array" ref="S26">IFERROR(INDEX(_xlfn.UNIQUE(TRIM(_xlfn.TEXTSPLIT(Table261425678[[#This Row],[Selection Options]:[Selection Options]],","))),,S$11),"")</f>
        <v/>
      </c>
      <c r="T26" s="29" t="str" cm="1">
        <f t="array" ref="T26">IFERROR(INDEX(_xlfn.UNIQUE(TRIM(_xlfn.TEXTSPLIT(Table261425678[[#This Row],[Selection Options]:[Selection Options]],","))),,T$11),"")</f>
        <v/>
      </c>
      <c r="U26" s="29" t="str" cm="1">
        <f t="array" ref="U26">IFERROR(INDEX(_xlfn.UNIQUE(TRIM(_xlfn.TEXTSPLIT(Table261425678[[#This Row],[Selection Options]:[Selection Options]],","))),,U$11),"")</f>
        <v/>
      </c>
      <c r="V26" s="29" t="str" cm="1">
        <f t="array" ref="V26">IFERROR(INDEX(_xlfn.UNIQUE(TRIM(_xlfn.TEXTSPLIT(Table261425678[[#This Row],[Selection Options]:[Selection Options]],","))),,V$11),"")</f>
        <v/>
      </c>
      <c r="W26" s="29" t="str" cm="1">
        <f t="array" ref="W26">IFERROR(INDEX(_xlfn.UNIQUE(TRIM(_xlfn.TEXTSPLIT(Table261425678[[#This Row],[Selection Options]:[Selection Options]],","))),,W$11),"")</f>
        <v/>
      </c>
      <c r="X26" s="29" t="str" cm="1">
        <f t="array" ref="X26">IFERROR(INDEX(_xlfn.UNIQUE(TRIM(_xlfn.TEXTSPLIT(Table261425678[[#This Row],[Selection Options]:[Selection Options]],","))),,X$11),"")</f>
        <v/>
      </c>
      <c r="Y26" s="30" cm="1">
        <f t="array" ref="Y26">IF(Table261425678[[#This Row],[1]]="","",Table261425678[[#This Row],[Weight]:[Weight]]-(Table261425678[[#This Row],[Weight]:[Weight]]*((_xlfn.XMATCH(Table261425678[[#This Row],[1]],Table261425678[[#This Row],[1]:[11]],0))-1)/(COUNTA(Table261425678[[#This Row],[1]:[11]])-COUNTBLANK(Table261425678[[#This Row],[1]:[11]])-1)))</f>
        <v>6.4102564102564103E-4</v>
      </c>
      <c r="Z26" s="30" cm="1">
        <f t="array" ref="Z26">IF(Table261425678[[#This Row],[2]]="","",Table261425678[[#This Row],[Weight]:[Weight]]-(Table261425678[[#This Row],[Weight]:[Weight]]*((_xlfn.XMATCH(Table261425678[[#This Row],[2]],Table261425678[[#This Row],[1]:[11]],0))-1)/(COUNTA(Table261425678[[#This Row],[1]:[11]])-COUNTBLANK(Table261425678[[#This Row],[1]:[11]])-1)))</f>
        <v>4.807692307692308E-4</v>
      </c>
      <c r="AA26" s="30" cm="1">
        <f t="array" ref="AA26">IF(Table261425678[[#This Row],[3]]="","",Table261425678[[#This Row],[Weight]:[Weight]]-(Table261425678[[#This Row],[Weight]:[Weight]]*((_xlfn.XMATCH(Table261425678[[#This Row],[3]],Table261425678[[#This Row],[1]:[11]],0))-1)/(COUNTA(Table261425678[[#This Row],[1]:[11]])-COUNTBLANK(Table261425678[[#This Row],[1]:[11]])-1)))</f>
        <v>3.2051282051282051E-4</v>
      </c>
      <c r="AB26" s="30" cm="1">
        <f t="array" ref="AB26">IF(Table261425678[[#This Row],[4]]="","",Table261425678[[#This Row],[Weight]:[Weight]]-(Table261425678[[#This Row],[Weight]:[Weight]]*((_xlfn.XMATCH(Table261425678[[#This Row],[4]],Table261425678[[#This Row],[1]:[11]],0))-1)/(COUNTA(Table261425678[[#This Row],[1]:[11]])-COUNTBLANK(Table261425678[[#This Row],[1]:[11]])-1)))</f>
        <v>1.6025641025641023E-4</v>
      </c>
      <c r="AC26" s="30" cm="1">
        <f t="array" ref="AC26">IF(Table261425678[[#This Row],[5]]="","",Table261425678[[#This Row],[Weight]:[Weight]]-(Table261425678[[#This Row],[Weight]:[Weight]]*((_xlfn.XMATCH(Table261425678[[#This Row],[5]],Table261425678[[#This Row],[1]:[11]],0))-1)/(COUNTA(Table261425678[[#This Row],[1]:[11]])-COUNTBLANK(Table261425678[[#This Row],[1]:[11]])-1)))</f>
        <v>0</v>
      </c>
      <c r="AD26" s="30" t="str" cm="1">
        <f t="array" ref="AD26">IF(Table261425678[[#This Row],[6]]="","",Table261425678[[#This Row],[Weight]:[Weight]]-(Table261425678[[#This Row],[Weight]:[Weight]]*((_xlfn.XMATCH(Table261425678[[#This Row],[6]],Table261425678[[#This Row],[1]:[11]],0))-1)/(COUNTA(Table261425678[[#This Row],[1]:[11]])-COUNTBLANK(Table261425678[[#This Row],[1]:[11]])-1)))</f>
        <v/>
      </c>
      <c r="AE26" s="30" t="str" cm="1">
        <f t="array" ref="AE26">IF(Table261425678[[#This Row],[7]]="","",Table261425678[[#This Row],[Weight]:[Weight]]-(Table261425678[[#This Row],[Weight]:[Weight]]*((_xlfn.XMATCH(Table261425678[[#This Row],[7]],Table261425678[[#This Row],[1]:[11]],0))-1)/(COUNTA(Table261425678[[#This Row],[1]:[11]])-COUNTBLANK(Table261425678[[#This Row],[1]:[11]])-1)))</f>
        <v/>
      </c>
      <c r="AF26" s="30" t="str" cm="1">
        <f t="array" ref="AF26">IF(Table261425678[[#This Row],[8]]="","",Table261425678[[#This Row],[Weight]:[Weight]]-(Table261425678[[#This Row],[Weight]:[Weight]]*((_xlfn.XMATCH(Table261425678[[#This Row],[8]],Table261425678[[#This Row],[1]:[11]],0))-1)/(COUNTA(Table261425678[[#This Row],[1]:[11]])-COUNTBLANK(Table261425678[[#This Row],[1]:[11]])-1)))</f>
        <v/>
      </c>
      <c r="AG26" s="30" t="str" cm="1">
        <f t="array" ref="AG26">IF(Table261425678[[#This Row],[9]]="","",Table261425678[[#This Row],[Weight]:[Weight]]-(Table261425678[[#This Row],[Weight]:[Weight]]*((_xlfn.XMATCH(Table261425678[[#This Row],[9]],Table261425678[[#This Row],[1]:[11]],0))-1)/(COUNTA(Table261425678[[#This Row],[1]:[11]])-COUNTBLANK(Table261425678[[#This Row],[1]:[11]])-1)))</f>
        <v/>
      </c>
      <c r="AH26" s="30" t="str" cm="1">
        <f t="array" ref="AH26">IF(Table261425678[[#This Row],[10]]="","",Table261425678[[#This Row],[Weight]:[Weight]]-(Table261425678[[#This Row],[Weight]:[Weight]]*((_xlfn.XMATCH(Table261425678[[#This Row],[10]],Table261425678[[#This Row],[1]:[11]],0))-1)/(COUNTA(Table261425678[[#This Row],[1]:[11]])-COUNTBLANK(Table261425678[[#This Row],[1]:[11]])-1)))</f>
        <v/>
      </c>
      <c r="AI26" s="30" t="str" cm="1">
        <f t="array" ref="AI26">IF(Table261425678[[#This Row],[11]]="","",Table261425678[[#This Row],[Weight]:[Weight]]-(Table261425678[[#This Row],[Weight]:[Weight]]*((_xlfn.XMATCH(Table261425678[[#This Row],[11]],Table261425678[[#This Row],[1]:[11]],0))-1)/(COUNTA(Table261425678[[#This Row],[1]:[11]])-COUNTBLANK(Table261425678[[#This Row],[1]:[11]])-1)))</f>
        <v/>
      </c>
    </row>
    <row r="27" spans="1:35" ht="108" x14ac:dyDescent="0.2">
      <c r="A27" s="20">
        <v>15</v>
      </c>
      <c r="B27" s="90" t="s">
        <v>462</v>
      </c>
      <c r="C27" s="119" t="s">
        <v>215</v>
      </c>
      <c r="D27" s="153"/>
      <c r="E27" s="153"/>
      <c r="F27" s="121" t="s">
        <v>60</v>
      </c>
      <c r="G27" s="148" cm="1">
        <f t="array" ref="G27">_xlfn.IFS(F27="","",F27="No interest",0,F27="Nice to have",1,F27="Useful",2,F27="Important",3,F27="Very important",4,F27="Critical",5,F27="Show stopper",6)</f>
        <v>6</v>
      </c>
      <c r="H27" s="149">
        <f t="shared" si="1"/>
        <v>6.4102564102564103E-4</v>
      </c>
      <c r="I27" s="150" t="s">
        <v>321</v>
      </c>
      <c r="J27" s="35" t="str" cm="1">
        <f t="array" ref="J27">_xlfn.TEXTJOIN(","&amp;CHAR(10),,TEXT(Table261425678[[#This Row],[12]:[22]],"0,00%"))</f>
        <v>0,00%,
0,00%,
0,00%,
0,00%,
0,00%</v>
      </c>
      <c r="K27" s="26"/>
      <c r="L27" s="27" t="e">
        <f>H27-(H27*((MATCH(Table261425678[[#This Row],[Evaluators Response (SELECT)]],Table261425678[[#This Row],[1]:[11]],0)-1)/(COUNTA(Table261425678[[#This Row],[1]:[11]])-COUNTBLANK(Table261425678[[#This Row],[1]:[11]])-1)))</f>
        <v>#N/A</v>
      </c>
      <c r="M27" s="28"/>
      <c r="N27" s="29" t="str" cm="1">
        <f t="array" ref="N27">IFERROR(INDEX(_xlfn.UNIQUE(TRIM(_xlfn.TEXTSPLIT(Table261425678[[#This Row],[Selection Options]:[Selection Options]],","))),,N$11),"")</f>
        <v>100%: Supported as delivered "out of the box"</v>
      </c>
      <c r="O27" s="29" t="str" cm="1">
        <f t="array" ref="O27">IFERROR(INDEX(_xlfn.UNIQUE(TRIM(_xlfn.TEXTSPLIT(Table261425678[[#This Row],[Selection Options]:[Selection Options]],","))),,O$11),"")</f>
        <v xml:space="preserve">
75%: Supported via modifications (config)</v>
      </c>
      <c r="P27" s="29" t="str" cm="1">
        <f t="array" ref="P27">IFERROR(INDEX(_xlfn.UNIQUE(TRIM(_xlfn.TEXTSPLIT(Table261425678[[#This Row],[Selection Options]:[Selection Options]],","))),,P$11),"")</f>
        <v xml:space="preserve">
50%: Supported via a third party solution</v>
      </c>
      <c r="Q27" s="29" t="str" cm="1">
        <f t="array" ref="Q27">IFERROR(INDEX(_xlfn.UNIQUE(TRIM(_xlfn.TEXTSPLIT(Table261425678[[#This Row],[Selection Options]:[Selection Options]],","))),,Q$11),"")</f>
        <v xml:space="preserve">
25%: Supported via customisation (source code changes)</v>
      </c>
      <c r="R27" s="29" t="str" cm="1">
        <f t="array" ref="R27">IFERROR(INDEX(_xlfn.UNIQUE(TRIM(_xlfn.TEXTSPLIT(Table261425678[[#This Row],[Selection Options]:[Selection Options]],","))),,R$11),"")</f>
        <v xml:space="preserve">
 0%: Not currently supported</v>
      </c>
      <c r="S27" s="29" t="str" cm="1">
        <f t="array" ref="S27">IFERROR(INDEX(_xlfn.UNIQUE(TRIM(_xlfn.TEXTSPLIT(Table261425678[[#This Row],[Selection Options]:[Selection Options]],","))),,S$11),"")</f>
        <v/>
      </c>
      <c r="T27" s="29" t="str" cm="1">
        <f t="array" ref="T27">IFERROR(INDEX(_xlfn.UNIQUE(TRIM(_xlfn.TEXTSPLIT(Table261425678[[#This Row],[Selection Options]:[Selection Options]],","))),,T$11),"")</f>
        <v/>
      </c>
      <c r="U27" s="29" t="str" cm="1">
        <f t="array" ref="U27">IFERROR(INDEX(_xlfn.UNIQUE(TRIM(_xlfn.TEXTSPLIT(Table261425678[[#This Row],[Selection Options]:[Selection Options]],","))),,U$11),"")</f>
        <v/>
      </c>
      <c r="V27" s="29" t="str" cm="1">
        <f t="array" ref="V27">IFERROR(INDEX(_xlfn.UNIQUE(TRIM(_xlfn.TEXTSPLIT(Table261425678[[#This Row],[Selection Options]:[Selection Options]],","))),,V$11),"")</f>
        <v/>
      </c>
      <c r="W27" s="29" t="str" cm="1">
        <f t="array" ref="W27">IFERROR(INDEX(_xlfn.UNIQUE(TRIM(_xlfn.TEXTSPLIT(Table261425678[[#This Row],[Selection Options]:[Selection Options]],","))),,W$11),"")</f>
        <v/>
      </c>
      <c r="X27" s="29" t="str" cm="1">
        <f t="array" ref="X27">IFERROR(INDEX(_xlfn.UNIQUE(TRIM(_xlfn.TEXTSPLIT(Table261425678[[#This Row],[Selection Options]:[Selection Options]],","))),,X$11),"")</f>
        <v/>
      </c>
      <c r="Y27" s="30" cm="1">
        <f t="array" ref="Y27">IF(Table261425678[[#This Row],[1]]="","",Table261425678[[#This Row],[Weight]:[Weight]]-(Table261425678[[#This Row],[Weight]:[Weight]]*((_xlfn.XMATCH(Table261425678[[#This Row],[1]],Table261425678[[#This Row],[1]:[11]],0))-1)/(COUNTA(Table261425678[[#This Row],[1]:[11]])-COUNTBLANK(Table261425678[[#This Row],[1]:[11]])-1)))</f>
        <v>6.4102564102564103E-4</v>
      </c>
      <c r="Z27" s="30" cm="1">
        <f t="array" ref="Z27">IF(Table261425678[[#This Row],[2]]="","",Table261425678[[#This Row],[Weight]:[Weight]]-(Table261425678[[#This Row],[Weight]:[Weight]]*((_xlfn.XMATCH(Table261425678[[#This Row],[2]],Table261425678[[#This Row],[1]:[11]],0))-1)/(COUNTA(Table261425678[[#This Row],[1]:[11]])-COUNTBLANK(Table261425678[[#This Row],[1]:[11]])-1)))</f>
        <v>4.807692307692308E-4</v>
      </c>
      <c r="AA27" s="30" cm="1">
        <f t="array" ref="AA27">IF(Table261425678[[#This Row],[3]]="","",Table261425678[[#This Row],[Weight]:[Weight]]-(Table261425678[[#This Row],[Weight]:[Weight]]*((_xlfn.XMATCH(Table261425678[[#This Row],[3]],Table261425678[[#This Row],[1]:[11]],0))-1)/(COUNTA(Table261425678[[#This Row],[1]:[11]])-COUNTBLANK(Table261425678[[#This Row],[1]:[11]])-1)))</f>
        <v>3.2051282051282051E-4</v>
      </c>
      <c r="AB27" s="30" cm="1">
        <f t="array" ref="AB27">IF(Table261425678[[#This Row],[4]]="","",Table261425678[[#This Row],[Weight]:[Weight]]-(Table261425678[[#This Row],[Weight]:[Weight]]*((_xlfn.XMATCH(Table261425678[[#This Row],[4]],Table261425678[[#This Row],[1]:[11]],0))-1)/(COUNTA(Table261425678[[#This Row],[1]:[11]])-COUNTBLANK(Table261425678[[#This Row],[1]:[11]])-1)))</f>
        <v>1.6025641025641023E-4</v>
      </c>
      <c r="AC27" s="30" cm="1">
        <f t="array" ref="AC27">IF(Table261425678[[#This Row],[5]]="","",Table261425678[[#This Row],[Weight]:[Weight]]-(Table261425678[[#This Row],[Weight]:[Weight]]*((_xlfn.XMATCH(Table261425678[[#This Row],[5]],Table261425678[[#This Row],[1]:[11]],0))-1)/(COUNTA(Table261425678[[#This Row],[1]:[11]])-COUNTBLANK(Table261425678[[#This Row],[1]:[11]])-1)))</f>
        <v>0</v>
      </c>
      <c r="AD27" s="30" t="str" cm="1">
        <f t="array" ref="AD27">IF(Table261425678[[#This Row],[6]]="","",Table261425678[[#This Row],[Weight]:[Weight]]-(Table261425678[[#This Row],[Weight]:[Weight]]*((_xlfn.XMATCH(Table261425678[[#This Row],[6]],Table261425678[[#This Row],[1]:[11]],0))-1)/(COUNTA(Table261425678[[#This Row],[1]:[11]])-COUNTBLANK(Table261425678[[#This Row],[1]:[11]])-1)))</f>
        <v/>
      </c>
      <c r="AE27" s="30" t="str" cm="1">
        <f t="array" ref="AE27">IF(Table261425678[[#This Row],[7]]="","",Table261425678[[#This Row],[Weight]:[Weight]]-(Table261425678[[#This Row],[Weight]:[Weight]]*((_xlfn.XMATCH(Table261425678[[#This Row],[7]],Table261425678[[#This Row],[1]:[11]],0))-1)/(COUNTA(Table261425678[[#This Row],[1]:[11]])-COUNTBLANK(Table261425678[[#This Row],[1]:[11]])-1)))</f>
        <v/>
      </c>
      <c r="AF27" s="30" t="str" cm="1">
        <f t="array" ref="AF27">IF(Table261425678[[#This Row],[8]]="","",Table261425678[[#This Row],[Weight]:[Weight]]-(Table261425678[[#This Row],[Weight]:[Weight]]*((_xlfn.XMATCH(Table261425678[[#This Row],[8]],Table261425678[[#This Row],[1]:[11]],0))-1)/(COUNTA(Table261425678[[#This Row],[1]:[11]])-COUNTBLANK(Table261425678[[#This Row],[1]:[11]])-1)))</f>
        <v/>
      </c>
      <c r="AG27" s="30" t="str" cm="1">
        <f t="array" ref="AG27">IF(Table261425678[[#This Row],[9]]="","",Table261425678[[#This Row],[Weight]:[Weight]]-(Table261425678[[#This Row],[Weight]:[Weight]]*((_xlfn.XMATCH(Table261425678[[#This Row],[9]],Table261425678[[#This Row],[1]:[11]],0))-1)/(COUNTA(Table261425678[[#This Row],[1]:[11]])-COUNTBLANK(Table261425678[[#This Row],[1]:[11]])-1)))</f>
        <v/>
      </c>
      <c r="AH27" s="30" t="str" cm="1">
        <f t="array" ref="AH27">IF(Table261425678[[#This Row],[10]]="","",Table261425678[[#This Row],[Weight]:[Weight]]-(Table261425678[[#This Row],[Weight]:[Weight]]*((_xlfn.XMATCH(Table261425678[[#This Row],[10]],Table261425678[[#This Row],[1]:[11]],0))-1)/(COUNTA(Table261425678[[#This Row],[1]:[11]])-COUNTBLANK(Table261425678[[#This Row],[1]:[11]])-1)))</f>
        <v/>
      </c>
      <c r="AI27" s="30" t="str" cm="1">
        <f t="array" ref="AI27">IF(Table261425678[[#This Row],[11]]="","",Table261425678[[#This Row],[Weight]:[Weight]]-(Table261425678[[#This Row],[Weight]:[Weight]]*((_xlfn.XMATCH(Table261425678[[#This Row],[11]],Table261425678[[#This Row],[1]:[11]],0))-1)/(COUNTA(Table261425678[[#This Row],[1]:[11]])-COUNTBLANK(Table261425678[[#This Row],[1]:[11]])-1)))</f>
        <v/>
      </c>
    </row>
    <row r="28" spans="1:35" ht="108" x14ac:dyDescent="0.2">
      <c r="A28" s="20">
        <v>16</v>
      </c>
      <c r="B28" s="90" t="s">
        <v>463</v>
      </c>
      <c r="C28" s="119" t="s">
        <v>215</v>
      </c>
      <c r="D28" s="153"/>
      <c r="E28" s="153"/>
      <c r="F28" s="121" t="s">
        <v>60</v>
      </c>
      <c r="G28" s="148" cm="1">
        <f t="array" ref="G28">_xlfn.IFS(F28="","",F28="No interest",0,F28="Nice to have",1,F28="Useful",2,F28="Important",3,F28="Very important",4,F28="Critical",5,F28="Show stopper",6)</f>
        <v>6</v>
      </c>
      <c r="H28" s="149">
        <f t="shared" si="1"/>
        <v>6.4102564102564103E-4</v>
      </c>
      <c r="I28" s="150" t="s">
        <v>321</v>
      </c>
      <c r="J28" s="35" t="str" cm="1">
        <f t="array" ref="J28">_xlfn.TEXTJOIN(","&amp;CHAR(10),,TEXT(Table261425678[[#This Row],[12]:[22]],"0,00%"))</f>
        <v>0,00%,
0,00%,
0,00%,
0,00%,
0,00%</v>
      </c>
      <c r="K28" s="26"/>
      <c r="L28" s="27" t="e">
        <f>H28-(H28*((MATCH(Table261425678[[#This Row],[Evaluators Response (SELECT)]],Table261425678[[#This Row],[1]:[11]],0)-1)/(COUNTA(Table261425678[[#This Row],[1]:[11]])-COUNTBLANK(Table261425678[[#This Row],[1]:[11]])-1)))</f>
        <v>#N/A</v>
      </c>
      <c r="M28" s="28"/>
      <c r="N28" s="29" t="str" cm="1">
        <f t="array" ref="N28">IFERROR(INDEX(_xlfn.UNIQUE(TRIM(_xlfn.TEXTSPLIT(Table261425678[[#This Row],[Selection Options]:[Selection Options]],","))),,N$11),"")</f>
        <v>100%: Supported as delivered "out of the box"</v>
      </c>
      <c r="O28" s="29" t="str" cm="1">
        <f t="array" ref="O28">IFERROR(INDEX(_xlfn.UNIQUE(TRIM(_xlfn.TEXTSPLIT(Table261425678[[#This Row],[Selection Options]:[Selection Options]],","))),,O$11),"")</f>
        <v xml:space="preserve">
75%: Supported via modifications (config)</v>
      </c>
      <c r="P28" s="29" t="str" cm="1">
        <f t="array" ref="P28">IFERROR(INDEX(_xlfn.UNIQUE(TRIM(_xlfn.TEXTSPLIT(Table261425678[[#This Row],[Selection Options]:[Selection Options]],","))),,P$11),"")</f>
        <v xml:space="preserve">
50%: Supported via a third party solution</v>
      </c>
      <c r="Q28" s="29" t="str" cm="1">
        <f t="array" ref="Q28">IFERROR(INDEX(_xlfn.UNIQUE(TRIM(_xlfn.TEXTSPLIT(Table261425678[[#This Row],[Selection Options]:[Selection Options]],","))),,Q$11),"")</f>
        <v xml:space="preserve">
25%: Supported via customisation (source code changes)</v>
      </c>
      <c r="R28" s="29" t="str" cm="1">
        <f t="array" ref="R28">IFERROR(INDEX(_xlfn.UNIQUE(TRIM(_xlfn.TEXTSPLIT(Table261425678[[#This Row],[Selection Options]:[Selection Options]],","))),,R$11),"")</f>
        <v xml:space="preserve">
 0%: Not currently supported</v>
      </c>
      <c r="S28" s="29" t="str" cm="1">
        <f t="array" ref="S28">IFERROR(INDEX(_xlfn.UNIQUE(TRIM(_xlfn.TEXTSPLIT(Table261425678[[#This Row],[Selection Options]:[Selection Options]],","))),,S$11),"")</f>
        <v/>
      </c>
      <c r="T28" s="29" t="str" cm="1">
        <f t="array" ref="T28">IFERROR(INDEX(_xlfn.UNIQUE(TRIM(_xlfn.TEXTSPLIT(Table261425678[[#This Row],[Selection Options]:[Selection Options]],","))),,T$11),"")</f>
        <v/>
      </c>
      <c r="U28" s="29" t="str" cm="1">
        <f t="array" ref="U28">IFERROR(INDEX(_xlfn.UNIQUE(TRIM(_xlfn.TEXTSPLIT(Table261425678[[#This Row],[Selection Options]:[Selection Options]],","))),,U$11),"")</f>
        <v/>
      </c>
      <c r="V28" s="29" t="str" cm="1">
        <f t="array" ref="V28">IFERROR(INDEX(_xlfn.UNIQUE(TRIM(_xlfn.TEXTSPLIT(Table261425678[[#This Row],[Selection Options]:[Selection Options]],","))),,V$11),"")</f>
        <v/>
      </c>
      <c r="W28" s="29" t="str" cm="1">
        <f t="array" ref="W28">IFERROR(INDEX(_xlfn.UNIQUE(TRIM(_xlfn.TEXTSPLIT(Table261425678[[#This Row],[Selection Options]:[Selection Options]],","))),,W$11),"")</f>
        <v/>
      </c>
      <c r="X28" s="29" t="str" cm="1">
        <f t="array" ref="X28">IFERROR(INDEX(_xlfn.UNIQUE(TRIM(_xlfn.TEXTSPLIT(Table261425678[[#This Row],[Selection Options]:[Selection Options]],","))),,X$11),"")</f>
        <v/>
      </c>
      <c r="Y28" s="30" cm="1">
        <f t="array" ref="Y28">IF(Table261425678[[#This Row],[1]]="","",Table261425678[[#This Row],[Weight]:[Weight]]-(Table261425678[[#This Row],[Weight]:[Weight]]*((_xlfn.XMATCH(Table261425678[[#This Row],[1]],Table261425678[[#This Row],[1]:[11]],0))-1)/(COUNTA(Table261425678[[#This Row],[1]:[11]])-COUNTBLANK(Table261425678[[#This Row],[1]:[11]])-1)))</f>
        <v>6.4102564102564103E-4</v>
      </c>
      <c r="Z28" s="30" cm="1">
        <f t="array" ref="Z28">IF(Table261425678[[#This Row],[2]]="","",Table261425678[[#This Row],[Weight]:[Weight]]-(Table261425678[[#This Row],[Weight]:[Weight]]*((_xlfn.XMATCH(Table261425678[[#This Row],[2]],Table261425678[[#This Row],[1]:[11]],0))-1)/(COUNTA(Table261425678[[#This Row],[1]:[11]])-COUNTBLANK(Table261425678[[#This Row],[1]:[11]])-1)))</f>
        <v>4.807692307692308E-4</v>
      </c>
      <c r="AA28" s="30" cm="1">
        <f t="array" ref="AA28">IF(Table261425678[[#This Row],[3]]="","",Table261425678[[#This Row],[Weight]:[Weight]]-(Table261425678[[#This Row],[Weight]:[Weight]]*((_xlfn.XMATCH(Table261425678[[#This Row],[3]],Table261425678[[#This Row],[1]:[11]],0))-1)/(COUNTA(Table261425678[[#This Row],[1]:[11]])-COUNTBLANK(Table261425678[[#This Row],[1]:[11]])-1)))</f>
        <v>3.2051282051282051E-4</v>
      </c>
      <c r="AB28" s="30" cm="1">
        <f t="array" ref="AB28">IF(Table261425678[[#This Row],[4]]="","",Table261425678[[#This Row],[Weight]:[Weight]]-(Table261425678[[#This Row],[Weight]:[Weight]]*((_xlfn.XMATCH(Table261425678[[#This Row],[4]],Table261425678[[#This Row],[1]:[11]],0))-1)/(COUNTA(Table261425678[[#This Row],[1]:[11]])-COUNTBLANK(Table261425678[[#This Row],[1]:[11]])-1)))</f>
        <v>1.6025641025641023E-4</v>
      </c>
      <c r="AC28" s="30" cm="1">
        <f t="array" ref="AC28">IF(Table261425678[[#This Row],[5]]="","",Table261425678[[#This Row],[Weight]:[Weight]]-(Table261425678[[#This Row],[Weight]:[Weight]]*((_xlfn.XMATCH(Table261425678[[#This Row],[5]],Table261425678[[#This Row],[1]:[11]],0))-1)/(COUNTA(Table261425678[[#This Row],[1]:[11]])-COUNTBLANK(Table261425678[[#This Row],[1]:[11]])-1)))</f>
        <v>0</v>
      </c>
      <c r="AD28" s="30" t="str" cm="1">
        <f t="array" ref="AD28">IF(Table261425678[[#This Row],[6]]="","",Table261425678[[#This Row],[Weight]:[Weight]]-(Table261425678[[#This Row],[Weight]:[Weight]]*((_xlfn.XMATCH(Table261425678[[#This Row],[6]],Table261425678[[#This Row],[1]:[11]],0))-1)/(COUNTA(Table261425678[[#This Row],[1]:[11]])-COUNTBLANK(Table261425678[[#This Row],[1]:[11]])-1)))</f>
        <v/>
      </c>
      <c r="AE28" s="30" t="str" cm="1">
        <f t="array" ref="AE28">IF(Table261425678[[#This Row],[7]]="","",Table261425678[[#This Row],[Weight]:[Weight]]-(Table261425678[[#This Row],[Weight]:[Weight]]*((_xlfn.XMATCH(Table261425678[[#This Row],[7]],Table261425678[[#This Row],[1]:[11]],0))-1)/(COUNTA(Table261425678[[#This Row],[1]:[11]])-COUNTBLANK(Table261425678[[#This Row],[1]:[11]])-1)))</f>
        <v/>
      </c>
      <c r="AF28" s="30" t="str" cm="1">
        <f t="array" ref="AF28">IF(Table261425678[[#This Row],[8]]="","",Table261425678[[#This Row],[Weight]:[Weight]]-(Table261425678[[#This Row],[Weight]:[Weight]]*((_xlfn.XMATCH(Table261425678[[#This Row],[8]],Table261425678[[#This Row],[1]:[11]],0))-1)/(COUNTA(Table261425678[[#This Row],[1]:[11]])-COUNTBLANK(Table261425678[[#This Row],[1]:[11]])-1)))</f>
        <v/>
      </c>
      <c r="AG28" s="30" t="str" cm="1">
        <f t="array" ref="AG28">IF(Table261425678[[#This Row],[9]]="","",Table261425678[[#This Row],[Weight]:[Weight]]-(Table261425678[[#This Row],[Weight]:[Weight]]*((_xlfn.XMATCH(Table261425678[[#This Row],[9]],Table261425678[[#This Row],[1]:[11]],0))-1)/(COUNTA(Table261425678[[#This Row],[1]:[11]])-COUNTBLANK(Table261425678[[#This Row],[1]:[11]])-1)))</f>
        <v/>
      </c>
      <c r="AH28" s="30" t="str" cm="1">
        <f t="array" ref="AH28">IF(Table261425678[[#This Row],[10]]="","",Table261425678[[#This Row],[Weight]:[Weight]]-(Table261425678[[#This Row],[Weight]:[Weight]]*((_xlfn.XMATCH(Table261425678[[#This Row],[10]],Table261425678[[#This Row],[1]:[11]],0))-1)/(COUNTA(Table261425678[[#This Row],[1]:[11]])-COUNTBLANK(Table261425678[[#This Row],[1]:[11]])-1)))</f>
        <v/>
      </c>
      <c r="AI28" s="30" t="str" cm="1">
        <f t="array" ref="AI28">IF(Table261425678[[#This Row],[11]]="","",Table261425678[[#This Row],[Weight]:[Weight]]-(Table261425678[[#This Row],[Weight]:[Weight]]*((_xlfn.XMATCH(Table261425678[[#This Row],[11]],Table261425678[[#This Row],[1]:[11]],0))-1)/(COUNTA(Table261425678[[#This Row],[1]:[11]])-COUNTBLANK(Table261425678[[#This Row],[1]:[11]])-1)))</f>
        <v/>
      </c>
    </row>
    <row r="29" spans="1:35" ht="108" x14ac:dyDescent="0.2">
      <c r="A29" s="20">
        <v>17</v>
      </c>
      <c r="B29" s="90" t="s">
        <v>464</v>
      </c>
      <c r="C29" s="119" t="s">
        <v>215</v>
      </c>
      <c r="D29" s="153"/>
      <c r="E29" s="153"/>
      <c r="F29" s="121" t="s">
        <v>60</v>
      </c>
      <c r="G29" s="148" cm="1">
        <f t="array" ref="G29">_xlfn.IFS(F29="","",F29="No interest",0,F29="Nice to have",1,F29="Useful",2,F29="Important",3,F29="Very important",4,F29="Critical",5,F29="Show stopper",6)</f>
        <v>6</v>
      </c>
      <c r="H29" s="149">
        <f t="shared" si="1"/>
        <v>6.4102564102564103E-4</v>
      </c>
      <c r="I29" s="150" t="s">
        <v>321</v>
      </c>
      <c r="J29" s="35" t="str" cm="1">
        <f t="array" ref="J29">_xlfn.TEXTJOIN(","&amp;CHAR(10),,TEXT(Table261425678[[#This Row],[12]:[22]],"0,00%"))</f>
        <v>0,00%,
0,00%,
0,00%,
0,00%,
0,00%</v>
      </c>
      <c r="K29" s="26"/>
      <c r="L29" s="27" t="e">
        <f>H29-(H29*((MATCH(Table261425678[[#This Row],[Evaluators Response (SELECT)]],Table261425678[[#This Row],[1]:[11]],0)-1)/(COUNTA(Table261425678[[#This Row],[1]:[11]])-COUNTBLANK(Table261425678[[#This Row],[1]:[11]])-1)))</f>
        <v>#N/A</v>
      </c>
      <c r="M29" s="28"/>
      <c r="N29" s="29" t="str" cm="1">
        <f t="array" ref="N29">IFERROR(INDEX(_xlfn.UNIQUE(TRIM(_xlfn.TEXTSPLIT(Table261425678[[#This Row],[Selection Options]:[Selection Options]],","))),,N$11),"")</f>
        <v>100%: Supported as delivered "out of the box"</v>
      </c>
      <c r="O29" s="29" t="str" cm="1">
        <f t="array" ref="O29">IFERROR(INDEX(_xlfn.UNIQUE(TRIM(_xlfn.TEXTSPLIT(Table261425678[[#This Row],[Selection Options]:[Selection Options]],","))),,O$11),"")</f>
        <v xml:space="preserve">
75%: Supported via modifications (config)</v>
      </c>
      <c r="P29" s="29" t="str" cm="1">
        <f t="array" ref="P29">IFERROR(INDEX(_xlfn.UNIQUE(TRIM(_xlfn.TEXTSPLIT(Table261425678[[#This Row],[Selection Options]:[Selection Options]],","))),,P$11),"")</f>
        <v xml:space="preserve">
50%: Supported via a third party solution</v>
      </c>
      <c r="Q29" s="29" t="str" cm="1">
        <f t="array" ref="Q29">IFERROR(INDEX(_xlfn.UNIQUE(TRIM(_xlfn.TEXTSPLIT(Table261425678[[#This Row],[Selection Options]:[Selection Options]],","))),,Q$11),"")</f>
        <v xml:space="preserve">
25%: Supported via customisation (source code changes)</v>
      </c>
      <c r="R29" s="29" t="str" cm="1">
        <f t="array" ref="R29">IFERROR(INDEX(_xlfn.UNIQUE(TRIM(_xlfn.TEXTSPLIT(Table261425678[[#This Row],[Selection Options]:[Selection Options]],","))),,R$11),"")</f>
        <v xml:space="preserve">
 0%: Not currently supported</v>
      </c>
      <c r="S29" s="29" t="str" cm="1">
        <f t="array" ref="S29">IFERROR(INDEX(_xlfn.UNIQUE(TRIM(_xlfn.TEXTSPLIT(Table261425678[[#This Row],[Selection Options]:[Selection Options]],","))),,S$11),"")</f>
        <v/>
      </c>
      <c r="T29" s="29" t="str" cm="1">
        <f t="array" ref="T29">IFERROR(INDEX(_xlfn.UNIQUE(TRIM(_xlfn.TEXTSPLIT(Table261425678[[#This Row],[Selection Options]:[Selection Options]],","))),,T$11),"")</f>
        <v/>
      </c>
      <c r="U29" s="29" t="str" cm="1">
        <f t="array" ref="U29">IFERROR(INDEX(_xlfn.UNIQUE(TRIM(_xlfn.TEXTSPLIT(Table261425678[[#This Row],[Selection Options]:[Selection Options]],","))),,U$11),"")</f>
        <v/>
      </c>
      <c r="V29" s="29" t="str" cm="1">
        <f t="array" ref="V29">IFERROR(INDEX(_xlfn.UNIQUE(TRIM(_xlfn.TEXTSPLIT(Table261425678[[#This Row],[Selection Options]:[Selection Options]],","))),,V$11),"")</f>
        <v/>
      </c>
      <c r="W29" s="29" t="str" cm="1">
        <f t="array" ref="W29">IFERROR(INDEX(_xlfn.UNIQUE(TRIM(_xlfn.TEXTSPLIT(Table261425678[[#This Row],[Selection Options]:[Selection Options]],","))),,W$11),"")</f>
        <v/>
      </c>
      <c r="X29" s="29" t="str" cm="1">
        <f t="array" ref="X29">IFERROR(INDEX(_xlfn.UNIQUE(TRIM(_xlfn.TEXTSPLIT(Table261425678[[#This Row],[Selection Options]:[Selection Options]],","))),,X$11),"")</f>
        <v/>
      </c>
      <c r="Y29" s="30" cm="1">
        <f t="array" ref="Y29">IF(Table261425678[[#This Row],[1]]="","",Table261425678[[#This Row],[Weight]:[Weight]]-(Table261425678[[#This Row],[Weight]:[Weight]]*((_xlfn.XMATCH(Table261425678[[#This Row],[1]],Table261425678[[#This Row],[1]:[11]],0))-1)/(COUNTA(Table261425678[[#This Row],[1]:[11]])-COUNTBLANK(Table261425678[[#This Row],[1]:[11]])-1)))</f>
        <v>6.4102564102564103E-4</v>
      </c>
      <c r="Z29" s="30" cm="1">
        <f t="array" ref="Z29">IF(Table261425678[[#This Row],[2]]="","",Table261425678[[#This Row],[Weight]:[Weight]]-(Table261425678[[#This Row],[Weight]:[Weight]]*((_xlfn.XMATCH(Table261425678[[#This Row],[2]],Table261425678[[#This Row],[1]:[11]],0))-1)/(COUNTA(Table261425678[[#This Row],[1]:[11]])-COUNTBLANK(Table261425678[[#This Row],[1]:[11]])-1)))</f>
        <v>4.807692307692308E-4</v>
      </c>
      <c r="AA29" s="30" cm="1">
        <f t="array" ref="AA29">IF(Table261425678[[#This Row],[3]]="","",Table261425678[[#This Row],[Weight]:[Weight]]-(Table261425678[[#This Row],[Weight]:[Weight]]*((_xlfn.XMATCH(Table261425678[[#This Row],[3]],Table261425678[[#This Row],[1]:[11]],0))-1)/(COUNTA(Table261425678[[#This Row],[1]:[11]])-COUNTBLANK(Table261425678[[#This Row],[1]:[11]])-1)))</f>
        <v>3.2051282051282051E-4</v>
      </c>
      <c r="AB29" s="30" cm="1">
        <f t="array" ref="AB29">IF(Table261425678[[#This Row],[4]]="","",Table261425678[[#This Row],[Weight]:[Weight]]-(Table261425678[[#This Row],[Weight]:[Weight]]*((_xlfn.XMATCH(Table261425678[[#This Row],[4]],Table261425678[[#This Row],[1]:[11]],0))-1)/(COUNTA(Table261425678[[#This Row],[1]:[11]])-COUNTBLANK(Table261425678[[#This Row],[1]:[11]])-1)))</f>
        <v>1.6025641025641023E-4</v>
      </c>
      <c r="AC29" s="30" cm="1">
        <f t="array" ref="AC29">IF(Table261425678[[#This Row],[5]]="","",Table261425678[[#This Row],[Weight]:[Weight]]-(Table261425678[[#This Row],[Weight]:[Weight]]*((_xlfn.XMATCH(Table261425678[[#This Row],[5]],Table261425678[[#This Row],[1]:[11]],0))-1)/(COUNTA(Table261425678[[#This Row],[1]:[11]])-COUNTBLANK(Table261425678[[#This Row],[1]:[11]])-1)))</f>
        <v>0</v>
      </c>
      <c r="AD29" s="30" t="str" cm="1">
        <f t="array" ref="AD29">IF(Table261425678[[#This Row],[6]]="","",Table261425678[[#This Row],[Weight]:[Weight]]-(Table261425678[[#This Row],[Weight]:[Weight]]*((_xlfn.XMATCH(Table261425678[[#This Row],[6]],Table261425678[[#This Row],[1]:[11]],0))-1)/(COUNTA(Table261425678[[#This Row],[1]:[11]])-COUNTBLANK(Table261425678[[#This Row],[1]:[11]])-1)))</f>
        <v/>
      </c>
      <c r="AE29" s="30" t="str" cm="1">
        <f t="array" ref="AE29">IF(Table261425678[[#This Row],[7]]="","",Table261425678[[#This Row],[Weight]:[Weight]]-(Table261425678[[#This Row],[Weight]:[Weight]]*((_xlfn.XMATCH(Table261425678[[#This Row],[7]],Table261425678[[#This Row],[1]:[11]],0))-1)/(COUNTA(Table261425678[[#This Row],[1]:[11]])-COUNTBLANK(Table261425678[[#This Row],[1]:[11]])-1)))</f>
        <v/>
      </c>
      <c r="AF29" s="30" t="str" cm="1">
        <f t="array" ref="AF29">IF(Table261425678[[#This Row],[8]]="","",Table261425678[[#This Row],[Weight]:[Weight]]-(Table261425678[[#This Row],[Weight]:[Weight]]*((_xlfn.XMATCH(Table261425678[[#This Row],[8]],Table261425678[[#This Row],[1]:[11]],0))-1)/(COUNTA(Table261425678[[#This Row],[1]:[11]])-COUNTBLANK(Table261425678[[#This Row],[1]:[11]])-1)))</f>
        <v/>
      </c>
      <c r="AG29" s="30" t="str" cm="1">
        <f t="array" ref="AG29">IF(Table261425678[[#This Row],[9]]="","",Table261425678[[#This Row],[Weight]:[Weight]]-(Table261425678[[#This Row],[Weight]:[Weight]]*((_xlfn.XMATCH(Table261425678[[#This Row],[9]],Table261425678[[#This Row],[1]:[11]],0))-1)/(COUNTA(Table261425678[[#This Row],[1]:[11]])-COUNTBLANK(Table261425678[[#This Row],[1]:[11]])-1)))</f>
        <v/>
      </c>
      <c r="AH29" s="30" t="str" cm="1">
        <f t="array" ref="AH29">IF(Table261425678[[#This Row],[10]]="","",Table261425678[[#This Row],[Weight]:[Weight]]-(Table261425678[[#This Row],[Weight]:[Weight]]*((_xlfn.XMATCH(Table261425678[[#This Row],[10]],Table261425678[[#This Row],[1]:[11]],0))-1)/(COUNTA(Table261425678[[#This Row],[1]:[11]])-COUNTBLANK(Table261425678[[#This Row],[1]:[11]])-1)))</f>
        <v/>
      </c>
      <c r="AI29" s="30" t="str" cm="1">
        <f t="array" ref="AI29">IF(Table261425678[[#This Row],[11]]="","",Table261425678[[#This Row],[Weight]:[Weight]]-(Table261425678[[#This Row],[Weight]:[Weight]]*((_xlfn.XMATCH(Table261425678[[#This Row],[11]],Table261425678[[#This Row],[1]:[11]],0))-1)/(COUNTA(Table261425678[[#This Row],[1]:[11]])-COUNTBLANK(Table261425678[[#This Row],[1]:[11]])-1)))</f>
        <v/>
      </c>
    </row>
    <row r="30" spans="1:35" ht="108" x14ac:dyDescent="0.2">
      <c r="A30" s="20">
        <v>18</v>
      </c>
      <c r="B30" s="90" t="s">
        <v>465</v>
      </c>
      <c r="C30" s="119" t="s">
        <v>215</v>
      </c>
      <c r="D30" s="153"/>
      <c r="E30" s="153"/>
      <c r="F30" s="121" t="s">
        <v>60</v>
      </c>
      <c r="G30" s="148" cm="1">
        <f t="array" ref="G30">_xlfn.IFS(F30="","",F30="No interest",0,F30="Nice to have",1,F30="Useful",2,F30="Important",3,F30="Very important",4,F30="Critical",5,F30="Show stopper",6)</f>
        <v>6</v>
      </c>
      <c r="H30" s="149">
        <f t="shared" si="1"/>
        <v>6.4102564102564103E-4</v>
      </c>
      <c r="I30" s="150" t="s">
        <v>321</v>
      </c>
      <c r="J30" s="35" t="str" cm="1">
        <f t="array" ref="J30">_xlfn.TEXTJOIN(","&amp;CHAR(10),,TEXT(Table261425678[[#This Row],[12]:[22]],"0,00%"))</f>
        <v>0,00%,
0,00%,
0,00%,
0,00%,
0,00%</v>
      </c>
      <c r="K30" s="26"/>
      <c r="L30" s="27" t="e">
        <f>H30-(H30*((MATCH(Table261425678[[#This Row],[Evaluators Response (SELECT)]],Table261425678[[#This Row],[1]:[11]],0)-1)/(COUNTA(Table261425678[[#This Row],[1]:[11]])-COUNTBLANK(Table261425678[[#This Row],[1]:[11]])-1)))</f>
        <v>#N/A</v>
      </c>
      <c r="M30" s="28"/>
      <c r="N30" s="29" t="str" cm="1">
        <f t="array" ref="N30">IFERROR(INDEX(_xlfn.UNIQUE(TRIM(_xlfn.TEXTSPLIT(Table261425678[[#This Row],[Selection Options]:[Selection Options]],","))),,N$11),"")</f>
        <v>100%: Supported as delivered "out of the box"</v>
      </c>
      <c r="O30" s="29" t="str" cm="1">
        <f t="array" ref="O30">IFERROR(INDEX(_xlfn.UNIQUE(TRIM(_xlfn.TEXTSPLIT(Table261425678[[#This Row],[Selection Options]:[Selection Options]],","))),,O$11),"")</f>
        <v xml:space="preserve">
75%: Supported via modifications (config)</v>
      </c>
      <c r="P30" s="29" t="str" cm="1">
        <f t="array" ref="P30">IFERROR(INDEX(_xlfn.UNIQUE(TRIM(_xlfn.TEXTSPLIT(Table261425678[[#This Row],[Selection Options]:[Selection Options]],","))),,P$11),"")</f>
        <v xml:space="preserve">
50%: Supported via a third party solution</v>
      </c>
      <c r="Q30" s="29" t="str" cm="1">
        <f t="array" ref="Q30">IFERROR(INDEX(_xlfn.UNIQUE(TRIM(_xlfn.TEXTSPLIT(Table261425678[[#This Row],[Selection Options]:[Selection Options]],","))),,Q$11),"")</f>
        <v xml:space="preserve">
25%: Supported via customisation (source code changes)</v>
      </c>
      <c r="R30" s="29" t="str" cm="1">
        <f t="array" ref="R30">IFERROR(INDEX(_xlfn.UNIQUE(TRIM(_xlfn.TEXTSPLIT(Table261425678[[#This Row],[Selection Options]:[Selection Options]],","))),,R$11),"")</f>
        <v xml:space="preserve">
 0%: Not currently supported</v>
      </c>
      <c r="S30" s="29" t="str" cm="1">
        <f t="array" ref="S30">IFERROR(INDEX(_xlfn.UNIQUE(TRIM(_xlfn.TEXTSPLIT(Table261425678[[#This Row],[Selection Options]:[Selection Options]],","))),,S$11),"")</f>
        <v/>
      </c>
      <c r="T30" s="29" t="str" cm="1">
        <f t="array" ref="T30">IFERROR(INDEX(_xlfn.UNIQUE(TRIM(_xlfn.TEXTSPLIT(Table261425678[[#This Row],[Selection Options]:[Selection Options]],","))),,T$11),"")</f>
        <v/>
      </c>
      <c r="U30" s="29" t="str" cm="1">
        <f t="array" ref="U30">IFERROR(INDEX(_xlfn.UNIQUE(TRIM(_xlfn.TEXTSPLIT(Table261425678[[#This Row],[Selection Options]:[Selection Options]],","))),,U$11),"")</f>
        <v/>
      </c>
      <c r="V30" s="29" t="str" cm="1">
        <f t="array" ref="V30">IFERROR(INDEX(_xlfn.UNIQUE(TRIM(_xlfn.TEXTSPLIT(Table261425678[[#This Row],[Selection Options]:[Selection Options]],","))),,V$11),"")</f>
        <v/>
      </c>
      <c r="W30" s="29" t="str" cm="1">
        <f t="array" ref="W30">IFERROR(INDEX(_xlfn.UNIQUE(TRIM(_xlfn.TEXTSPLIT(Table261425678[[#This Row],[Selection Options]:[Selection Options]],","))),,W$11),"")</f>
        <v/>
      </c>
      <c r="X30" s="29" t="str" cm="1">
        <f t="array" ref="X30">IFERROR(INDEX(_xlfn.UNIQUE(TRIM(_xlfn.TEXTSPLIT(Table261425678[[#This Row],[Selection Options]:[Selection Options]],","))),,X$11),"")</f>
        <v/>
      </c>
      <c r="Y30" s="30" cm="1">
        <f t="array" ref="Y30">IF(Table261425678[[#This Row],[1]]="","",Table261425678[[#This Row],[Weight]:[Weight]]-(Table261425678[[#This Row],[Weight]:[Weight]]*((_xlfn.XMATCH(Table261425678[[#This Row],[1]],Table261425678[[#This Row],[1]:[11]],0))-1)/(COUNTA(Table261425678[[#This Row],[1]:[11]])-COUNTBLANK(Table261425678[[#This Row],[1]:[11]])-1)))</f>
        <v>6.4102564102564103E-4</v>
      </c>
      <c r="Z30" s="30" cm="1">
        <f t="array" ref="Z30">IF(Table261425678[[#This Row],[2]]="","",Table261425678[[#This Row],[Weight]:[Weight]]-(Table261425678[[#This Row],[Weight]:[Weight]]*((_xlfn.XMATCH(Table261425678[[#This Row],[2]],Table261425678[[#This Row],[1]:[11]],0))-1)/(COUNTA(Table261425678[[#This Row],[1]:[11]])-COUNTBLANK(Table261425678[[#This Row],[1]:[11]])-1)))</f>
        <v>4.807692307692308E-4</v>
      </c>
      <c r="AA30" s="30" cm="1">
        <f t="array" ref="AA30">IF(Table261425678[[#This Row],[3]]="","",Table261425678[[#This Row],[Weight]:[Weight]]-(Table261425678[[#This Row],[Weight]:[Weight]]*((_xlfn.XMATCH(Table261425678[[#This Row],[3]],Table261425678[[#This Row],[1]:[11]],0))-1)/(COUNTA(Table261425678[[#This Row],[1]:[11]])-COUNTBLANK(Table261425678[[#This Row],[1]:[11]])-1)))</f>
        <v>3.2051282051282051E-4</v>
      </c>
      <c r="AB30" s="30" cm="1">
        <f t="array" ref="AB30">IF(Table261425678[[#This Row],[4]]="","",Table261425678[[#This Row],[Weight]:[Weight]]-(Table261425678[[#This Row],[Weight]:[Weight]]*((_xlfn.XMATCH(Table261425678[[#This Row],[4]],Table261425678[[#This Row],[1]:[11]],0))-1)/(COUNTA(Table261425678[[#This Row],[1]:[11]])-COUNTBLANK(Table261425678[[#This Row],[1]:[11]])-1)))</f>
        <v>1.6025641025641023E-4</v>
      </c>
      <c r="AC30" s="30" cm="1">
        <f t="array" ref="AC30">IF(Table261425678[[#This Row],[5]]="","",Table261425678[[#This Row],[Weight]:[Weight]]-(Table261425678[[#This Row],[Weight]:[Weight]]*((_xlfn.XMATCH(Table261425678[[#This Row],[5]],Table261425678[[#This Row],[1]:[11]],0))-1)/(COUNTA(Table261425678[[#This Row],[1]:[11]])-COUNTBLANK(Table261425678[[#This Row],[1]:[11]])-1)))</f>
        <v>0</v>
      </c>
      <c r="AD30" s="30" t="str" cm="1">
        <f t="array" ref="AD30">IF(Table261425678[[#This Row],[6]]="","",Table261425678[[#This Row],[Weight]:[Weight]]-(Table261425678[[#This Row],[Weight]:[Weight]]*((_xlfn.XMATCH(Table261425678[[#This Row],[6]],Table261425678[[#This Row],[1]:[11]],0))-1)/(COUNTA(Table261425678[[#This Row],[1]:[11]])-COUNTBLANK(Table261425678[[#This Row],[1]:[11]])-1)))</f>
        <v/>
      </c>
      <c r="AE30" s="30" t="str" cm="1">
        <f t="array" ref="AE30">IF(Table261425678[[#This Row],[7]]="","",Table261425678[[#This Row],[Weight]:[Weight]]-(Table261425678[[#This Row],[Weight]:[Weight]]*((_xlfn.XMATCH(Table261425678[[#This Row],[7]],Table261425678[[#This Row],[1]:[11]],0))-1)/(COUNTA(Table261425678[[#This Row],[1]:[11]])-COUNTBLANK(Table261425678[[#This Row],[1]:[11]])-1)))</f>
        <v/>
      </c>
      <c r="AF30" s="30" t="str" cm="1">
        <f t="array" ref="AF30">IF(Table261425678[[#This Row],[8]]="","",Table261425678[[#This Row],[Weight]:[Weight]]-(Table261425678[[#This Row],[Weight]:[Weight]]*((_xlfn.XMATCH(Table261425678[[#This Row],[8]],Table261425678[[#This Row],[1]:[11]],0))-1)/(COUNTA(Table261425678[[#This Row],[1]:[11]])-COUNTBLANK(Table261425678[[#This Row],[1]:[11]])-1)))</f>
        <v/>
      </c>
      <c r="AG30" s="30" t="str" cm="1">
        <f t="array" ref="AG30">IF(Table261425678[[#This Row],[9]]="","",Table261425678[[#This Row],[Weight]:[Weight]]-(Table261425678[[#This Row],[Weight]:[Weight]]*((_xlfn.XMATCH(Table261425678[[#This Row],[9]],Table261425678[[#This Row],[1]:[11]],0))-1)/(COUNTA(Table261425678[[#This Row],[1]:[11]])-COUNTBLANK(Table261425678[[#This Row],[1]:[11]])-1)))</f>
        <v/>
      </c>
      <c r="AH30" s="30" t="str" cm="1">
        <f t="array" ref="AH30">IF(Table261425678[[#This Row],[10]]="","",Table261425678[[#This Row],[Weight]:[Weight]]-(Table261425678[[#This Row],[Weight]:[Weight]]*((_xlfn.XMATCH(Table261425678[[#This Row],[10]],Table261425678[[#This Row],[1]:[11]],0))-1)/(COUNTA(Table261425678[[#This Row],[1]:[11]])-COUNTBLANK(Table261425678[[#This Row],[1]:[11]])-1)))</f>
        <v/>
      </c>
      <c r="AI30" s="30" t="str" cm="1">
        <f t="array" ref="AI30">IF(Table261425678[[#This Row],[11]]="","",Table261425678[[#This Row],[Weight]:[Weight]]-(Table261425678[[#This Row],[Weight]:[Weight]]*((_xlfn.XMATCH(Table261425678[[#This Row],[11]],Table261425678[[#This Row],[1]:[11]],0))-1)/(COUNTA(Table261425678[[#This Row],[1]:[11]])-COUNTBLANK(Table261425678[[#This Row],[1]:[11]])-1)))</f>
        <v/>
      </c>
    </row>
    <row r="31" spans="1:35" ht="108" x14ac:dyDescent="0.2">
      <c r="A31" s="20">
        <v>19</v>
      </c>
      <c r="B31" s="90" t="s">
        <v>466</v>
      </c>
      <c r="C31" s="119" t="s">
        <v>215</v>
      </c>
      <c r="D31" s="153"/>
      <c r="E31" s="153"/>
      <c r="F31" s="121" t="s">
        <v>60</v>
      </c>
      <c r="G31" s="148" cm="1">
        <f t="array" ref="G31">_xlfn.IFS(F31="","",F31="No interest",0,F31="Nice to have",1,F31="Useful",2,F31="Important",3,F31="Very important",4,F31="Critical",5,F31="Show stopper",6)</f>
        <v>6</v>
      </c>
      <c r="H31" s="149">
        <f t="shared" si="1"/>
        <v>6.4102564102564103E-4</v>
      </c>
      <c r="I31" s="150" t="s">
        <v>321</v>
      </c>
      <c r="J31" s="35" t="str" cm="1">
        <f t="array" ref="J31">_xlfn.TEXTJOIN(","&amp;CHAR(10),,TEXT(Table261425678[[#This Row],[12]:[22]],"0,00%"))</f>
        <v>0,00%,
0,00%,
0,00%,
0,00%,
0,00%</v>
      </c>
      <c r="K31" s="26"/>
      <c r="L31" s="27" t="e">
        <f>H31-(H31*((MATCH(Table261425678[[#This Row],[Evaluators Response (SELECT)]],Table261425678[[#This Row],[1]:[11]],0)-1)/(COUNTA(Table261425678[[#This Row],[1]:[11]])-COUNTBLANK(Table261425678[[#This Row],[1]:[11]])-1)))</f>
        <v>#N/A</v>
      </c>
      <c r="M31" s="28"/>
      <c r="N31" s="29" t="str" cm="1">
        <f t="array" ref="N31">IFERROR(INDEX(_xlfn.UNIQUE(TRIM(_xlfn.TEXTSPLIT(Table261425678[[#This Row],[Selection Options]:[Selection Options]],","))),,N$11),"")</f>
        <v>100%: Supported as delivered "out of the box"</v>
      </c>
      <c r="O31" s="29" t="str" cm="1">
        <f t="array" ref="O31">IFERROR(INDEX(_xlfn.UNIQUE(TRIM(_xlfn.TEXTSPLIT(Table261425678[[#This Row],[Selection Options]:[Selection Options]],","))),,O$11),"")</f>
        <v xml:space="preserve">
75%: Supported via modifications (config)</v>
      </c>
      <c r="P31" s="29" t="str" cm="1">
        <f t="array" ref="P31">IFERROR(INDEX(_xlfn.UNIQUE(TRIM(_xlfn.TEXTSPLIT(Table261425678[[#This Row],[Selection Options]:[Selection Options]],","))),,P$11),"")</f>
        <v xml:space="preserve">
50%: Supported via a third party solution</v>
      </c>
      <c r="Q31" s="29" t="str" cm="1">
        <f t="array" ref="Q31">IFERROR(INDEX(_xlfn.UNIQUE(TRIM(_xlfn.TEXTSPLIT(Table261425678[[#This Row],[Selection Options]:[Selection Options]],","))),,Q$11),"")</f>
        <v xml:space="preserve">
25%: Supported via customisation (source code changes)</v>
      </c>
      <c r="R31" s="29" t="str" cm="1">
        <f t="array" ref="R31">IFERROR(INDEX(_xlfn.UNIQUE(TRIM(_xlfn.TEXTSPLIT(Table261425678[[#This Row],[Selection Options]:[Selection Options]],","))),,R$11),"")</f>
        <v xml:space="preserve">
 0%: Not currently supported</v>
      </c>
      <c r="S31" s="29" t="str" cm="1">
        <f t="array" ref="S31">IFERROR(INDEX(_xlfn.UNIQUE(TRIM(_xlfn.TEXTSPLIT(Table261425678[[#This Row],[Selection Options]:[Selection Options]],","))),,S$11),"")</f>
        <v/>
      </c>
      <c r="T31" s="29" t="str" cm="1">
        <f t="array" ref="T31">IFERROR(INDEX(_xlfn.UNIQUE(TRIM(_xlfn.TEXTSPLIT(Table261425678[[#This Row],[Selection Options]:[Selection Options]],","))),,T$11),"")</f>
        <v/>
      </c>
      <c r="U31" s="29" t="str" cm="1">
        <f t="array" ref="U31">IFERROR(INDEX(_xlfn.UNIQUE(TRIM(_xlfn.TEXTSPLIT(Table261425678[[#This Row],[Selection Options]:[Selection Options]],","))),,U$11),"")</f>
        <v/>
      </c>
      <c r="V31" s="29" t="str" cm="1">
        <f t="array" ref="V31">IFERROR(INDEX(_xlfn.UNIQUE(TRIM(_xlfn.TEXTSPLIT(Table261425678[[#This Row],[Selection Options]:[Selection Options]],","))),,V$11),"")</f>
        <v/>
      </c>
      <c r="W31" s="29" t="str" cm="1">
        <f t="array" ref="W31">IFERROR(INDEX(_xlfn.UNIQUE(TRIM(_xlfn.TEXTSPLIT(Table261425678[[#This Row],[Selection Options]:[Selection Options]],","))),,W$11),"")</f>
        <v/>
      </c>
      <c r="X31" s="29" t="str" cm="1">
        <f t="array" ref="X31">IFERROR(INDEX(_xlfn.UNIQUE(TRIM(_xlfn.TEXTSPLIT(Table261425678[[#This Row],[Selection Options]:[Selection Options]],","))),,X$11),"")</f>
        <v/>
      </c>
      <c r="Y31" s="30" cm="1">
        <f t="array" ref="Y31">IF(Table261425678[[#This Row],[1]]="","",Table261425678[[#This Row],[Weight]:[Weight]]-(Table261425678[[#This Row],[Weight]:[Weight]]*((_xlfn.XMATCH(Table261425678[[#This Row],[1]],Table261425678[[#This Row],[1]:[11]],0))-1)/(COUNTA(Table261425678[[#This Row],[1]:[11]])-COUNTBLANK(Table261425678[[#This Row],[1]:[11]])-1)))</f>
        <v>6.4102564102564103E-4</v>
      </c>
      <c r="Z31" s="30" cm="1">
        <f t="array" ref="Z31">IF(Table261425678[[#This Row],[2]]="","",Table261425678[[#This Row],[Weight]:[Weight]]-(Table261425678[[#This Row],[Weight]:[Weight]]*((_xlfn.XMATCH(Table261425678[[#This Row],[2]],Table261425678[[#This Row],[1]:[11]],0))-1)/(COUNTA(Table261425678[[#This Row],[1]:[11]])-COUNTBLANK(Table261425678[[#This Row],[1]:[11]])-1)))</f>
        <v>4.807692307692308E-4</v>
      </c>
      <c r="AA31" s="30" cm="1">
        <f t="array" ref="AA31">IF(Table261425678[[#This Row],[3]]="","",Table261425678[[#This Row],[Weight]:[Weight]]-(Table261425678[[#This Row],[Weight]:[Weight]]*((_xlfn.XMATCH(Table261425678[[#This Row],[3]],Table261425678[[#This Row],[1]:[11]],0))-1)/(COUNTA(Table261425678[[#This Row],[1]:[11]])-COUNTBLANK(Table261425678[[#This Row],[1]:[11]])-1)))</f>
        <v>3.2051282051282051E-4</v>
      </c>
      <c r="AB31" s="30" cm="1">
        <f t="array" ref="AB31">IF(Table261425678[[#This Row],[4]]="","",Table261425678[[#This Row],[Weight]:[Weight]]-(Table261425678[[#This Row],[Weight]:[Weight]]*((_xlfn.XMATCH(Table261425678[[#This Row],[4]],Table261425678[[#This Row],[1]:[11]],0))-1)/(COUNTA(Table261425678[[#This Row],[1]:[11]])-COUNTBLANK(Table261425678[[#This Row],[1]:[11]])-1)))</f>
        <v>1.6025641025641023E-4</v>
      </c>
      <c r="AC31" s="30" cm="1">
        <f t="array" ref="AC31">IF(Table261425678[[#This Row],[5]]="","",Table261425678[[#This Row],[Weight]:[Weight]]-(Table261425678[[#This Row],[Weight]:[Weight]]*((_xlfn.XMATCH(Table261425678[[#This Row],[5]],Table261425678[[#This Row],[1]:[11]],0))-1)/(COUNTA(Table261425678[[#This Row],[1]:[11]])-COUNTBLANK(Table261425678[[#This Row],[1]:[11]])-1)))</f>
        <v>0</v>
      </c>
      <c r="AD31" s="30" t="str" cm="1">
        <f t="array" ref="AD31">IF(Table261425678[[#This Row],[6]]="","",Table261425678[[#This Row],[Weight]:[Weight]]-(Table261425678[[#This Row],[Weight]:[Weight]]*((_xlfn.XMATCH(Table261425678[[#This Row],[6]],Table261425678[[#This Row],[1]:[11]],0))-1)/(COUNTA(Table261425678[[#This Row],[1]:[11]])-COUNTBLANK(Table261425678[[#This Row],[1]:[11]])-1)))</f>
        <v/>
      </c>
      <c r="AE31" s="30" t="str" cm="1">
        <f t="array" ref="AE31">IF(Table261425678[[#This Row],[7]]="","",Table261425678[[#This Row],[Weight]:[Weight]]-(Table261425678[[#This Row],[Weight]:[Weight]]*((_xlfn.XMATCH(Table261425678[[#This Row],[7]],Table261425678[[#This Row],[1]:[11]],0))-1)/(COUNTA(Table261425678[[#This Row],[1]:[11]])-COUNTBLANK(Table261425678[[#This Row],[1]:[11]])-1)))</f>
        <v/>
      </c>
      <c r="AF31" s="30" t="str" cm="1">
        <f t="array" ref="AF31">IF(Table261425678[[#This Row],[8]]="","",Table261425678[[#This Row],[Weight]:[Weight]]-(Table261425678[[#This Row],[Weight]:[Weight]]*((_xlfn.XMATCH(Table261425678[[#This Row],[8]],Table261425678[[#This Row],[1]:[11]],0))-1)/(COUNTA(Table261425678[[#This Row],[1]:[11]])-COUNTBLANK(Table261425678[[#This Row],[1]:[11]])-1)))</f>
        <v/>
      </c>
      <c r="AG31" s="30" t="str" cm="1">
        <f t="array" ref="AG31">IF(Table261425678[[#This Row],[9]]="","",Table261425678[[#This Row],[Weight]:[Weight]]-(Table261425678[[#This Row],[Weight]:[Weight]]*((_xlfn.XMATCH(Table261425678[[#This Row],[9]],Table261425678[[#This Row],[1]:[11]],0))-1)/(COUNTA(Table261425678[[#This Row],[1]:[11]])-COUNTBLANK(Table261425678[[#This Row],[1]:[11]])-1)))</f>
        <v/>
      </c>
      <c r="AH31" s="30" t="str" cm="1">
        <f t="array" ref="AH31">IF(Table261425678[[#This Row],[10]]="","",Table261425678[[#This Row],[Weight]:[Weight]]-(Table261425678[[#This Row],[Weight]:[Weight]]*((_xlfn.XMATCH(Table261425678[[#This Row],[10]],Table261425678[[#This Row],[1]:[11]],0))-1)/(COUNTA(Table261425678[[#This Row],[1]:[11]])-COUNTBLANK(Table261425678[[#This Row],[1]:[11]])-1)))</f>
        <v/>
      </c>
      <c r="AI31" s="30" t="str" cm="1">
        <f t="array" ref="AI31">IF(Table261425678[[#This Row],[11]]="","",Table261425678[[#This Row],[Weight]:[Weight]]-(Table261425678[[#This Row],[Weight]:[Weight]]*((_xlfn.XMATCH(Table261425678[[#This Row],[11]],Table261425678[[#This Row],[1]:[11]],0))-1)/(COUNTA(Table261425678[[#This Row],[1]:[11]])-COUNTBLANK(Table261425678[[#This Row],[1]:[11]])-1)))</f>
        <v/>
      </c>
    </row>
    <row r="32" spans="1:35" ht="108" x14ac:dyDescent="0.2">
      <c r="A32" s="20">
        <v>20</v>
      </c>
      <c r="B32" s="90" t="s">
        <v>467</v>
      </c>
      <c r="C32" s="119" t="s">
        <v>215</v>
      </c>
      <c r="D32" s="153"/>
      <c r="E32" s="153"/>
      <c r="F32" s="121" t="s">
        <v>60</v>
      </c>
      <c r="G32" s="148" cm="1">
        <f t="array" ref="G32">_xlfn.IFS(F32="","",F32="No interest",0,F32="Nice to have",1,F32="Useful",2,F32="Important",3,F32="Very important",4,F32="Critical",5,F32="Show stopper",6)</f>
        <v>6</v>
      </c>
      <c r="H32" s="149">
        <f t="shared" si="1"/>
        <v>6.4102564102564103E-4</v>
      </c>
      <c r="I32" s="150" t="s">
        <v>321</v>
      </c>
      <c r="J32" s="35" t="str" cm="1">
        <f t="array" ref="J32">_xlfn.TEXTJOIN(","&amp;CHAR(10),,TEXT(Table261425678[[#This Row],[12]:[22]],"0,00%"))</f>
        <v>0,00%,
0,00%,
0,00%,
0,00%,
0,00%</v>
      </c>
      <c r="K32" s="26"/>
      <c r="L32" s="27" t="e">
        <f>H32-(H32*((MATCH(Table261425678[[#This Row],[Evaluators Response (SELECT)]],Table261425678[[#This Row],[1]:[11]],0)-1)/(COUNTA(Table261425678[[#This Row],[1]:[11]])-COUNTBLANK(Table261425678[[#This Row],[1]:[11]])-1)))</f>
        <v>#N/A</v>
      </c>
      <c r="M32" s="28"/>
      <c r="N32" s="29" t="str" cm="1">
        <f t="array" ref="N32">IFERROR(INDEX(_xlfn.UNIQUE(TRIM(_xlfn.TEXTSPLIT(Table261425678[[#This Row],[Selection Options]:[Selection Options]],","))),,N$11),"")</f>
        <v>100%: Supported as delivered "out of the box"</v>
      </c>
      <c r="O32" s="29" t="str" cm="1">
        <f t="array" ref="O32">IFERROR(INDEX(_xlfn.UNIQUE(TRIM(_xlfn.TEXTSPLIT(Table261425678[[#This Row],[Selection Options]:[Selection Options]],","))),,O$11),"")</f>
        <v xml:space="preserve">
75%: Supported via modifications (config)</v>
      </c>
      <c r="P32" s="29" t="str" cm="1">
        <f t="array" ref="P32">IFERROR(INDEX(_xlfn.UNIQUE(TRIM(_xlfn.TEXTSPLIT(Table261425678[[#This Row],[Selection Options]:[Selection Options]],","))),,P$11),"")</f>
        <v xml:space="preserve">
50%: Supported via a third party solution</v>
      </c>
      <c r="Q32" s="29" t="str" cm="1">
        <f t="array" ref="Q32">IFERROR(INDEX(_xlfn.UNIQUE(TRIM(_xlfn.TEXTSPLIT(Table261425678[[#This Row],[Selection Options]:[Selection Options]],","))),,Q$11),"")</f>
        <v xml:space="preserve">
25%: Supported via customisation (source code changes)</v>
      </c>
      <c r="R32" s="29" t="str" cm="1">
        <f t="array" ref="R32">IFERROR(INDEX(_xlfn.UNIQUE(TRIM(_xlfn.TEXTSPLIT(Table261425678[[#This Row],[Selection Options]:[Selection Options]],","))),,R$11),"")</f>
        <v xml:space="preserve">
 0%: Not currently supported</v>
      </c>
      <c r="S32" s="29" t="str" cm="1">
        <f t="array" ref="S32">IFERROR(INDEX(_xlfn.UNIQUE(TRIM(_xlfn.TEXTSPLIT(Table261425678[[#This Row],[Selection Options]:[Selection Options]],","))),,S$11),"")</f>
        <v/>
      </c>
      <c r="T32" s="29" t="str" cm="1">
        <f t="array" ref="T32">IFERROR(INDEX(_xlfn.UNIQUE(TRIM(_xlfn.TEXTSPLIT(Table261425678[[#This Row],[Selection Options]:[Selection Options]],","))),,T$11),"")</f>
        <v/>
      </c>
      <c r="U32" s="29" t="str" cm="1">
        <f t="array" ref="U32">IFERROR(INDEX(_xlfn.UNIQUE(TRIM(_xlfn.TEXTSPLIT(Table261425678[[#This Row],[Selection Options]:[Selection Options]],","))),,U$11),"")</f>
        <v/>
      </c>
      <c r="V32" s="29" t="str" cm="1">
        <f t="array" ref="V32">IFERROR(INDEX(_xlfn.UNIQUE(TRIM(_xlfn.TEXTSPLIT(Table261425678[[#This Row],[Selection Options]:[Selection Options]],","))),,V$11),"")</f>
        <v/>
      </c>
      <c r="W32" s="29" t="str" cm="1">
        <f t="array" ref="W32">IFERROR(INDEX(_xlfn.UNIQUE(TRIM(_xlfn.TEXTSPLIT(Table261425678[[#This Row],[Selection Options]:[Selection Options]],","))),,W$11),"")</f>
        <v/>
      </c>
      <c r="X32" s="29" t="str" cm="1">
        <f t="array" ref="X32">IFERROR(INDEX(_xlfn.UNIQUE(TRIM(_xlfn.TEXTSPLIT(Table261425678[[#This Row],[Selection Options]:[Selection Options]],","))),,X$11),"")</f>
        <v/>
      </c>
      <c r="Y32" s="30" cm="1">
        <f t="array" ref="Y32">IF(Table261425678[[#This Row],[1]]="","",Table261425678[[#This Row],[Weight]:[Weight]]-(Table261425678[[#This Row],[Weight]:[Weight]]*((_xlfn.XMATCH(Table261425678[[#This Row],[1]],Table261425678[[#This Row],[1]:[11]],0))-1)/(COUNTA(Table261425678[[#This Row],[1]:[11]])-COUNTBLANK(Table261425678[[#This Row],[1]:[11]])-1)))</f>
        <v>6.4102564102564103E-4</v>
      </c>
      <c r="Z32" s="30" cm="1">
        <f t="array" ref="Z32">IF(Table261425678[[#This Row],[2]]="","",Table261425678[[#This Row],[Weight]:[Weight]]-(Table261425678[[#This Row],[Weight]:[Weight]]*((_xlfn.XMATCH(Table261425678[[#This Row],[2]],Table261425678[[#This Row],[1]:[11]],0))-1)/(COUNTA(Table261425678[[#This Row],[1]:[11]])-COUNTBLANK(Table261425678[[#This Row],[1]:[11]])-1)))</f>
        <v>4.807692307692308E-4</v>
      </c>
      <c r="AA32" s="30" cm="1">
        <f t="array" ref="AA32">IF(Table261425678[[#This Row],[3]]="","",Table261425678[[#This Row],[Weight]:[Weight]]-(Table261425678[[#This Row],[Weight]:[Weight]]*((_xlfn.XMATCH(Table261425678[[#This Row],[3]],Table261425678[[#This Row],[1]:[11]],0))-1)/(COUNTA(Table261425678[[#This Row],[1]:[11]])-COUNTBLANK(Table261425678[[#This Row],[1]:[11]])-1)))</f>
        <v>3.2051282051282051E-4</v>
      </c>
      <c r="AB32" s="30" cm="1">
        <f t="array" ref="AB32">IF(Table261425678[[#This Row],[4]]="","",Table261425678[[#This Row],[Weight]:[Weight]]-(Table261425678[[#This Row],[Weight]:[Weight]]*((_xlfn.XMATCH(Table261425678[[#This Row],[4]],Table261425678[[#This Row],[1]:[11]],0))-1)/(COUNTA(Table261425678[[#This Row],[1]:[11]])-COUNTBLANK(Table261425678[[#This Row],[1]:[11]])-1)))</f>
        <v>1.6025641025641023E-4</v>
      </c>
      <c r="AC32" s="30" cm="1">
        <f t="array" ref="AC32">IF(Table261425678[[#This Row],[5]]="","",Table261425678[[#This Row],[Weight]:[Weight]]-(Table261425678[[#This Row],[Weight]:[Weight]]*((_xlfn.XMATCH(Table261425678[[#This Row],[5]],Table261425678[[#This Row],[1]:[11]],0))-1)/(COUNTA(Table261425678[[#This Row],[1]:[11]])-COUNTBLANK(Table261425678[[#This Row],[1]:[11]])-1)))</f>
        <v>0</v>
      </c>
      <c r="AD32" s="30" t="str" cm="1">
        <f t="array" ref="AD32">IF(Table261425678[[#This Row],[6]]="","",Table261425678[[#This Row],[Weight]:[Weight]]-(Table261425678[[#This Row],[Weight]:[Weight]]*((_xlfn.XMATCH(Table261425678[[#This Row],[6]],Table261425678[[#This Row],[1]:[11]],0))-1)/(COUNTA(Table261425678[[#This Row],[1]:[11]])-COUNTBLANK(Table261425678[[#This Row],[1]:[11]])-1)))</f>
        <v/>
      </c>
      <c r="AE32" s="30" t="str" cm="1">
        <f t="array" ref="AE32">IF(Table261425678[[#This Row],[7]]="","",Table261425678[[#This Row],[Weight]:[Weight]]-(Table261425678[[#This Row],[Weight]:[Weight]]*((_xlfn.XMATCH(Table261425678[[#This Row],[7]],Table261425678[[#This Row],[1]:[11]],0))-1)/(COUNTA(Table261425678[[#This Row],[1]:[11]])-COUNTBLANK(Table261425678[[#This Row],[1]:[11]])-1)))</f>
        <v/>
      </c>
      <c r="AF32" s="30" t="str" cm="1">
        <f t="array" ref="AF32">IF(Table261425678[[#This Row],[8]]="","",Table261425678[[#This Row],[Weight]:[Weight]]-(Table261425678[[#This Row],[Weight]:[Weight]]*((_xlfn.XMATCH(Table261425678[[#This Row],[8]],Table261425678[[#This Row],[1]:[11]],0))-1)/(COUNTA(Table261425678[[#This Row],[1]:[11]])-COUNTBLANK(Table261425678[[#This Row],[1]:[11]])-1)))</f>
        <v/>
      </c>
      <c r="AG32" s="30" t="str" cm="1">
        <f t="array" ref="AG32">IF(Table261425678[[#This Row],[9]]="","",Table261425678[[#This Row],[Weight]:[Weight]]-(Table261425678[[#This Row],[Weight]:[Weight]]*((_xlfn.XMATCH(Table261425678[[#This Row],[9]],Table261425678[[#This Row],[1]:[11]],0))-1)/(COUNTA(Table261425678[[#This Row],[1]:[11]])-COUNTBLANK(Table261425678[[#This Row],[1]:[11]])-1)))</f>
        <v/>
      </c>
      <c r="AH32" s="30" t="str" cm="1">
        <f t="array" ref="AH32">IF(Table261425678[[#This Row],[10]]="","",Table261425678[[#This Row],[Weight]:[Weight]]-(Table261425678[[#This Row],[Weight]:[Weight]]*((_xlfn.XMATCH(Table261425678[[#This Row],[10]],Table261425678[[#This Row],[1]:[11]],0))-1)/(COUNTA(Table261425678[[#This Row],[1]:[11]])-COUNTBLANK(Table261425678[[#This Row],[1]:[11]])-1)))</f>
        <v/>
      </c>
      <c r="AI32" s="30" t="str" cm="1">
        <f t="array" ref="AI32">IF(Table261425678[[#This Row],[11]]="","",Table261425678[[#This Row],[Weight]:[Weight]]-(Table261425678[[#This Row],[Weight]:[Weight]]*((_xlfn.XMATCH(Table261425678[[#This Row],[11]],Table261425678[[#This Row],[1]:[11]],0))-1)/(COUNTA(Table261425678[[#This Row],[1]:[11]])-COUNTBLANK(Table261425678[[#This Row],[1]:[11]])-1)))</f>
        <v/>
      </c>
    </row>
    <row r="33" spans="1:35" ht="108" x14ac:dyDescent="0.2">
      <c r="A33" s="20">
        <v>21</v>
      </c>
      <c r="B33" s="90" t="s">
        <v>468</v>
      </c>
      <c r="C33" s="119" t="s">
        <v>215</v>
      </c>
      <c r="D33" s="153"/>
      <c r="E33" s="153"/>
      <c r="F33" s="121" t="s">
        <v>60</v>
      </c>
      <c r="G33" s="148" cm="1">
        <f t="array" ref="G33">_xlfn.IFS(F33="","",F33="No interest",0,F33="Nice to have",1,F33="Useful",2,F33="Important",3,F33="Very important",4,F33="Critical",5,F33="Show stopper",6)</f>
        <v>6</v>
      </c>
      <c r="H33" s="149">
        <f t="shared" si="1"/>
        <v>6.4102564102564103E-4</v>
      </c>
      <c r="I33" s="150" t="s">
        <v>321</v>
      </c>
      <c r="J33" s="35" t="str" cm="1">
        <f t="array" ref="J33">_xlfn.TEXTJOIN(","&amp;CHAR(10),,TEXT(Table261425678[[#This Row],[12]:[22]],"0,00%"))</f>
        <v>0,00%,
0,00%,
0,00%,
0,00%,
0,00%</v>
      </c>
      <c r="K33" s="26"/>
      <c r="L33" s="27" t="e">
        <f>H33-(H33*((MATCH(Table261425678[[#This Row],[Evaluators Response (SELECT)]],Table261425678[[#This Row],[1]:[11]],0)-1)/(COUNTA(Table261425678[[#This Row],[1]:[11]])-COUNTBLANK(Table261425678[[#This Row],[1]:[11]])-1)))</f>
        <v>#N/A</v>
      </c>
      <c r="M33" s="28"/>
      <c r="N33" s="29" t="str" cm="1">
        <f t="array" ref="N33">IFERROR(INDEX(_xlfn.UNIQUE(TRIM(_xlfn.TEXTSPLIT(Table261425678[[#This Row],[Selection Options]:[Selection Options]],","))),,N$11),"")</f>
        <v>100%: Supported as delivered "out of the box"</v>
      </c>
      <c r="O33" s="29" t="str" cm="1">
        <f t="array" ref="O33">IFERROR(INDEX(_xlfn.UNIQUE(TRIM(_xlfn.TEXTSPLIT(Table261425678[[#This Row],[Selection Options]:[Selection Options]],","))),,O$11),"")</f>
        <v xml:space="preserve">
75%: Supported via modifications (config)</v>
      </c>
      <c r="P33" s="29" t="str" cm="1">
        <f t="array" ref="P33">IFERROR(INDEX(_xlfn.UNIQUE(TRIM(_xlfn.TEXTSPLIT(Table261425678[[#This Row],[Selection Options]:[Selection Options]],","))),,P$11),"")</f>
        <v xml:space="preserve">
50%: Supported via a third party solution</v>
      </c>
      <c r="Q33" s="29" t="str" cm="1">
        <f t="array" ref="Q33">IFERROR(INDEX(_xlfn.UNIQUE(TRIM(_xlfn.TEXTSPLIT(Table261425678[[#This Row],[Selection Options]:[Selection Options]],","))),,Q$11),"")</f>
        <v xml:space="preserve">
25%: Supported via customisation (source code changes)</v>
      </c>
      <c r="R33" s="29" t="str" cm="1">
        <f t="array" ref="R33">IFERROR(INDEX(_xlfn.UNIQUE(TRIM(_xlfn.TEXTSPLIT(Table261425678[[#This Row],[Selection Options]:[Selection Options]],","))),,R$11),"")</f>
        <v xml:space="preserve">
 0%: Not currently supported</v>
      </c>
      <c r="S33" s="29" t="str" cm="1">
        <f t="array" ref="S33">IFERROR(INDEX(_xlfn.UNIQUE(TRIM(_xlfn.TEXTSPLIT(Table261425678[[#This Row],[Selection Options]:[Selection Options]],","))),,S$11),"")</f>
        <v/>
      </c>
      <c r="T33" s="29" t="str" cm="1">
        <f t="array" ref="T33">IFERROR(INDEX(_xlfn.UNIQUE(TRIM(_xlfn.TEXTSPLIT(Table261425678[[#This Row],[Selection Options]:[Selection Options]],","))),,T$11),"")</f>
        <v/>
      </c>
      <c r="U33" s="29" t="str" cm="1">
        <f t="array" ref="U33">IFERROR(INDEX(_xlfn.UNIQUE(TRIM(_xlfn.TEXTSPLIT(Table261425678[[#This Row],[Selection Options]:[Selection Options]],","))),,U$11),"")</f>
        <v/>
      </c>
      <c r="V33" s="29" t="str" cm="1">
        <f t="array" ref="V33">IFERROR(INDEX(_xlfn.UNIQUE(TRIM(_xlfn.TEXTSPLIT(Table261425678[[#This Row],[Selection Options]:[Selection Options]],","))),,V$11),"")</f>
        <v/>
      </c>
      <c r="W33" s="29" t="str" cm="1">
        <f t="array" ref="W33">IFERROR(INDEX(_xlfn.UNIQUE(TRIM(_xlfn.TEXTSPLIT(Table261425678[[#This Row],[Selection Options]:[Selection Options]],","))),,W$11),"")</f>
        <v/>
      </c>
      <c r="X33" s="29" t="str" cm="1">
        <f t="array" ref="X33">IFERROR(INDEX(_xlfn.UNIQUE(TRIM(_xlfn.TEXTSPLIT(Table261425678[[#This Row],[Selection Options]:[Selection Options]],","))),,X$11),"")</f>
        <v/>
      </c>
      <c r="Y33" s="30" cm="1">
        <f t="array" ref="Y33">IF(Table261425678[[#This Row],[1]]="","",Table261425678[[#This Row],[Weight]:[Weight]]-(Table261425678[[#This Row],[Weight]:[Weight]]*((_xlfn.XMATCH(Table261425678[[#This Row],[1]],Table261425678[[#This Row],[1]:[11]],0))-1)/(COUNTA(Table261425678[[#This Row],[1]:[11]])-COUNTBLANK(Table261425678[[#This Row],[1]:[11]])-1)))</f>
        <v>6.4102564102564103E-4</v>
      </c>
      <c r="Z33" s="30" cm="1">
        <f t="array" ref="Z33">IF(Table261425678[[#This Row],[2]]="","",Table261425678[[#This Row],[Weight]:[Weight]]-(Table261425678[[#This Row],[Weight]:[Weight]]*((_xlfn.XMATCH(Table261425678[[#This Row],[2]],Table261425678[[#This Row],[1]:[11]],0))-1)/(COUNTA(Table261425678[[#This Row],[1]:[11]])-COUNTBLANK(Table261425678[[#This Row],[1]:[11]])-1)))</f>
        <v>4.807692307692308E-4</v>
      </c>
      <c r="AA33" s="30" cm="1">
        <f t="array" ref="AA33">IF(Table261425678[[#This Row],[3]]="","",Table261425678[[#This Row],[Weight]:[Weight]]-(Table261425678[[#This Row],[Weight]:[Weight]]*((_xlfn.XMATCH(Table261425678[[#This Row],[3]],Table261425678[[#This Row],[1]:[11]],0))-1)/(COUNTA(Table261425678[[#This Row],[1]:[11]])-COUNTBLANK(Table261425678[[#This Row],[1]:[11]])-1)))</f>
        <v>3.2051282051282051E-4</v>
      </c>
      <c r="AB33" s="30" cm="1">
        <f t="array" ref="AB33">IF(Table261425678[[#This Row],[4]]="","",Table261425678[[#This Row],[Weight]:[Weight]]-(Table261425678[[#This Row],[Weight]:[Weight]]*((_xlfn.XMATCH(Table261425678[[#This Row],[4]],Table261425678[[#This Row],[1]:[11]],0))-1)/(COUNTA(Table261425678[[#This Row],[1]:[11]])-COUNTBLANK(Table261425678[[#This Row],[1]:[11]])-1)))</f>
        <v>1.6025641025641023E-4</v>
      </c>
      <c r="AC33" s="30" cm="1">
        <f t="array" ref="AC33">IF(Table261425678[[#This Row],[5]]="","",Table261425678[[#This Row],[Weight]:[Weight]]-(Table261425678[[#This Row],[Weight]:[Weight]]*((_xlfn.XMATCH(Table261425678[[#This Row],[5]],Table261425678[[#This Row],[1]:[11]],0))-1)/(COUNTA(Table261425678[[#This Row],[1]:[11]])-COUNTBLANK(Table261425678[[#This Row],[1]:[11]])-1)))</f>
        <v>0</v>
      </c>
      <c r="AD33" s="30" t="str" cm="1">
        <f t="array" ref="AD33">IF(Table261425678[[#This Row],[6]]="","",Table261425678[[#This Row],[Weight]:[Weight]]-(Table261425678[[#This Row],[Weight]:[Weight]]*((_xlfn.XMATCH(Table261425678[[#This Row],[6]],Table261425678[[#This Row],[1]:[11]],0))-1)/(COUNTA(Table261425678[[#This Row],[1]:[11]])-COUNTBLANK(Table261425678[[#This Row],[1]:[11]])-1)))</f>
        <v/>
      </c>
      <c r="AE33" s="30" t="str" cm="1">
        <f t="array" ref="AE33">IF(Table261425678[[#This Row],[7]]="","",Table261425678[[#This Row],[Weight]:[Weight]]-(Table261425678[[#This Row],[Weight]:[Weight]]*((_xlfn.XMATCH(Table261425678[[#This Row],[7]],Table261425678[[#This Row],[1]:[11]],0))-1)/(COUNTA(Table261425678[[#This Row],[1]:[11]])-COUNTBLANK(Table261425678[[#This Row],[1]:[11]])-1)))</f>
        <v/>
      </c>
      <c r="AF33" s="30" t="str" cm="1">
        <f t="array" ref="AF33">IF(Table261425678[[#This Row],[8]]="","",Table261425678[[#This Row],[Weight]:[Weight]]-(Table261425678[[#This Row],[Weight]:[Weight]]*((_xlfn.XMATCH(Table261425678[[#This Row],[8]],Table261425678[[#This Row],[1]:[11]],0))-1)/(COUNTA(Table261425678[[#This Row],[1]:[11]])-COUNTBLANK(Table261425678[[#This Row],[1]:[11]])-1)))</f>
        <v/>
      </c>
      <c r="AG33" s="30" t="str" cm="1">
        <f t="array" ref="AG33">IF(Table261425678[[#This Row],[9]]="","",Table261425678[[#This Row],[Weight]:[Weight]]-(Table261425678[[#This Row],[Weight]:[Weight]]*((_xlfn.XMATCH(Table261425678[[#This Row],[9]],Table261425678[[#This Row],[1]:[11]],0))-1)/(COUNTA(Table261425678[[#This Row],[1]:[11]])-COUNTBLANK(Table261425678[[#This Row],[1]:[11]])-1)))</f>
        <v/>
      </c>
      <c r="AH33" s="30" t="str" cm="1">
        <f t="array" ref="AH33">IF(Table261425678[[#This Row],[10]]="","",Table261425678[[#This Row],[Weight]:[Weight]]-(Table261425678[[#This Row],[Weight]:[Weight]]*((_xlfn.XMATCH(Table261425678[[#This Row],[10]],Table261425678[[#This Row],[1]:[11]],0))-1)/(COUNTA(Table261425678[[#This Row],[1]:[11]])-COUNTBLANK(Table261425678[[#This Row],[1]:[11]])-1)))</f>
        <v/>
      </c>
      <c r="AI33" s="30" t="str" cm="1">
        <f t="array" ref="AI33">IF(Table261425678[[#This Row],[11]]="","",Table261425678[[#This Row],[Weight]:[Weight]]-(Table261425678[[#This Row],[Weight]:[Weight]]*((_xlfn.XMATCH(Table261425678[[#This Row],[11]],Table261425678[[#This Row],[1]:[11]],0))-1)/(COUNTA(Table261425678[[#This Row],[1]:[11]])-COUNTBLANK(Table261425678[[#This Row],[1]:[11]])-1)))</f>
        <v/>
      </c>
    </row>
    <row r="34" spans="1:35" ht="108" x14ac:dyDescent="0.2">
      <c r="A34" s="20">
        <v>22</v>
      </c>
      <c r="B34" s="90" t="s">
        <v>469</v>
      </c>
      <c r="C34" s="119" t="s">
        <v>215</v>
      </c>
      <c r="D34" s="153"/>
      <c r="E34" s="153"/>
      <c r="F34" s="121" t="s">
        <v>188</v>
      </c>
      <c r="G34" s="148" cm="1">
        <f t="array" ref="G34">_xlfn.IFS(F34="","",F34="No interest",0,F34="Nice to have",1,F34="Useful",2,F34="Important",3,F34="Very important",4,F34="Critical",5,F34="Show stopper",6)</f>
        <v>5</v>
      </c>
      <c r="H34" s="149">
        <f t="shared" si="1"/>
        <v>5.3418803418803424E-4</v>
      </c>
      <c r="I34" s="150" t="s">
        <v>321</v>
      </c>
      <c r="J34" s="35" t="str" cm="1">
        <f t="array" ref="J34">_xlfn.TEXTJOIN(","&amp;CHAR(10),,TEXT(Table261425678[[#This Row],[12]:[22]],"0,00%"))</f>
        <v>0,00%,
0,00%,
0,00%,
0,00%,
0,00%</v>
      </c>
      <c r="K34" s="26"/>
      <c r="L34" s="27" t="e">
        <f>H34-(H34*((MATCH(Table261425678[[#This Row],[Evaluators Response (SELECT)]],Table261425678[[#This Row],[1]:[11]],0)-1)/(COUNTA(Table261425678[[#This Row],[1]:[11]])-COUNTBLANK(Table261425678[[#This Row],[1]:[11]])-1)))</f>
        <v>#N/A</v>
      </c>
      <c r="M34" s="28"/>
      <c r="N34" s="29" t="str" cm="1">
        <f t="array" ref="N34">IFERROR(INDEX(_xlfn.UNIQUE(TRIM(_xlfn.TEXTSPLIT(Table261425678[[#This Row],[Selection Options]:[Selection Options]],","))),,N$11),"")</f>
        <v>100%: Supported as delivered "out of the box"</v>
      </c>
      <c r="O34" s="29" t="str" cm="1">
        <f t="array" ref="O34">IFERROR(INDEX(_xlfn.UNIQUE(TRIM(_xlfn.TEXTSPLIT(Table261425678[[#This Row],[Selection Options]:[Selection Options]],","))),,O$11),"")</f>
        <v xml:space="preserve">
75%: Supported via modifications (config)</v>
      </c>
      <c r="P34" s="29" t="str" cm="1">
        <f t="array" ref="P34">IFERROR(INDEX(_xlfn.UNIQUE(TRIM(_xlfn.TEXTSPLIT(Table261425678[[#This Row],[Selection Options]:[Selection Options]],","))),,P$11),"")</f>
        <v xml:space="preserve">
50%: Supported via a third party solution</v>
      </c>
      <c r="Q34" s="29" t="str" cm="1">
        <f t="array" ref="Q34">IFERROR(INDEX(_xlfn.UNIQUE(TRIM(_xlfn.TEXTSPLIT(Table261425678[[#This Row],[Selection Options]:[Selection Options]],","))),,Q$11),"")</f>
        <v xml:space="preserve">
25%: Supported via customisation (source code changes)</v>
      </c>
      <c r="R34" s="29" t="str" cm="1">
        <f t="array" ref="R34">IFERROR(INDEX(_xlfn.UNIQUE(TRIM(_xlfn.TEXTSPLIT(Table261425678[[#This Row],[Selection Options]:[Selection Options]],","))),,R$11),"")</f>
        <v xml:space="preserve">
 0%: Not currently supported</v>
      </c>
      <c r="S34" s="29" t="str" cm="1">
        <f t="array" ref="S34">IFERROR(INDEX(_xlfn.UNIQUE(TRIM(_xlfn.TEXTSPLIT(Table261425678[[#This Row],[Selection Options]:[Selection Options]],","))),,S$11),"")</f>
        <v/>
      </c>
      <c r="T34" s="29" t="str" cm="1">
        <f t="array" ref="T34">IFERROR(INDEX(_xlfn.UNIQUE(TRIM(_xlfn.TEXTSPLIT(Table261425678[[#This Row],[Selection Options]:[Selection Options]],","))),,T$11),"")</f>
        <v/>
      </c>
      <c r="U34" s="29" t="str" cm="1">
        <f t="array" ref="U34">IFERROR(INDEX(_xlfn.UNIQUE(TRIM(_xlfn.TEXTSPLIT(Table261425678[[#This Row],[Selection Options]:[Selection Options]],","))),,U$11),"")</f>
        <v/>
      </c>
      <c r="V34" s="29" t="str" cm="1">
        <f t="array" ref="V34">IFERROR(INDEX(_xlfn.UNIQUE(TRIM(_xlfn.TEXTSPLIT(Table261425678[[#This Row],[Selection Options]:[Selection Options]],","))),,V$11),"")</f>
        <v/>
      </c>
      <c r="W34" s="29" t="str" cm="1">
        <f t="array" ref="W34">IFERROR(INDEX(_xlfn.UNIQUE(TRIM(_xlfn.TEXTSPLIT(Table261425678[[#This Row],[Selection Options]:[Selection Options]],","))),,W$11),"")</f>
        <v/>
      </c>
      <c r="X34" s="29" t="str" cm="1">
        <f t="array" ref="X34">IFERROR(INDEX(_xlfn.UNIQUE(TRIM(_xlfn.TEXTSPLIT(Table261425678[[#This Row],[Selection Options]:[Selection Options]],","))),,X$11),"")</f>
        <v/>
      </c>
      <c r="Y34" s="30" cm="1">
        <f t="array" ref="Y34">IF(Table261425678[[#This Row],[1]]="","",Table261425678[[#This Row],[Weight]:[Weight]]-(Table261425678[[#This Row],[Weight]:[Weight]]*((_xlfn.XMATCH(Table261425678[[#This Row],[1]],Table261425678[[#This Row],[1]:[11]],0))-1)/(COUNTA(Table261425678[[#This Row],[1]:[11]])-COUNTBLANK(Table261425678[[#This Row],[1]:[11]])-1)))</f>
        <v>5.3418803418803424E-4</v>
      </c>
      <c r="Z34" s="30" cm="1">
        <f t="array" ref="Z34">IF(Table261425678[[#This Row],[2]]="","",Table261425678[[#This Row],[Weight]:[Weight]]-(Table261425678[[#This Row],[Weight]:[Weight]]*((_xlfn.XMATCH(Table261425678[[#This Row],[2]],Table261425678[[#This Row],[1]:[11]],0))-1)/(COUNTA(Table261425678[[#This Row],[1]:[11]])-COUNTBLANK(Table261425678[[#This Row],[1]:[11]])-1)))</f>
        <v>4.0064102564102568E-4</v>
      </c>
      <c r="AA34" s="30" cm="1">
        <f t="array" ref="AA34">IF(Table261425678[[#This Row],[3]]="","",Table261425678[[#This Row],[Weight]:[Weight]]-(Table261425678[[#This Row],[Weight]:[Weight]]*((_xlfn.XMATCH(Table261425678[[#This Row],[3]],Table261425678[[#This Row],[1]:[11]],0))-1)/(COUNTA(Table261425678[[#This Row],[1]:[11]])-COUNTBLANK(Table261425678[[#This Row],[1]:[11]])-1)))</f>
        <v>2.6709401709401712E-4</v>
      </c>
      <c r="AB34" s="30" cm="1">
        <f t="array" ref="AB34">IF(Table261425678[[#This Row],[4]]="","",Table261425678[[#This Row],[Weight]:[Weight]]-(Table261425678[[#This Row],[Weight]:[Weight]]*((_xlfn.XMATCH(Table261425678[[#This Row],[4]],Table261425678[[#This Row],[1]:[11]],0))-1)/(COUNTA(Table261425678[[#This Row],[1]:[11]])-COUNTBLANK(Table261425678[[#This Row],[1]:[11]])-1)))</f>
        <v>1.3354700854700856E-4</v>
      </c>
      <c r="AC34" s="30" cm="1">
        <f t="array" ref="AC34">IF(Table261425678[[#This Row],[5]]="","",Table261425678[[#This Row],[Weight]:[Weight]]-(Table261425678[[#This Row],[Weight]:[Weight]]*((_xlfn.XMATCH(Table261425678[[#This Row],[5]],Table261425678[[#This Row],[1]:[11]],0))-1)/(COUNTA(Table261425678[[#This Row],[1]:[11]])-COUNTBLANK(Table261425678[[#This Row],[1]:[11]])-1)))</f>
        <v>0</v>
      </c>
      <c r="AD34" s="30" t="str" cm="1">
        <f t="array" ref="AD34">IF(Table261425678[[#This Row],[6]]="","",Table261425678[[#This Row],[Weight]:[Weight]]-(Table261425678[[#This Row],[Weight]:[Weight]]*((_xlfn.XMATCH(Table261425678[[#This Row],[6]],Table261425678[[#This Row],[1]:[11]],0))-1)/(COUNTA(Table261425678[[#This Row],[1]:[11]])-COUNTBLANK(Table261425678[[#This Row],[1]:[11]])-1)))</f>
        <v/>
      </c>
      <c r="AE34" s="30" t="str" cm="1">
        <f t="array" ref="AE34">IF(Table261425678[[#This Row],[7]]="","",Table261425678[[#This Row],[Weight]:[Weight]]-(Table261425678[[#This Row],[Weight]:[Weight]]*((_xlfn.XMATCH(Table261425678[[#This Row],[7]],Table261425678[[#This Row],[1]:[11]],0))-1)/(COUNTA(Table261425678[[#This Row],[1]:[11]])-COUNTBLANK(Table261425678[[#This Row],[1]:[11]])-1)))</f>
        <v/>
      </c>
      <c r="AF34" s="30" t="str" cm="1">
        <f t="array" ref="AF34">IF(Table261425678[[#This Row],[8]]="","",Table261425678[[#This Row],[Weight]:[Weight]]-(Table261425678[[#This Row],[Weight]:[Weight]]*((_xlfn.XMATCH(Table261425678[[#This Row],[8]],Table261425678[[#This Row],[1]:[11]],0))-1)/(COUNTA(Table261425678[[#This Row],[1]:[11]])-COUNTBLANK(Table261425678[[#This Row],[1]:[11]])-1)))</f>
        <v/>
      </c>
      <c r="AG34" s="30" t="str" cm="1">
        <f t="array" ref="AG34">IF(Table261425678[[#This Row],[9]]="","",Table261425678[[#This Row],[Weight]:[Weight]]-(Table261425678[[#This Row],[Weight]:[Weight]]*((_xlfn.XMATCH(Table261425678[[#This Row],[9]],Table261425678[[#This Row],[1]:[11]],0))-1)/(COUNTA(Table261425678[[#This Row],[1]:[11]])-COUNTBLANK(Table261425678[[#This Row],[1]:[11]])-1)))</f>
        <v/>
      </c>
      <c r="AH34" s="30" t="str" cm="1">
        <f t="array" ref="AH34">IF(Table261425678[[#This Row],[10]]="","",Table261425678[[#This Row],[Weight]:[Weight]]-(Table261425678[[#This Row],[Weight]:[Weight]]*((_xlfn.XMATCH(Table261425678[[#This Row],[10]],Table261425678[[#This Row],[1]:[11]],0))-1)/(COUNTA(Table261425678[[#This Row],[1]:[11]])-COUNTBLANK(Table261425678[[#This Row],[1]:[11]])-1)))</f>
        <v/>
      </c>
      <c r="AI34" s="30" t="str" cm="1">
        <f t="array" ref="AI34">IF(Table261425678[[#This Row],[11]]="","",Table261425678[[#This Row],[Weight]:[Weight]]-(Table261425678[[#This Row],[Weight]:[Weight]]*((_xlfn.XMATCH(Table261425678[[#This Row],[11]],Table261425678[[#This Row],[1]:[11]],0))-1)/(COUNTA(Table261425678[[#This Row],[1]:[11]])-COUNTBLANK(Table261425678[[#This Row],[1]:[11]])-1)))</f>
        <v/>
      </c>
    </row>
    <row r="35" spans="1:35" ht="108" x14ac:dyDescent="0.2">
      <c r="A35" s="20">
        <v>23</v>
      </c>
      <c r="B35" s="90" t="s">
        <v>470</v>
      </c>
      <c r="C35" s="119" t="s">
        <v>215</v>
      </c>
      <c r="D35" s="153"/>
      <c r="E35" s="153"/>
      <c r="F35" s="121" t="s">
        <v>60</v>
      </c>
      <c r="G35" s="148" cm="1">
        <f t="array" ref="G35">_xlfn.IFS(F35="","",F35="No interest",0,F35="Nice to have",1,F35="Useful",2,F35="Important",3,F35="Very important",4,F35="Critical",5,F35="Show stopper",6)</f>
        <v>6</v>
      </c>
      <c r="H35" s="149">
        <f t="shared" si="1"/>
        <v>6.4102564102564103E-4</v>
      </c>
      <c r="I35" s="150" t="s">
        <v>321</v>
      </c>
      <c r="J35" s="35" t="str" cm="1">
        <f t="array" ref="J35">_xlfn.TEXTJOIN(","&amp;CHAR(10),,TEXT(Table261425678[[#This Row],[12]:[22]],"0,00%"))</f>
        <v>0,00%,
0,00%,
0,00%,
0,00%,
0,00%</v>
      </c>
      <c r="K35" s="26"/>
      <c r="L35" s="27" t="e">
        <f>H35-(H35*((MATCH(Table261425678[[#This Row],[Evaluators Response (SELECT)]],Table261425678[[#This Row],[1]:[11]],0)-1)/(COUNTA(Table261425678[[#This Row],[1]:[11]])-COUNTBLANK(Table261425678[[#This Row],[1]:[11]])-1)))</f>
        <v>#N/A</v>
      </c>
      <c r="M35" s="28"/>
      <c r="N35" s="29" t="str" cm="1">
        <f t="array" ref="N35">IFERROR(INDEX(_xlfn.UNIQUE(TRIM(_xlfn.TEXTSPLIT(Table261425678[[#This Row],[Selection Options]:[Selection Options]],","))),,N$11),"")</f>
        <v>100%: Supported as delivered "out of the box"</v>
      </c>
      <c r="O35" s="29" t="str" cm="1">
        <f t="array" ref="O35">IFERROR(INDEX(_xlfn.UNIQUE(TRIM(_xlfn.TEXTSPLIT(Table261425678[[#This Row],[Selection Options]:[Selection Options]],","))),,O$11),"")</f>
        <v xml:space="preserve">
75%: Supported via modifications (config)</v>
      </c>
      <c r="P35" s="29" t="str" cm="1">
        <f t="array" ref="P35">IFERROR(INDEX(_xlfn.UNIQUE(TRIM(_xlfn.TEXTSPLIT(Table261425678[[#This Row],[Selection Options]:[Selection Options]],","))),,P$11),"")</f>
        <v xml:space="preserve">
50%: Supported via a third party solution</v>
      </c>
      <c r="Q35" s="29" t="str" cm="1">
        <f t="array" ref="Q35">IFERROR(INDEX(_xlfn.UNIQUE(TRIM(_xlfn.TEXTSPLIT(Table261425678[[#This Row],[Selection Options]:[Selection Options]],","))),,Q$11),"")</f>
        <v xml:space="preserve">
25%: Supported via customisation (source code changes)</v>
      </c>
      <c r="R35" s="29" t="str" cm="1">
        <f t="array" ref="R35">IFERROR(INDEX(_xlfn.UNIQUE(TRIM(_xlfn.TEXTSPLIT(Table261425678[[#This Row],[Selection Options]:[Selection Options]],","))),,R$11),"")</f>
        <v xml:space="preserve">
 0%: Not currently supported</v>
      </c>
      <c r="S35" s="29" t="str" cm="1">
        <f t="array" ref="S35">IFERROR(INDEX(_xlfn.UNIQUE(TRIM(_xlfn.TEXTSPLIT(Table261425678[[#This Row],[Selection Options]:[Selection Options]],","))),,S$11),"")</f>
        <v/>
      </c>
      <c r="T35" s="29" t="str" cm="1">
        <f t="array" ref="T35">IFERROR(INDEX(_xlfn.UNIQUE(TRIM(_xlfn.TEXTSPLIT(Table261425678[[#This Row],[Selection Options]:[Selection Options]],","))),,T$11),"")</f>
        <v/>
      </c>
      <c r="U35" s="29" t="str" cm="1">
        <f t="array" ref="U35">IFERROR(INDEX(_xlfn.UNIQUE(TRIM(_xlfn.TEXTSPLIT(Table261425678[[#This Row],[Selection Options]:[Selection Options]],","))),,U$11),"")</f>
        <v/>
      </c>
      <c r="V35" s="29" t="str" cm="1">
        <f t="array" ref="V35">IFERROR(INDEX(_xlfn.UNIQUE(TRIM(_xlfn.TEXTSPLIT(Table261425678[[#This Row],[Selection Options]:[Selection Options]],","))),,V$11),"")</f>
        <v/>
      </c>
      <c r="W35" s="29" t="str" cm="1">
        <f t="array" ref="W35">IFERROR(INDEX(_xlfn.UNIQUE(TRIM(_xlfn.TEXTSPLIT(Table261425678[[#This Row],[Selection Options]:[Selection Options]],","))),,W$11),"")</f>
        <v/>
      </c>
      <c r="X35" s="29" t="str" cm="1">
        <f t="array" ref="X35">IFERROR(INDEX(_xlfn.UNIQUE(TRIM(_xlfn.TEXTSPLIT(Table261425678[[#This Row],[Selection Options]:[Selection Options]],","))),,X$11),"")</f>
        <v/>
      </c>
      <c r="Y35" s="30" cm="1">
        <f t="array" ref="Y35">IF(Table261425678[[#This Row],[1]]="","",Table261425678[[#This Row],[Weight]:[Weight]]-(Table261425678[[#This Row],[Weight]:[Weight]]*((_xlfn.XMATCH(Table261425678[[#This Row],[1]],Table261425678[[#This Row],[1]:[11]],0))-1)/(COUNTA(Table261425678[[#This Row],[1]:[11]])-COUNTBLANK(Table261425678[[#This Row],[1]:[11]])-1)))</f>
        <v>6.4102564102564103E-4</v>
      </c>
      <c r="Z35" s="30" cm="1">
        <f t="array" ref="Z35">IF(Table261425678[[#This Row],[2]]="","",Table261425678[[#This Row],[Weight]:[Weight]]-(Table261425678[[#This Row],[Weight]:[Weight]]*((_xlfn.XMATCH(Table261425678[[#This Row],[2]],Table261425678[[#This Row],[1]:[11]],0))-1)/(COUNTA(Table261425678[[#This Row],[1]:[11]])-COUNTBLANK(Table261425678[[#This Row],[1]:[11]])-1)))</f>
        <v>4.807692307692308E-4</v>
      </c>
      <c r="AA35" s="30" cm="1">
        <f t="array" ref="AA35">IF(Table261425678[[#This Row],[3]]="","",Table261425678[[#This Row],[Weight]:[Weight]]-(Table261425678[[#This Row],[Weight]:[Weight]]*((_xlfn.XMATCH(Table261425678[[#This Row],[3]],Table261425678[[#This Row],[1]:[11]],0))-1)/(COUNTA(Table261425678[[#This Row],[1]:[11]])-COUNTBLANK(Table261425678[[#This Row],[1]:[11]])-1)))</f>
        <v>3.2051282051282051E-4</v>
      </c>
      <c r="AB35" s="30" cm="1">
        <f t="array" ref="AB35">IF(Table261425678[[#This Row],[4]]="","",Table261425678[[#This Row],[Weight]:[Weight]]-(Table261425678[[#This Row],[Weight]:[Weight]]*((_xlfn.XMATCH(Table261425678[[#This Row],[4]],Table261425678[[#This Row],[1]:[11]],0))-1)/(COUNTA(Table261425678[[#This Row],[1]:[11]])-COUNTBLANK(Table261425678[[#This Row],[1]:[11]])-1)))</f>
        <v>1.6025641025641023E-4</v>
      </c>
      <c r="AC35" s="30" cm="1">
        <f t="array" ref="AC35">IF(Table261425678[[#This Row],[5]]="","",Table261425678[[#This Row],[Weight]:[Weight]]-(Table261425678[[#This Row],[Weight]:[Weight]]*((_xlfn.XMATCH(Table261425678[[#This Row],[5]],Table261425678[[#This Row],[1]:[11]],0))-1)/(COUNTA(Table261425678[[#This Row],[1]:[11]])-COUNTBLANK(Table261425678[[#This Row],[1]:[11]])-1)))</f>
        <v>0</v>
      </c>
      <c r="AD35" s="30" t="str" cm="1">
        <f t="array" ref="AD35">IF(Table261425678[[#This Row],[6]]="","",Table261425678[[#This Row],[Weight]:[Weight]]-(Table261425678[[#This Row],[Weight]:[Weight]]*((_xlfn.XMATCH(Table261425678[[#This Row],[6]],Table261425678[[#This Row],[1]:[11]],0))-1)/(COUNTA(Table261425678[[#This Row],[1]:[11]])-COUNTBLANK(Table261425678[[#This Row],[1]:[11]])-1)))</f>
        <v/>
      </c>
      <c r="AE35" s="30" t="str" cm="1">
        <f t="array" ref="AE35">IF(Table261425678[[#This Row],[7]]="","",Table261425678[[#This Row],[Weight]:[Weight]]-(Table261425678[[#This Row],[Weight]:[Weight]]*((_xlfn.XMATCH(Table261425678[[#This Row],[7]],Table261425678[[#This Row],[1]:[11]],0))-1)/(COUNTA(Table261425678[[#This Row],[1]:[11]])-COUNTBLANK(Table261425678[[#This Row],[1]:[11]])-1)))</f>
        <v/>
      </c>
      <c r="AF35" s="30" t="str" cm="1">
        <f t="array" ref="AF35">IF(Table261425678[[#This Row],[8]]="","",Table261425678[[#This Row],[Weight]:[Weight]]-(Table261425678[[#This Row],[Weight]:[Weight]]*((_xlfn.XMATCH(Table261425678[[#This Row],[8]],Table261425678[[#This Row],[1]:[11]],0))-1)/(COUNTA(Table261425678[[#This Row],[1]:[11]])-COUNTBLANK(Table261425678[[#This Row],[1]:[11]])-1)))</f>
        <v/>
      </c>
      <c r="AG35" s="30" t="str" cm="1">
        <f t="array" ref="AG35">IF(Table261425678[[#This Row],[9]]="","",Table261425678[[#This Row],[Weight]:[Weight]]-(Table261425678[[#This Row],[Weight]:[Weight]]*((_xlfn.XMATCH(Table261425678[[#This Row],[9]],Table261425678[[#This Row],[1]:[11]],0))-1)/(COUNTA(Table261425678[[#This Row],[1]:[11]])-COUNTBLANK(Table261425678[[#This Row],[1]:[11]])-1)))</f>
        <v/>
      </c>
      <c r="AH35" s="30" t="str" cm="1">
        <f t="array" ref="AH35">IF(Table261425678[[#This Row],[10]]="","",Table261425678[[#This Row],[Weight]:[Weight]]-(Table261425678[[#This Row],[Weight]:[Weight]]*((_xlfn.XMATCH(Table261425678[[#This Row],[10]],Table261425678[[#This Row],[1]:[11]],0))-1)/(COUNTA(Table261425678[[#This Row],[1]:[11]])-COUNTBLANK(Table261425678[[#This Row],[1]:[11]])-1)))</f>
        <v/>
      </c>
      <c r="AI35" s="30" t="str" cm="1">
        <f t="array" ref="AI35">IF(Table261425678[[#This Row],[11]]="","",Table261425678[[#This Row],[Weight]:[Weight]]-(Table261425678[[#This Row],[Weight]:[Weight]]*((_xlfn.XMATCH(Table261425678[[#This Row],[11]],Table261425678[[#This Row],[1]:[11]],0))-1)/(COUNTA(Table261425678[[#This Row],[1]:[11]])-COUNTBLANK(Table261425678[[#This Row],[1]:[11]])-1)))</f>
        <v/>
      </c>
    </row>
    <row r="36" spans="1:35" ht="108" x14ac:dyDescent="0.2">
      <c r="A36" s="20">
        <v>24</v>
      </c>
      <c r="B36" s="90" t="s">
        <v>471</v>
      </c>
      <c r="C36" s="119" t="s">
        <v>215</v>
      </c>
      <c r="D36" s="153"/>
      <c r="E36" s="153"/>
      <c r="F36" s="121" t="s">
        <v>188</v>
      </c>
      <c r="G36" s="148" cm="1">
        <f t="array" ref="G36">_xlfn.IFS(F36="","",F36="No interest",0,F36="Nice to have",1,F36="Useful",2,F36="Important",3,F36="Very important",4,F36="Critical",5,F36="Show stopper",6)</f>
        <v>5</v>
      </c>
      <c r="H36" s="149">
        <f t="shared" si="1"/>
        <v>5.3418803418803424E-4</v>
      </c>
      <c r="I36" s="150" t="s">
        <v>321</v>
      </c>
      <c r="J36" s="35" t="str" cm="1">
        <f t="array" ref="J36">_xlfn.TEXTJOIN(","&amp;CHAR(10),,TEXT(Table261425678[[#This Row],[12]:[22]],"0,00%"))</f>
        <v>0,00%,
0,00%,
0,00%,
0,00%,
0,00%</v>
      </c>
      <c r="K36" s="26"/>
      <c r="L36" s="27" t="e">
        <f>H36-(H36*((MATCH(Table261425678[[#This Row],[Evaluators Response (SELECT)]],Table261425678[[#This Row],[1]:[11]],0)-1)/(COUNTA(Table261425678[[#This Row],[1]:[11]])-COUNTBLANK(Table261425678[[#This Row],[1]:[11]])-1)))</f>
        <v>#N/A</v>
      </c>
      <c r="M36" s="28"/>
      <c r="N36" s="29" t="str" cm="1">
        <f t="array" ref="N36">IFERROR(INDEX(_xlfn.UNIQUE(TRIM(_xlfn.TEXTSPLIT(Table261425678[[#This Row],[Selection Options]:[Selection Options]],","))),,N$11),"")</f>
        <v>100%: Supported as delivered "out of the box"</v>
      </c>
      <c r="O36" s="29" t="str" cm="1">
        <f t="array" ref="O36">IFERROR(INDEX(_xlfn.UNIQUE(TRIM(_xlfn.TEXTSPLIT(Table261425678[[#This Row],[Selection Options]:[Selection Options]],","))),,O$11),"")</f>
        <v xml:space="preserve">
75%: Supported via modifications (config)</v>
      </c>
      <c r="P36" s="29" t="str" cm="1">
        <f t="array" ref="P36">IFERROR(INDEX(_xlfn.UNIQUE(TRIM(_xlfn.TEXTSPLIT(Table261425678[[#This Row],[Selection Options]:[Selection Options]],","))),,P$11),"")</f>
        <v xml:space="preserve">
50%: Supported via a third party solution</v>
      </c>
      <c r="Q36" s="29" t="str" cm="1">
        <f t="array" ref="Q36">IFERROR(INDEX(_xlfn.UNIQUE(TRIM(_xlfn.TEXTSPLIT(Table261425678[[#This Row],[Selection Options]:[Selection Options]],","))),,Q$11),"")</f>
        <v xml:space="preserve">
25%: Supported via customisation (source code changes)</v>
      </c>
      <c r="R36" s="29" t="str" cm="1">
        <f t="array" ref="R36">IFERROR(INDEX(_xlfn.UNIQUE(TRIM(_xlfn.TEXTSPLIT(Table261425678[[#This Row],[Selection Options]:[Selection Options]],","))),,R$11),"")</f>
        <v xml:space="preserve">
 0%: Not currently supported</v>
      </c>
      <c r="S36" s="29" t="str" cm="1">
        <f t="array" ref="S36">IFERROR(INDEX(_xlfn.UNIQUE(TRIM(_xlfn.TEXTSPLIT(Table261425678[[#This Row],[Selection Options]:[Selection Options]],","))),,S$11),"")</f>
        <v/>
      </c>
      <c r="T36" s="29" t="str" cm="1">
        <f t="array" ref="T36">IFERROR(INDEX(_xlfn.UNIQUE(TRIM(_xlfn.TEXTSPLIT(Table261425678[[#This Row],[Selection Options]:[Selection Options]],","))),,T$11),"")</f>
        <v/>
      </c>
      <c r="U36" s="29" t="str" cm="1">
        <f t="array" ref="U36">IFERROR(INDEX(_xlfn.UNIQUE(TRIM(_xlfn.TEXTSPLIT(Table261425678[[#This Row],[Selection Options]:[Selection Options]],","))),,U$11),"")</f>
        <v/>
      </c>
      <c r="V36" s="29" t="str" cm="1">
        <f t="array" ref="V36">IFERROR(INDEX(_xlfn.UNIQUE(TRIM(_xlfn.TEXTSPLIT(Table261425678[[#This Row],[Selection Options]:[Selection Options]],","))),,V$11),"")</f>
        <v/>
      </c>
      <c r="W36" s="29" t="str" cm="1">
        <f t="array" ref="W36">IFERROR(INDEX(_xlfn.UNIQUE(TRIM(_xlfn.TEXTSPLIT(Table261425678[[#This Row],[Selection Options]:[Selection Options]],","))),,W$11),"")</f>
        <v/>
      </c>
      <c r="X36" s="29" t="str" cm="1">
        <f t="array" ref="X36">IFERROR(INDEX(_xlfn.UNIQUE(TRIM(_xlfn.TEXTSPLIT(Table261425678[[#This Row],[Selection Options]:[Selection Options]],","))),,X$11),"")</f>
        <v/>
      </c>
      <c r="Y36" s="30" cm="1">
        <f t="array" ref="Y36">IF(Table261425678[[#This Row],[1]]="","",Table261425678[[#This Row],[Weight]:[Weight]]-(Table261425678[[#This Row],[Weight]:[Weight]]*((_xlfn.XMATCH(Table261425678[[#This Row],[1]],Table261425678[[#This Row],[1]:[11]],0))-1)/(COUNTA(Table261425678[[#This Row],[1]:[11]])-COUNTBLANK(Table261425678[[#This Row],[1]:[11]])-1)))</f>
        <v>5.3418803418803424E-4</v>
      </c>
      <c r="Z36" s="30" cm="1">
        <f t="array" ref="Z36">IF(Table261425678[[#This Row],[2]]="","",Table261425678[[#This Row],[Weight]:[Weight]]-(Table261425678[[#This Row],[Weight]:[Weight]]*((_xlfn.XMATCH(Table261425678[[#This Row],[2]],Table261425678[[#This Row],[1]:[11]],0))-1)/(COUNTA(Table261425678[[#This Row],[1]:[11]])-COUNTBLANK(Table261425678[[#This Row],[1]:[11]])-1)))</f>
        <v>4.0064102564102568E-4</v>
      </c>
      <c r="AA36" s="30" cm="1">
        <f t="array" ref="AA36">IF(Table261425678[[#This Row],[3]]="","",Table261425678[[#This Row],[Weight]:[Weight]]-(Table261425678[[#This Row],[Weight]:[Weight]]*((_xlfn.XMATCH(Table261425678[[#This Row],[3]],Table261425678[[#This Row],[1]:[11]],0))-1)/(COUNTA(Table261425678[[#This Row],[1]:[11]])-COUNTBLANK(Table261425678[[#This Row],[1]:[11]])-1)))</f>
        <v>2.6709401709401712E-4</v>
      </c>
      <c r="AB36" s="30" cm="1">
        <f t="array" ref="AB36">IF(Table261425678[[#This Row],[4]]="","",Table261425678[[#This Row],[Weight]:[Weight]]-(Table261425678[[#This Row],[Weight]:[Weight]]*((_xlfn.XMATCH(Table261425678[[#This Row],[4]],Table261425678[[#This Row],[1]:[11]],0))-1)/(COUNTA(Table261425678[[#This Row],[1]:[11]])-COUNTBLANK(Table261425678[[#This Row],[1]:[11]])-1)))</f>
        <v>1.3354700854700856E-4</v>
      </c>
      <c r="AC36" s="30" cm="1">
        <f t="array" ref="AC36">IF(Table261425678[[#This Row],[5]]="","",Table261425678[[#This Row],[Weight]:[Weight]]-(Table261425678[[#This Row],[Weight]:[Weight]]*((_xlfn.XMATCH(Table261425678[[#This Row],[5]],Table261425678[[#This Row],[1]:[11]],0))-1)/(COUNTA(Table261425678[[#This Row],[1]:[11]])-COUNTBLANK(Table261425678[[#This Row],[1]:[11]])-1)))</f>
        <v>0</v>
      </c>
      <c r="AD36" s="30" t="str" cm="1">
        <f t="array" ref="AD36">IF(Table261425678[[#This Row],[6]]="","",Table261425678[[#This Row],[Weight]:[Weight]]-(Table261425678[[#This Row],[Weight]:[Weight]]*((_xlfn.XMATCH(Table261425678[[#This Row],[6]],Table261425678[[#This Row],[1]:[11]],0))-1)/(COUNTA(Table261425678[[#This Row],[1]:[11]])-COUNTBLANK(Table261425678[[#This Row],[1]:[11]])-1)))</f>
        <v/>
      </c>
      <c r="AE36" s="30" t="str" cm="1">
        <f t="array" ref="AE36">IF(Table261425678[[#This Row],[7]]="","",Table261425678[[#This Row],[Weight]:[Weight]]-(Table261425678[[#This Row],[Weight]:[Weight]]*((_xlfn.XMATCH(Table261425678[[#This Row],[7]],Table261425678[[#This Row],[1]:[11]],0))-1)/(COUNTA(Table261425678[[#This Row],[1]:[11]])-COUNTBLANK(Table261425678[[#This Row],[1]:[11]])-1)))</f>
        <v/>
      </c>
      <c r="AF36" s="30" t="str" cm="1">
        <f t="array" ref="AF36">IF(Table261425678[[#This Row],[8]]="","",Table261425678[[#This Row],[Weight]:[Weight]]-(Table261425678[[#This Row],[Weight]:[Weight]]*((_xlfn.XMATCH(Table261425678[[#This Row],[8]],Table261425678[[#This Row],[1]:[11]],0))-1)/(COUNTA(Table261425678[[#This Row],[1]:[11]])-COUNTBLANK(Table261425678[[#This Row],[1]:[11]])-1)))</f>
        <v/>
      </c>
      <c r="AG36" s="30" t="str" cm="1">
        <f t="array" ref="AG36">IF(Table261425678[[#This Row],[9]]="","",Table261425678[[#This Row],[Weight]:[Weight]]-(Table261425678[[#This Row],[Weight]:[Weight]]*((_xlfn.XMATCH(Table261425678[[#This Row],[9]],Table261425678[[#This Row],[1]:[11]],0))-1)/(COUNTA(Table261425678[[#This Row],[1]:[11]])-COUNTBLANK(Table261425678[[#This Row],[1]:[11]])-1)))</f>
        <v/>
      </c>
      <c r="AH36" s="30" t="str" cm="1">
        <f t="array" ref="AH36">IF(Table261425678[[#This Row],[10]]="","",Table261425678[[#This Row],[Weight]:[Weight]]-(Table261425678[[#This Row],[Weight]:[Weight]]*((_xlfn.XMATCH(Table261425678[[#This Row],[10]],Table261425678[[#This Row],[1]:[11]],0))-1)/(COUNTA(Table261425678[[#This Row],[1]:[11]])-COUNTBLANK(Table261425678[[#This Row],[1]:[11]])-1)))</f>
        <v/>
      </c>
      <c r="AI36" s="30" t="str" cm="1">
        <f t="array" ref="AI36">IF(Table261425678[[#This Row],[11]]="","",Table261425678[[#This Row],[Weight]:[Weight]]-(Table261425678[[#This Row],[Weight]:[Weight]]*((_xlfn.XMATCH(Table261425678[[#This Row],[11]],Table261425678[[#This Row],[1]:[11]],0))-1)/(COUNTA(Table261425678[[#This Row],[1]:[11]])-COUNTBLANK(Table261425678[[#This Row],[1]:[11]])-1)))</f>
        <v/>
      </c>
    </row>
    <row r="37" spans="1:35" ht="108" x14ac:dyDescent="0.2">
      <c r="A37" s="20">
        <v>25</v>
      </c>
      <c r="B37" s="90" t="s">
        <v>472</v>
      </c>
      <c r="C37" s="119" t="s">
        <v>215</v>
      </c>
      <c r="D37" s="153"/>
      <c r="E37" s="153"/>
      <c r="F37" s="121" t="s">
        <v>60</v>
      </c>
      <c r="G37" s="148" cm="1">
        <f t="array" ref="G37">_xlfn.IFS(F37="","",F37="No interest",0,F37="Nice to have",1,F37="Useful",2,F37="Important",3,F37="Very important",4,F37="Critical",5,F37="Show stopper",6)</f>
        <v>6</v>
      </c>
      <c r="H37" s="149">
        <f t="shared" si="1"/>
        <v>6.4102564102564103E-4</v>
      </c>
      <c r="I37" s="150" t="s">
        <v>321</v>
      </c>
      <c r="J37" s="35" t="str" cm="1">
        <f t="array" ref="J37">_xlfn.TEXTJOIN(","&amp;CHAR(10),,TEXT(Table261425678[[#This Row],[12]:[22]],"0,00%"))</f>
        <v>0,00%,
0,00%,
0,00%,
0,00%,
0,00%</v>
      </c>
      <c r="K37" s="26"/>
      <c r="L37" s="27" t="e">
        <f>H37-(H37*((MATCH(Table261425678[[#This Row],[Evaluators Response (SELECT)]],Table261425678[[#This Row],[1]:[11]],0)-1)/(COUNTA(Table261425678[[#This Row],[1]:[11]])-COUNTBLANK(Table261425678[[#This Row],[1]:[11]])-1)))</f>
        <v>#N/A</v>
      </c>
      <c r="M37" s="28"/>
      <c r="N37" s="29" t="str" cm="1">
        <f t="array" ref="N37">IFERROR(INDEX(_xlfn.UNIQUE(TRIM(_xlfn.TEXTSPLIT(Table261425678[[#This Row],[Selection Options]:[Selection Options]],","))),,N$11),"")</f>
        <v>100%: Supported as delivered "out of the box"</v>
      </c>
      <c r="O37" s="29" t="str" cm="1">
        <f t="array" ref="O37">IFERROR(INDEX(_xlfn.UNIQUE(TRIM(_xlfn.TEXTSPLIT(Table261425678[[#This Row],[Selection Options]:[Selection Options]],","))),,O$11),"")</f>
        <v xml:space="preserve">
75%: Supported via modifications (config)</v>
      </c>
      <c r="P37" s="29" t="str" cm="1">
        <f t="array" ref="P37">IFERROR(INDEX(_xlfn.UNIQUE(TRIM(_xlfn.TEXTSPLIT(Table261425678[[#This Row],[Selection Options]:[Selection Options]],","))),,P$11),"")</f>
        <v xml:space="preserve">
50%: Supported via a third party solution</v>
      </c>
      <c r="Q37" s="29" t="str" cm="1">
        <f t="array" ref="Q37">IFERROR(INDEX(_xlfn.UNIQUE(TRIM(_xlfn.TEXTSPLIT(Table261425678[[#This Row],[Selection Options]:[Selection Options]],","))),,Q$11),"")</f>
        <v xml:space="preserve">
25%: Supported via customisation (source code changes)</v>
      </c>
      <c r="R37" s="29" t="str" cm="1">
        <f t="array" ref="R37">IFERROR(INDEX(_xlfn.UNIQUE(TRIM(_xlfn.TEXTSPLIT(Table261425678[[#This Row],[Selection Options]:[Selection Options]],","))),,R$11),"")</f>
        <v xml:space="preserve">
 0%: Not currently supported</v>
      </c>
      <c r="S37" s="29" t="str" cm="1">
        <f t="array" ref="S37">IFERROR(INDEX(_xlfn.UNIQUE(TRIM(_xlfn.TEXTSPLIT(Table261425678[[#This Row],[Selection Options]:[Selection Options]],","))),,S$11),"")</f>
        <v/>
      </c>
      <c r="T37" s="29" t="str" cm="1">
        <f t="array" ref="T37">IFERROR(INDEX(_xlfn.UNIQUE(TRIM(_xlfn.TEXTSPLIT(Table261425678[[#This Row],[Selection Options]:[Selection Options]],","))),,T$11),"")</f>
        <v/>
      </c>
      <c r="U37" s="29" t="str" cm="1">
        <f t="array" ref="U37">IFERROR(INDEX(_xlfn.UNIQUE(TRIM(_xlfn.TEXTSPLIT(Table261425678[[#This Row],[Selection Options]:[Selection Options]],","))),,U$11),"")</f>
        <v/>
      </c>
      <c r="V37" s="29" t="str" cm="1">
        <f t="array" ref="V37">IFERROR(INDEX(_xlfn.UNIQUE(TRIM(_xlfn.TEXTSPLIT(Table261425678[[#This Row],[Selection Options]:[Selection Options]],","))),,V$11),"")</f>
        <v/>
      </c>
      <c r="W37" s="29" t="str" cm="1">
        <f t="array" ref="W37">IFERROR(INDEX(_xlfn.UNIQUE(TRIM(_xlfn.TEXTSPLIT(Table261425678[[#This Row],[Selection Options]:[Selection Options]],","))),,W$11),"")</f>
        <v/>
      </c>
      <c r="X37" s="29" t="str" cm="1">
        <f t="array" ref="X37">IFERROR(INDEX(_xlfn.UNIQUE(TRIM(_xlfn.TEXTSPLIT(Table261425678[[#This Row],[Selection Options]:[Selection Options]],","))),,X$11),"")</f>
        <v/>
      </c>
      <c r="Y37" s="30" cm="1">
        <f t="array" ref="Y37">IF(Table261425678[[#This Row],[1]]="","",Table261425678[[#This Row],[Weight]:[Weight]]-(Table261425678[[#This Row],[Weight]:[Weight]]*((_xlfn.XMATCH(Table261425678[[#This Row],[1]],Table261425678[[#This Row],[1]:[11]],0))-1)/(COUNTA(Table261425678[[#This Row],[1]:[11]])-COUNTBLANK(Table261425678[[#This Row],[1]:[11]])-1)))</f>
        <v>6.4102564102564103E-4</v>
      </c>
      <c r="Z37" s="30" cm="1">
        <f t="array" ref="Z37">IF(Table261425678[[#This Row],[2]]="","",Table261425678[[#This Row],[Weight]:[Weight]]-(Table261425678[[#This Row],[Weight]:[Weight]]*((_xlfn.XMATCH(Table261425678[[#This Row],[2]],Table261425678[[#This Row],[1]:[11]],0))-1)/(COUNTA(Table261425678[[#This Row],[1]:[11]])-COUNTBLANK(Table261425678[[#This Row],[1]:[11]])-1)))</f>
        <v>4.807692307692308E-4</v>
      </c>
      <c r="AA37" s="30" cm="1">
        <f t="array" ref="AA37">IF(Table261425678[[#This Row],[3]]="","",Table261425678[[#This Row],[Weight]:[Weight]]-(Table261425678[[#This Row],[Weight]:[Weight]]*((_xlfn.XMATCH(Table261425678[[#This Row],[3]],Table261425678[[#This Row],[1]:[11]],0))-1)/(COUNTA(Table261425678[[#This Row],[1]:[11]])-COUNTBLANK(Table261425678[[#This Row],[1]:[11]])-1)))</f>
        <v>3.2051282051282051E-4</v>
      </c>
      <c r="AB37" s="30" cm="1">
        <f t="array" ref="AB37">IF(Table261425678[[#This Row],[4]]="","",Table261425678[[#This Row],[Weight]:[Weight]]-(Table261425678[[#This Row],[Weight]:[Weight]]*((_xlfn.XMATCH(Table261425678[[#This Row],[4]],Table261425678[[#This Row],[1]:[11]],0))-1)/(COUNTA(Table261425678[[#This Row],[1]:[11]])-COUNTBLANK(Table261425678[[#This Row],[1]:[11]])-1)))</f>
        <v>1.6025641025641023E-4</v>
      </c>
      <c r="AC37" s="30" cm="1">
        <f t="array" ref="AC37">IF(Table261425678[[#This Row],[5]]="","",Table261425678[[#This Row],[Weight]:[Weight]]-(Table261425678[[#This Row],[Weight]:[Weight]]*((_xlfn.XMATCH(Table261425678[[#This Row],[5]],Table261425678[[#This Row],[1]:[11]],0))-1)/(COUNTA(Table261425678[[#This Row],[1]:[11]])-COUNTBLANK(Table261425678[[#This Row],[1]:[11]])-1)))</f>
        <v>0</v>
      </c>
      <c r="AD37" s="30" t="str" cm="1">
        <f t="array" ref="AD37">IF(Table261425678[[#This Row],[6]]="","",Table261425678[[#This Row],[Weight]:[Weight]]-(Table261425678[[#This Row],[Weight]:[Weight]]*((_xlfn.XMATCH(Table261425678[[#This Row],[6]],Table261425678[[#This Row],[1]:[11]],0))-1)/(COUNTA(Table261425678[[#This Row],[1]:[11]])-COUNTBLANK(Table261425678[[#This Row],[1]:[11]])-1)))</f>
        <v/>
      </c>
      <c r="AE37" s="30" t="str" cm="1">
        <f t="array" ref="AE37">IF(Table261425678[[#This Row],[7]]="","",Table261425678[[#This Row],[Weight]:[Weight]]-(Table261425678[[#This Row],[Weight]:[Weight]]*((_xlfn.XMATCH(Table261425678[[#This Row],[7]],Table261425678[[#This Row],[1]:[11]],0))-1)/(COUNTA(Table261425678[[#This Row],[1]:[11]])-COUNTBLANK(Table261425678[[#This Row],[1]:[11]])-1)))</f>
        <v/>
      </c>
      <c r="AF37" s="30" t="str" cm="1">
        <f t="array" ref="AF37">IF(Table261425678[[#This Row],[8]]="","",Table261425678[[#This Row],[Weight]:[Weight]]-(Table261425678[[#This Row],[Weight]:[Weight]]*((_xlfn.XMATCH(Table261425678[[#This Row],[8]],Table261425678[[#This Row],[1]:[11]],0))-1)/(COUNTA(Table261425678[[#This Row],[1]:[11]])-COUNTBLANK(Table261425678[[#This Row],[1]:[11]])-1)))</f>
        <v/>
      </c>
      <c r="AG37" s="30" t="str" cm="1">
        <f t="array" ref="AG37">IF(Table261425678[[#This Row],[9]]="","",Table261425678[[#This Row],[Weight]:[Weight]]-(Table261425678[[#This Row],[Weight]:[Weight]]*((_xlfn.XMATCH(Table261425678[[#This Row],[9]],Table261425678[[#This Row],[1]:[11]],0))-1)/(COUNTA(Table261425678[[#This Row],[1]:[11]])-COUNTBLANK(Table261425678[[#This Row],[1]:[11]])-1)))</f>
        <v/>
      </c>
      <c r="AH37" s="30" t="str" cm="1">
        <f t="array" ref="AH37">IF(Table261425678[[#This Row],[10]]="","",Table261425678[[#This Row],[Weight]:[Weight]]-(Table261425678[[#This Row],[Weight]:[Weight]]*((_xlfn.XMATCH(Table261425678[[#This Row],[10]],Table261425678[[#This Row],[1]:[11]],0))-1)/(COUNTA(Table261425678[[#This Row],[1]:[11]])-COUNTBLANK(Table261425678[[#This Row],[1]:[11]])-1)))</f>
        <v/>
      </c>
      <c r="AI37" s="30" t="str" cm="1">
        <f t="array" ref="AI37">IF(Table261425678[[#This Row],[11]]="","",Table261425678[[#This Row],[Weight]:[Weight]]-(Table261425678[[#This Row],[Weight]:[Weight]]*((_xlfn.XMATCH(Table261425678[[#This Row],[11]],Table261425678[[#This Row],[1]:[11]],0))-1)/(COUNTA(Table261425678[[#This Row],[1]:[11]])-COUNTBLANK(Table261425678[[#This Row],[1]:[11]])-1)))</f>
        <v/>
      </c>
    </row>
    <row r="38" spans="1:35" ht="108" x14ac:dyDescent="0.2">
      <c r="A38" s="20">
        <v>26</v>
      </c>
      <c r="B38" s="90" t="s">
        <v>473</v>
      </c>
      <c r="C38" s="119" t="s">
        <v>215</v>
      </c>
      <c r="D38" s="153"/>
      <c r="E38" s="153"/>
      <c r="F38" s="121" t="s">
        <v>60</v>
      </c>
      <c r="G38" s="148" cm="1">
        <f t="array" ref="G38">_xlfn.IFS(F38="","",F38="No interest",0,F38="Nice to have",1,F38="Useful",2,F38="Important",3,F38="Very important",4,F38="Critical",5,F38="Show stopper",6)</f>
        <v>6</v>
      </c>
      <c r="H38" s="149">
        <f t="shared" si="1"/>
        <v>6.4102564102564103E-4</v>
      </c>
      <c r="I38" s="150" t="s">
        <v>321</v>
      </c>
      <c r="J38" s="35" t="str" cm="1">
        <f t="array" ref="J38">_xlfn.TEXTJOIN(","&amp;CHAR(10),,TEXT(Table261425678[[#This Row],[12]:[22]],"0,00%"))</f>
        <v>0,00%,
0,00%,
0,00%,
0,00%,
0,00%</v>
      </c>
      <c r="K38" s="26"/>
      <c r="L38" s="27" t="e">
        <f>H38-(H38*((MATCH(Table261425678[[#This Row],[Evaluators Response (SELECT)]],Table261425678[[#This Row],[1]:[11]],0)-1)/(COUNTA(Table261425678[[#This Row],[1]:[11]])-COUNTBLANK(Table261425678[[#This Row],[1]:[11]])-1)))</f>
        <v>#N/A</v>
      </c>
      <c r="M38" s="28"/>
      <c r="N38" s="29" t="str" cm="1">
        <f t="array" ref="N38">IFERROR(INDEX(_xlfn.UNIQUE(TRIM(_xlfn.TEXTSPLIT(Table261425678[[#This Row],[Selection Options]:[Selection Options]],","))),,N$11),"")</f>
        <v>100%: Supported as delivered "out of the box"</v>
      </c>
      <c r="O38" s="29" t="str" cm="1">
        <f t="array" ref="O38">IFERROR(INDEX(_xlfn.UNIQUE(TRIM(_xlfn.TEXTSPLIT(Table261425678[[#This Row],[Selection Options]:[Selection Options]],","))),,O$11),"")</f>
        <v xml:space="preserve">
75%: Supported via modifications (config)</v>
      </c>
      <c r="P38" s="29" t="str" cm="1">
        <f t="array" ref="P38">IFERROR(INDEX(_xlfn.UNIQUE(TRIM(_xlfn.TEXTSPLIT(Table261425678[[#This Row],[Selection Options]:[Selection Options]],","))),,P$11),"")</f>
        <v xml:space="preserve">
50%: Supported via a third party solution</v>
      </c>
      <c r="Q38" s="29" t="str" cm="1">
        <f t="array" ref="Q38">IFERROR(INDEX(_xlfn.UNIQUE(TRIM(_xlfn.TEXTSPLIT(Table261425678[[#This Row],[Selection Options]:[Selection Options]],","))),,Q$11),"")</f>
        <v xml:space="preserve">
25%: Supported via customisation (source code changes)</v>
      </c>
      <c r="R38" s="29" t="str" cm="1">
        <f t="array" ref="R38">IFERROR(INDEX(_xlfn.UNIQUE(TRIM(_xlfn.TEXTSPLIT(Table261425678[[#This Row],[Selection Options]:[Selection Options]],","))),,R$11),"")</f>
        <v xml:space="preserve">
 0%: Not currently supported</v>
      </c>
      <c r="S38" s="29" t="str" cm="1">
        <f t="array" ref="S38">IFERROR(INDEX(_xlfn.UNIQUE(TRIM(_xlfn.TEXTSPLIT(Table261425678[[#This Row],[Selection Options]:[Selection Options]],","))),,S$11),"")</f>
        <v/>
      </c>
      <c r="T38" s="29" t="str" cm="1">
        <f t="array" ref="T38">IFERROR(INDEX(_xlfn.UNIQUE(TRIM(_xlfn.TEXTSPLIT(Table261425678[[#This Row],[Selection Options]:[Selection Options]],","))),,T$11),"")</f>
        <v/>
      </c>
      <c r="U38" s="29" t="str" cm="1">
        <f t="array" ref="U38">IFERROR(INDEX(_xlfn.UNIQUE(TRIM(_xlfn.TEXTSPLIT(Table261425678[[#This Row],[Selection Options]:[Selection Options]],","))),,U$11),"")</f>
        <v/>
      </c>
      <c r="V38" s="29" t="str" cm="1">
        <f t="array" ref="V38">IFERROR(INDEX(_xlfn.UNIQUE(TRIM(_xlfn.TEXTSPLIT(Table261425678[[#This Row],[Selection Options]:[Selection Options]],","))),,V$11),"")</f>
        <v/>
      </c>
      <c r="W38" s="29" t="str" cm="1">
        <f t="array" ref="W38">IFERROR(INDEX(_xlfn.UNIQUE(TRIM(_xlfn.TEXTSPLIT(Table261425678[[#This Row],[Selection Options]:[Selection Options]],","))),,W$11),"")</f>
        <v/>
      </c>
      <c r="X38" s="29" t="str" cm="1">
        <f t="array" ref="X38">IFERROR(INDEX(_xlfn.UNIQUE(TRIM(_xlfn.TEXTSPLIT(Table261425678[[#This Row],[Selection Options]:[Selection Options]],","))),,X$11),"")</f>
        <v/>
      </c>
      <c r="Y38" s="30" cm="1">
        <f t="array" ref="Y38">IF(Table261425678[[#This Row],[1]]="","",Table261425678[[#This Row],[Weight]:[Weight]]-(Table261425678[[#This Row],[Weight]:[Weight]]*((_xlfn.XMATCH(Table261425678[[#This Row],[1]],Table261425678[[#This Row],[1]:[11]],0))-1)/(COUNTA(Table261425678[[#This Row],[1]:[11]])-COUNTBLANK(Table261425678[[#This Row],[1]:[11]])-1)))</f>
        <v>6.4102564102564103E-4</v>
      </c>
      <c r="Z38" s="30" cm="1">
        <f t="array" ref="Z38">IF(Table261425678[[#This Row],[2]]="","",Table261425678[[#This Row],[Weight]:[Weight]]-(Table261425678[[#This Row],[Weight]:[Weight]]*((_xlfn.XMATCH(Table261425678[[#This Row],[2]],Table261425678[[#This Row],[1]:[11]],0))-1)/(COUNTA(Table261425678[[#This Row],[1]:[11]])-COUNTBLANK(Table261425678[[#This Row],[1]:[11]])-1)))</f>
        <v>4.807692307692308E-4</v>
      </c>
      <c r="AA38" s="30" cm="1">
        <f t="array" ref="AA38">IF(Table261425678[[#This Row],[3]]="","",Table261425678[[#This Row],[Weight]:[Weight]]-(Table261425678[[#This Row],[Weight]:[Weight]]*((_xlfn.XMATCH(Table261425678[[#This Row],[3]],Table261425678[[#This Row],[1]:[11]],0))-1)/(COUNTA(Table261425678[[#This Row],[1]:[11]])-COUNTBLANK(Table261425678[[#This Row],[1]:[11]])-1)))</f>
        <v>3.2051282051282051E-4</v>
      </c>
      <c r="AB38" s="30" cm="1">
        <f t="array" ref="AB38">IF(Table261425678[[#This Row],[4]]="","",Table261425678[[#This Row],[Weight]:[Weight]]-(Table261425678[[#This Row],[Weight]:[Weight]]*((_xlfn.XMATCH(Table261425678[[#This Row],[4]],Table261425678[[#This Row],[1]:[11]],0))-1)/(COUNTA(Table261425678[[#This Row],[1]:[11]])-COUNTBLANK(Table261425678[[#This Row],[1]:[11]])-1)))</f>
        <v>1.6025641025641023E-4</v>
      </c>
      <c r="AC38" s="30" cm="1">
        <f t="array" ref="AC38">IF(Table261425678[[#This Row],[5]]="","",Table261425678[[#This Row],[Weight]:[Weight]]-(Table261425678[[#This Row],[Weight]:[Weight]]*((_xlfn.XMATCH(Table261425678[[#This Row],[5]],Table261425678[[#This Row],[1]:[11]],0))-1)/(COUNTA(Table261425678[[#This Row],[1]:[11]])-COUNTBLANK(Table261425678[[#This Row],[1]:[11]])-1)))</f>
        <v>0</v>
      </c>
      <c r="AD38" s="30" t="str" cm="1">
        <f t="array" ref="AD38">IF(Table261425678[[#This Row],[6]]="","",Table261425678[[#This Row],[Weight]:[Weight]]-(Table261425678[[#This Row],[Weight]:[Weight]]*((_xlfn.XMATCH(Table261425678[[#This Row],[6]],Table261425678[[#This Row],[1]:[11]],0))-1)/(COUNTA(Table261425678[[#This Row],[1]:[11]])-COUNTBLANK(Table261425678[[#This Row],[1]:[11]])-1)))</f>
        <v/>
      </c>
      <c r="AE38" s="30" t="str" cm="1">
        <f t="array" ref="AE38">IF(Table261425678[[#This Row],[7]]="","",Table261425678[[#This Row],[Weight]:[Weight]]-(Table261425678[[#This Row],[Weight]:[Weight]]*((_xlfn.XMATCH(Table261425678[[#This Row],[7]],Table261425678[[#This Row],[1]:[11]],0))-1)/(COUNTA(Table261425678[[#This Row],[1]:[11]])-COUNTBLANK(Table261425678[[#This Row],[1]:[11]])-1)))</f>
        <v/>
      </c>
      <c r="AF38" s="30" t="str" cm="1">
        <f t="array" ref="AF38">IF(Table261425678[[#This Row],[8]]="","",Table261425678[[#This Row],[Weight]:[Weight]]-(Table261425678[[#This Row],[Weight]:[Weight]]*((_xlfn.XMATCH(Table261425678[[#This Row],[8]],Table261425678[[#This Row],[1]:[11]],0))-1)/(COUNTA(Table261425678[[#This Row],[1]:[11]])-COUNTBLANK(Table261425678[[#This Row],[1]:[11]])-1)))</f>
        <v/>
      </c>
      <c r="AG38" s="30" t="str" cm="1">
        <f t="array" ref="AG38">IF(Table261425678[[#This Row],[9]]="","",Table261425678[[#This Row],[Weight]:[Weight]]-(Table261425678[[#This Row],[Weight]:[Weight]]*((_xlfn.XMATCH(Table261425678[[#This Row],[9]],Table261425678[[#This Row],[1]:[11]],0))-1)/(COUNTA(Table261425678[[#This Row],[1]:[11]])-COUNTBLANK(Table261425678[[#This Row],[1]:[11]])-1)))</f>
        <v/>
      </c>
      <c r="AH38" s="30" t="str" cm="1">
        <f t="array" ref="AH38">IF(Table261425678[[#This Row],[10]]="","",Table261425678[[#This Row],[Weight]:[Weight]]-(Table261425678[[#This Row],[Weight]:[Weight]]*((_xlfn.XMATCH(Table261425678[[#This Row],[10]],Table261425678[[#This Row],[1]:[11]],0))-1)/(COUNTA(Table261425678[[#This Row],[1]:[11]])-COUNTBLANK(Table261425678[[#This Row],[1]:[11]])-1)))</f>
        <v/>
      </c>
      <c r="AI38" s="30" t="str" cm="1">
        <f t="array" ref="AI38">IF(Table261425678[[#This Row],[11]]="","",Table261425678[[#This Row],[Weight]:[Weight]]-(Table261425678[[#This Row],[Weight]:[Weight]]*((_xlfn.XMATCH(Table261425678[[#This Row],[11]],Table261425678[[#This Row],[1]:[11]],0))-1)/(COUNTA(Table261425678[[#This Row],[1]:[11]])-COUNTBLANK(Table261425678[[#This Row],[1]:[11]])-1)))</f>
        <v/>
      </c>
    </row>
    <row r="39" spans="1:35" ht="108" x14ac:dyDescent="0.2">
      <c r="A39" s="20">
        <v>27</v>
      </c>
      <c r="B39" s="90" t="s">
        <v>474</v>
      </c>
      <c r="C39" s="119" t="s">
        <v>215</v>
      </c>
      <c r="D39" s="153"/>
      <c r="E39" s="153"/>
      <c r="F39" s="121" t="s">
        <v>56</v>
      </c>
      <c r="G39" s="148" cm="1">
        <f t="array" ref="G39">_xlfn.IFS(F39="","",F39="No interest",0,F39="Nice to have",1,F39="Useful",2,F39="Important",3,F39="Very important",4,F39="Critical",5,F39="Show stopper",6)</f>
        <v>3</v>
      </c>
      <c r="H39" s="149">
        <f t="shared" si="1"/>
        <v>3.2051282051282051E-4</v>
      </c>
      <c r="I39" s="150" t="s">
        <v>321</v>
      </c>
      <c r="J39" s="35" t="str" cm="1">
        <f t="array" ref="J39">_xlfn.TEXTJOIN(","&amp;CHAR(10),,TEXT(Table261425678[[#This Row],[12]:[22]],"0,00%"))</f>
        <v>0,00%,
0,00%,
0,00%,
0,00%,
0,00%</v>
      </c>
      <c r="K39" s="26"/>
      <c r="L39" s="27" t="e">
        <f>H39-(H39*((MATCH(Table261425678[[#This Row],[Evaluators Response (SELECT)]],Table261425678[[#This Row],[1]:[11]],0)-1)/(COUNTA(Table261425678[[#This Row],[1]:[11]])-COUNTBLANK(Table261425678[[#This Row],[1]:[11]])-1)))</f>
        <v>#N/A</v>
      </c>
      <c r="M39" s="28"/>
      <c r="N39" s="29" t="str" cm="1">
        <f t="array" ref="N39">IFERROR(INDEX(_xlfn.UNIQUE(TRIM(_xlfn.TEXTSPLIT(Table261425678[[#This Row],[Selection Options]:[Selection Options]],","))),,N$11),"")</f>
        <v>100%: Supported as delivered "out of the box"</v>
      </c>
      <c r="O39" s="29" t="str" cm="1">
        <f t="array" ref="O39">IFERROR(INDEX(_xlfn.UNIQUE(TRIM(_xlfn.TEXTSPLIT(Table261425678[[#This Row],[Selection Options]:[Selection Options]],","))),,O$11),"")</f>
        <v xml:space="preserve">
75%: Supported via modifications (config)</v>
      </c>
      <c r="P39" s="29" t="str" cm="1">
        <f t="array" ref="P39">IFERROR(INDEX(_xlfn.UNIQUE(TRIM(_xlfn.TEXTSPLIT(Table261425678[[#This Row],[Selection Options]:[Selection Options]],","))),,P$11),"")</f>
        <v xml:space="preserve">
50%: Supported via a third party solution</v>
      </c>
      <c r="Q39" s="29" t="str" cm="1">
        <f t="array" ref="Q39">IFERROR(INDEX(_xlfn.UNIQUE(TRIM(_xlfn.TEXTSPLIT(Table261425678[[#This Row],[Selection Options]:[Selection Options]],","))),,Q$11),"")</f>
        <v xml:space="preserve">
25%: Supported via customisation (source code changes)</v>
      </c>
      <c r="R39" s="29" t="str" cm="1">
        <f t="array" ref="R39">IFERROR(INDEX(_xlfn.UNIQUE(TRIM(_xlfn.TEXTSPLIT(Table261425678[[#This Row],[Selection Options]:[Selection Options]],","))),,R$11),"")</f>
        <v xml:space="preserve">
 0%: Not currently supported</v>
      </c>
      <c r="S39" s="29" t="str" cm="1">
        <f t="array" ref="S39">IFERROR(INDEX(_xlfn.UNIQUE(TRIM(_xlfn.TEXTSPLIT(Table261425678[[#This Row],[Selection Options]:[Selection Options]],","))),,S$11),"")</f>
        <v/>
      </c>
      <c r="T39" s="29" t="str" cm="1">
        <f t="array" ref="T39">IFERROR(INDEX(_xlfn.UNIQUE(TRIM(_xlfn.TEXTSPLIT(Table261425678[[#This Row],[Selection Options]:[Selection Options]],","))),,T$11),"")</f>
        <v/>
      </c>
      <c r="U39" s="29" t="str" cm="1">
        <f t="array" ref="U39">IFERROR(INDEX(_xlfn.UNIQUE(TRIM(_xlfn.TEXTSPLIT(Table261425678[[#This Row],[Selection Options]:[Selection Options]],","))),,U$11),"")</f>
        <v/>
      </c>
      <c r="V39" s="29" t="str" cm="1">
        <f t="array" ref="V39">IFERROR(INDEX(_xlfn.UNIQUE(TRIM(_xlfn.TEXTSPLIT(Table261425678[[#This Row],[Selection Options]:[Selection Options]],","))),,V$11),"")</f>
        <v/>
      </c>
      <c r="W39" s="29" t="str" cm="1">
        <f t="array" ref="W39">IFERROR(INDEX(_xlfn.UNIQUE(TRIM(_xlfn.TEXTSPLIT(Table261425678[[#This Row],[Selection Options]:[Selection Options]],","))),,W$11),"")</f>
        <v/>
      </c>
      <c r="X39" s="29" t="str" cm="1">
        <f t="array" ref="X39">IFERROR(INDEX(_xlfn.UNIQUE(TRIM(_xlfn.TEXTSPLIT(Table261425678[[#This Row],[Selection Options]:[Selection Options]],","))),,X$11),"")</f>
        <v/>
      </c>
      <c r="Y39" s="30" cm="1">
        <f t="array" ref="Y39">IF(Table261425678[[#This Row],[1]]="","",Table261425678[[#This Row],[Weight]:[Weight]]-(Table261425678[[#This Row],[Weight]:[Weight]]*((_xlfn.XMATCH(Table261425678[[#This Row],[1]],Table261425678[[#This Row],[1]:[11]],0))-1)/(COUNTA(Table261425678[[#This Row],[1]:[11]])-COUNTBLANK(Table261425678[[#This Row],[1]:[11]])-1)))</f>
        <v>3.2051282051282051E-4</v>
      </c>
      <c r="Z39" s="30" cm="1">
        <f t="array" ref="Z39">IF(Table261425678[[#This Row],[2]]="","",Table261425678[[#This Row],[Weight]:[Weight]]-(Table261425678[[#This Row],[Weight]:[Weight]]*((_xlfn.XMATCH(Table261425678[[#This Row],[2]],Table261425678[[#This Row],[1]:[11]],0))-1)/(COUNTA(Table261425678[[#This Row],[1]:[11]])-COUNTBLANK(Table261425678[[#This Row],[1]:[11]])-1)))</f>
        <v>2.403846153846154E-4</v>
      </c>
      <c r="AA39" s="30" cm="1">
        <f t="array" ref="AA39">IF(Table261425678[[#This Row],[3]]="","",Table261425678[[#This Row],[Weight]:[Weight]]-(Table261425678[[#This Row],[Weight]:[Weight]]*((_xlfn.XMATCH(Table261425678[[#This Row],[3]],Table261425678[[#This Row],[1]:[11]],0))-1)/(COUNTA(Table261425678[[#This Row],[1]:[11]])-COUNTBLANK(Table261425678[[#This Row],[1]:[11]])-1)))</f>
        <v>1.6025641025641026E-4</v>
      </c>
      <c r="AB39" s="30" cm="1">
        <f t="array" ref="AB39">IF(Table261425678[[#This Row],[4]]="","",Table261425678[[#This Row],[Weight]:[Weight]]-(Table261425678[[#This Row],[Weight]:[Weight]]*((_xlfn.XMATCH(Table261425678[[#This Row],[4]],Table261425678[[#This Row],[1]:[11]],0))-1)/(COUNTA(Table261425678[[#This Row],[1]:[11]])-COUNTBLANK(Table261425678[[#This Row],[1]:[11]])-1)))</f>
        <v>8.0128205128205115E-5</v>
      </c>
      <c r="AC39" s="30" cm="1">
        <f t="array" ref="AC39">IF(Table261425678[[#This Row],[5]]="","",Table261425678[[#This Row],[Weight]:[Weight]]-(Table261425678[[#This Row],[Weight]:[Weight]]*((_xlfn.XMATCH(Table261425678[[#This Row],[5]],Table261425678[[#This Row],[1]:[11]],0))-1)/(COUNTA(Table261425678[[#This Row],[1]:[11]])-COUNTBLANK(Table261425678[[#This Row],[1]:[11]])-1)))</f>
        <v>0</v>
      </c>
      <c r="AD39" s="30" t="str" cm="1">
        <f t="array" ref="AD39">IF(Table261425678[[#This Row],[6]]="","",Table261425678[[#This Row],[Weight]:[Weight]]-(Table261425678[[#This Row],[Weight]:[Weight]]*((_xlfn.XMATCH(Table261425678[[#This Row],[6]],Table261425678[[#This Row],[1]:[11]],0))-1)/(COUNTA(Table261425678[[#This Row],[1]:[11]])-COUNTBLANK(Table261425678[[#This Row],[1]:[11]])-1)))</f>
        <v/>
      </c>
      <c r="AE39" s="30" t="str" cm="1">
        <f t="array" ref="AE39">IF(Table261425678[[#This Row],[7]]="","",Table261425678[[#This Row],[Weight]:[Weight]]-(Table261425678[[#This Row],[Weight]:[Weight]]*((_xlfn.XMATCH(Table261425678[[#This Row],[7]],Table261425678[[#This Row],[1]:[11]],0))-1)/(COUNTA(Table261425678[[#This Row],[1]:[11]])-COUNTBLANK(Table261425678[[#This Row],[1]:[11]])-1)))</f>
        <v/>
      </c>
      <c r="AF39" s="30" t="str" cm="1">
        <f t="array" ref="AF39">IF(Table261425678[[#This Row],[8]]="","",Table261425678[[#This Row],[Weight]:[Weight]]-(Table261425678[[#This Row],[Weight]:[Weight]]*((_xlfn.XMATCH(Table261425678[[#This Row],[8]],Table261425678[[#This Row],[1]:[11]],0))-1)/(COUNTA(Table261425678[[#This Row],[1]:[11]])-COUNTBLANK(Table261425678[[#This Row],[1]:[11]])-1)))</f>
        <v/>
      </c>
      <c r="AG39" s="30" t="str" cm="1">
        <f t="array" ref="AG39">IF(Table261425678[[#This Row],[9]]="","",Table261425678[[#This Row],[Weight]:[Weight]]-(Table261425678[[#This Row],[Weight]:[Weight]]*((_xlfn.XMATCH(Table261425678[[#This Row],[9]],Table261425678[[#This Row],[1]:[11]],0))-1)/(COUNTA(Table261425678[[#This Row],[1]:[11]])-COUNTBLANK(Table261425678[[#This Row],[1]:[11]])-1)))</f>
        <v/>
      </c>
      <c r="AH39" s="30" t="str" cm="1">
        <f t="array" ref="AH39">IF(Table261425678[[#This Row],[10]]="","",Table261425678[[#This Row],[Weight]:[Weight]]-(Table261425678[[#This Row],[Weight]:[Weight]]*((_xlfn.XMATCH(Table261425678[[#This Row],[10]],Table261425678[[#This Row],[1]:[11]],0))-1)/(COUNTA(Table261425678[[#This Row],[1]:[11]])-COUNTBLANK(Table261425678[[#This Row],[1]:[11]])-1)))</f>
        <v/>
      </c>
      <c r="AI39" s="30" t="str" cm="1">
        <f t="array" ref="AI39">IF(Table261425678[[#This Row],[11]]="","",Table261425678[[#This Row],[Weight]:[Weight]]-(Table261425678[[#This Row],[Weight]:[Weight]]*((_xlfn.XMATCH(Table261425678[[#This Row],[11]],Table261425678[[#This Row],[1]:[11]],0))-1)/(COUNTA(Table261425678[[#This Row],[1]:[11]])-COUNTBLANK(Table261425678[[#This Row],[1]:[11]])-1)))</f>
        <v/>
      </c>
    </row>
    <row r="40" spans="1:35" ht="108" x14ac:dyDescent="0.2">
      <c r="A40" s="20">
        <v>28</v>
      </c>
      <c r="B40" s="90" t="s">
        <v>475</v>
      </c>
      <c r="C40" s="119" t="s">
        <v>215</v>
      </c>
      <c r="D40" s="153"/>
      <c r="E40" s="153"/>
      <c r="F40" s="121" t="s">
        <v>56</v>
      </c>
      <c r="G40" s="148" cm="1">
        <f t="array" ref="G40">_xlfn.IFS(F40="","",F40="No interest",0,F40="Nice to have",1,F40="Useful",2,F40="Important",3,F40="Very important",4,F40="Critical",5,F40="Show stopper",6)</f>
        <v>3</v>
      </c>
      <c r="H40" s="149">
        <f t="shared" si="1"/>
        <v>3.2051282051282051E-4</v>
      </c>
      <c r="I40" s="150" t="s">
        <v>321</v>
      </c>
      <c r="J40" s="35" t="str" cm="1">
        <f t="array" ref="J40">_xlfn.TEXTJOIN(","&amp;CHAR(10),,TEXT(Table261425678[[#This Row],[12]:[22]],"0,00%"))</f>
        <v>0,00%,
0,00%,
0,00%,
0,00%,
0,00%</v>
      </c>
      <c r="K40" s="26"/>
      <c r="L40" s="27" t="e">
        <f>H40-(H40*((MATCH(Table261425678[[#This Row],[Evaluators Response (SELECT)]],Table261425678[[#This Row],[1]:[11]],0)-1)/(COUNTA(Table261425678[[#This Row],[1]:[11]])-COUNTBLANK(Table261425678[[#This Row],[1]:[11]])-1)))</f>
        <v>#N/A</v>
      </c>
      <c r="M40" s="28"/>
      <c r="N40" s="29" t="str" cm="1">
        <f t="array" ref="N40">IFERROR(INDEX(_xlfn.UNIQUE(TRIM(_xlfn.TEXTSPLIT(Table261425678[[#This Row],[Selection Options]:[Selection Options]],","))),,N$11),"")</f>
        <v>100%: Supported as delivered "out of the box"</v>
      </c>
      <c r="O40" s="29" t="str" cm="1">
        <f t="array" ref="O40">IFERROR(INDEX(_xlfn.UNIQUE(TRIM(_xlfn.TEXTSPLIT(Table261425678[[#This Row],[Selection Options]:[Selection Options]],","))),,O$11),"")</f>
        <v xml:space="preserve">
75%: Supported via modifications (config)</v>
      </c>
      <c r="P40" s="29" t="str" cm="1">
        <f t="array" ref="P40">IFERROR(INDEX(_xlfn.UNIQUE(TRIM(_xlfn.TEXTSPLIT(Table261425678[[#This Row],[Selection Options]:[Selection Options]],","))),,P$11),"")</f>
        <v xml:space="preserve">
50%: Supported via a third party solution</v>
      </c>
      <c r="Q40" s="29" t="str" cm="1">
        <f t="array" ref="Q40">IFERROR(INDEX(_xlfn.UNIQUE(TRIM(_xlfn.TEXTSPLIT(Table261425678[[#This Row],[Selection Options]:[Selection Options]],","))),,Q$11),"")</f>
        <v xml:space="preserve">
25%: Supported via customisation (source code changes)</v>
      </c>
      <c r="R40" s="29" t="str" cm="1">
        <f t="array" ref="R40">IFERROR(INDEX(_xlfn.UNIQUE(TRIM(_xlfn.TEXTSPLIT(Table261425678[[#This Row],[Selection Options]:[Selection Options]],","))),,R$11),"")</f>
        <v xml:space="preserve">
 0%: Not currently supported</v>
      </c>
      <c r="S40" s="29" t="str" cm="1">
        <f t="array" ref="S40">IFERROR(INDEX(_xlfn.UNIQUE(TRIM(_xlfn.TEXTSPLIT(Table261425678[[#This Row],[Selection Options]:[Selection Options]],","))),,S$11),"")</f>
        <v/>
      </c>
      <c r="T40" s="29" t="str" cm="1">
        <f t="array" ref="T40">IFERROR(INDEX(_xlfn.UNIQUE(TRIM(_xlfn.TEXTSPLIT(Table261425678[[#This Row],[Selection Options]:[Selection Options]],","))),,T$11),"")</f>
        <v/>
      </c>
      <c r="U40" s="29" t="str" cm="1">
        <f t="array" ref="U40">IFERROR(INDEX(_xlfn.UNIQUE(TRIM(_xlfn.TEXTSPLIT(Table261425678[[#This Row],[Selection Options]:[Selection Options]],","))),,U$11),"")</f>
        <v/>
      </c>
      <c r="V40" s="29" t="str" cm="1">
        <f t="array" ref="V40">IFERROR(INDEX(_xlfn.UNIQUE(TRIM(_xlfn.TEXTSPLIT(Table261425678[[#This Row],[Selection Options]:[Selection Options]],","))),,V$11),"")</f>
        <v/>
      </c>
      <c r="W40" s="29" t="str" cm="1">
        <f t="array" ref="W40">IFERROR(INDEX(_xlfn.UNIQUE(TRIM(_xlfn.TEXTSPLIT(Table261425678[[#This Row],[Selection Options]:[Selection Options]],","))),,W$11),"")</f>
        <v/>
      </c>
      <c r="X40" s="29" t="str" cm="1">
        <f t="array" ref="X40">IFERROR(INDEX(_xlfn.UNIQUE(TRIM(_xlfn.TEXTSPLIT(Table261425678[[#This Row],[Selection Options]:[Selection Options]],","))),,X$11),"")</f>
        <v/>
      </c>
      <c r="Y40" s="30" cm="1">
        <f t="array" ref="Y40">IF(Table261425678[[#This Row],[1]]="","",Table261425678[[#This Row],[Weight]:[Weight]]-(Table261425678[[#This Row],[Weight]:[Weight]]*((_xlfn.XMATCH(Table261425678[[#This Row],[1]],Table261425678[[#This Row],[1]:[11]],0))-1)/(COUNTA(Table261425678[[#This Row],[1]:[11]])-COUNTBLANK(Table261425678[[#This Row],[1]:[11]])-1)))</f>
        <v>3.2051282051282051E-4</v>
      </c>
      <c r="Z40" s="30" cm="1">
        <f t="array" ref="Z40">IF(Table261425678[[#This Row],[2]]="","",Table261425678[[#This Row],[Weight]:[Weight]]-(Table261425678[[#This Row],[Weight]:[Weight]]*((_xlfn.XMATCH(Table261425678[[#This Row],[2]],Table261425678[[#This Row],[1]:[11]],0))-1)/(COUNTA(Table261425678[[#This Row],[1]:[11]])-COUNTBLANK(Table261425678[[#This Row],[1]:[11]])-1)))</f>
        <v>2.403846153846154E-4</v>
      </c>
      <c r="AA40" s="30" cm="1">
        <f t="array" ref="AA40">IF(Table261425678[[#This Row],[3]]="","",Table261425678[[#This Row],[Weight]:[Weight]]-(Table261425678[[#This Row],[Weight]:[Weight]]*((_xlfn.XMATCH(Table261425678[[#This Row],[3]],Table261425678[[#This Row],[1]:[11]],0))-1)/(COUNTA(Table261425678[[#This Row],[1]:[11]])-COUNTBLANK(Table261425678[[#This Row],[1]:[11]])-1)))</f>
        <v>1.6025641025641026E-4</v>
      </c>
      <c r="AB40" s="30" cm="1">
        <f t="array" ref="AB40">IF(Table261425678[[#This Row],[4]]="","",Table261425678[[#This Row],[Weight]:[Weight]]-(Table261425678[[#This Row],[Weight]:[Weight]]*((_xlfn.XMATCH(Table261425678[[#This Row],[4]],Table261425678[[#This Row],[1]:[11]],0))-1)/(COUNTA(Table261425678[[#This Row],[1]:[11]])-COUNTBLANK(Table261425678[[#This Row],[1]:[11]])-1)))</f>
        <v>8.0128205128205115E-5</v>
      </c>
      <c r="AC40" s="30" cm="1">
        <f t="array" ref="AC40">IF(Table261425678[[#This Row],[5]]="","",Table261425678[[#This Row],[Weight]:[Weight]]-(Table261425678[[#This Row],[Weight]:[Weight]]*((_xlfn.XMATCH(Table261425678[[#This Row],[5]],Table261425678[[#This Row],[1]:[11]],0))-1)/(COUNTA(Table261425678[[#This Row],[1]:[11]])-COUNTBLANK(Table261425678[[#This Row],[1]:[11]])-1)))</f>
        <v>0</v>
      </c>
      <c r="AD40" s="30" t="str" cm="1">
        <f t="array" ref="AD40">IF(Table261425678[[#This Row],[6]]="","",Table261425678[[#This Row],[Weight]:[Weight]]-(Table261425678[[#This Row],[Weight]:[Weight]]*((_xlfn.XMATCH(Table261425678[[#This Row],[6]],Table261425678[[#This Row],[1]:[11]],0))-1)/(COUNTA(Table261425678[[#This Row],[1]:[11]])-COUNTBLANK(Table261425678[[#This Row],[1]:[11]])-1)))</f>
        <v/>
      </c>
      <c r="AE40" s="30" t="str" cm="1">
        <f t="array" ref="AE40">IF(Table261425678[[#This Row],[7]]="","",Table261425678[[#This Row],[Weight]:[Weight]]-(Table261425678[[#This Row],[Weight]:[Weight]]*((_xlfn.XMATCH(Table261425678[[#This Row],[7]],Table261425678[[#This Row],[1]:[11]],0))-1)/(COUNTA(Table261425678[[#This Row],[1]:[11]])-COUNTBLANK(Table261425678[[#This Row],[1]:[11]])-1)))</f>
        <v/>
      </c>
      <c r="AF40" s="30" t="str" cm="1">
        <f t="array" ref="AF40">IF(Table261425678[[#This Row],[8]]="","",Table261425678[[#This Row],[Weight]:[Weight]]-(Table261425678[[#This Row],[Weight]:[Weight]]*((_xlfn.XMATCH(Table261425678[[#This Row],[8]],Table261425678[[#This Row],[1]:[11]],0))-1)/(COUNTA(Table261425678[[#This Row],[1]:[11]])-COUNTBLANK(Table261425678[[#This Row],[1]:[11]])-1)))</f>
        <v/>
      </c>
      <c r="AG40" s="30" t="str" cm="1">
        <f t="array" ref="AG40">IF(Table261425678[[#This Row],[9]]="","",Table261425678[[#This Row],[Weight]:[Weight]]-(Table261425678[[#This Row],[Weight]:[Weight]]*((_xlfn.XMATCH(Table261425678[[#This Row],[9]],Table261425678[[#This Row],[1]:[11]],0))-1)/(COUNTA(Table261425678[[#This Row],[1]:[11]])-COUNTBLANK(Table261425678[[#This Row],[1]:[11]])-1)))</f>
        <v/>
      </c>
      <c r="AH40" s="30" t="str" cm="1">
        <f t="array" ref="AH40">IF(Table261425678[[#This Row],[10]]="","",Table261425678[[#This Row],[Weight]:[Weight]]-(Table261425678[[#This Row],[Weight]:[Weight]]*((_xlfn.XMATCH(Table261425678[[#This Row],[10]],Table261425678[[#This Row],[1]:[11]],0))-1)/(COUNTA(Table261425678[[#This Row],[1]:[11]])-COUNTBLANK(Table261425678[[#This Row],[1]:[11]])-1)))</f>
        <v/>
      </c>
      <c r="AI40" s="30" t="str" cm="1">
        <f t="array" ref="AI40">IF(Table261425678[[#This Row],[11]]="","",Table261425678[[#This Row],[Weight]:[Weight]]-(Table261425678[[#This Row],[Weight]:[Weight]]*((_xlfn.XMATCH(Table261425678[[#This Row],[11]],Table261425678[[#This Row],[1]:[11]],0))-1)/(COUNTA(Table261425678[[#This Row],[1]:[11]])-COUNTBLANK(Table261425678[[#This Row],[1]:[11]])-1)))</f>
        <v/>
      </c>
    </row>
    <row r="41" spans="1:35" ht="108" x14ac:dyDescent="0.2">
      <c r="A41" s="20">
        <v>29</v>
      </c>
      <c r="B41" s="90" t="s">
        <v>476</v>
      </c>
      <c r="C41" s="119" t="s">
        <v>215</v>
      </c>
      <c r="D41" s="153"/>
      <c r="E41" s="153"/>
      <c r="F41" s="121" t="s">
        <v>188</v>
      </c>
      <c r="G41" s="148" cm="1">
        <f t="array" ref="G41">_xlfn.IFS(F41="","",F41="No interest",0,F41="Nice to have",1,F41="Useful",2,F41="Important",3,F41="Very important",4,F41="Critical",5,F41="Show stopper",6)</f>
        <v>5</v>
      </c>
      <c r="H41" s="149">
        <f t="shared" si="1"/>
        <v>5.3418803418803424E-4</v>
      </c>
      <c r="I41" s="150" t="s">
        <v>321</v>
      </c>
      <c r="J41" s="35" t="str" cm="1">
        <f t="array" ref="J41">_xlfn.TEXTJOIN(","&amp;CHAR(10),,TEXT(Table261425678[[#This Row],[12]:[22]],"0,00%"))</f>
        <v>0,00%,
0,00%,
0,00%,
0,00%,
0,00%</v>
      </c>
      <c r="K41" s="26"/>
      <c r="L41" s="27" t="e">
        <f>H41-(H41*((MATCH(Table261425678[[#This Row],[Evaluators Response (SELECT)]],Table261425678[[#This Row],[1]:[11]],0)-1)/(COUNTA(Table261425678[[#This Row],[1]:[11]])-COUNTBLANK(Table261425678[[#This Row],[1]:[11]])-1)))</f>
        <v>#N/A</v>
      </c>
      <c r="M41" s="28"/>
      <c r="N41" s="29" t="str" cm="1">
        <f t="array" ref="N41">IFERROR(INDEX(_xlfn.UNIQUE(TRIM(_xlfn.TEXTSPLIT(Table261425678[[#This Row],[Selection Options]:[Selection Options]],","))),,N$11),"")</f>
        <v>100%: Supported as delivered "out of the box"</v>
      </c>
      <c r="O41" s="29" t="str" cm="1">
        <f t="array" ref="O41">IFERROR(INDEX(_xlfn.UNIQUE(TRIM(_xlfn.TEXTSPLIT(Table261425678[[#This Row],[Selection Options]:[Selection Options]],","))),,O$11),"")</f>
        <v xml:space="preserve">
75%: Supported via modifications (config)</v>
      </c>
      <c r="P41" s="29" t="str" cm="1">
        <f t="array" ref="P41">IFERROR(INDEX(_xlfn.UNIQUE(TRIM(_xlfn.TEXTSPLIT(Table261425678[[#This Row],[Selection Options]:[Selection Options]],","))),,P$11),"")</f>
        <v xml:space="preserve">
50%: Supported via a third party solution</v>
      </c>
      <c r="Q41" s="29" t="str" cm="1">
        <f t="array" ref="Q41">IFERROR(INDEX(_xlfn.UNIQUE(TRIM(_xlfn.TEXTSPLIT(Table261425678[[#This Row],[Selection Options]:[Selection Options]],","))),,Q$11),"")</f>
        <v xml:space="preserve">
25%: Supported via customisation (source code changes)</v>
      </c>
      <c r="R41" s="29" t="str" cm="1">
        <f t="array" ref="R41">IFERROR(INDEX(_xlfn.UNIQUE(TRIM(_xlfn.TEXTSPLIT(Table261425678[[#This Row],[Selection Options]:[Selection Options]],","))),,R$11),"")</f>
        <v xml:space="preserve">
 0%: Not currently supported</v>
      </c>
      <c r="S41" s="29" t="str" cm="1">
        <f t="array" ref="S41">IFERROR(INDEX(_xlfn.UNIQUE(TRIM(_xlfn.TEXTSPLIT(Table261425678[[#This Row],[Selection Options]:[Selection Options]],","))),,S$11),"")</f>
        <v/>
      </c>
      <c r="T41" s="29" t="str" cm="1">
        <f t="array" ref="T41">IFERROR(INDEX(_xlfn.UNIQUE(TRIM(_xlfn.TEXTSPLIT(Table261425678[[#This Row],[Selection Options]:[Selection Options]],","))),,T$11),"")</f>
        <v/>
      </c>
      <c r="U41" s="29" t="str" cm="1">
        <f t="array" ref="U41">IFERROR(INDEX(_xlfn.UNIQUE(TRIM(_xlfn.TEXTSPLIT(Table261425678[[#This Row],[Selection Options]:[Selection Options]],","))),,U$11),"")</f>
        <v/>
      </c>
      <c r="V41" s="29" t="str" cm="1">
        <f t="array" ref="V41">IFERROR(INDEX(_xlfn.UNIQUE(TRIM(_xlfn.TEXTSPLIT(Table261425678[[#This Row],[Selection Options]:[Selection Options]],","))),,V$11),"")</f>
        <v/>
      </c>
      <c r="W41" s="29" t="str" cm="1">
        <f t="array" ref="W41">IFERROR(INDEX(_xlfn.UNIQUE(TRIM(_xlfn.TEXTSPLIT(Table261425678[[#This Row],[Selection Options]:[Selection Options]],","))),,W$11),"")</f>
        <v/>
      </c>
      <c r="X41" s="29" t="str" cm="1">
        <f t="array" ref="X41">IFERROR(INDEX(_xlfn.UNIQUE(TRIM(_xlfn.TEXTSPLIT(Table261425678[[#This Row],[Selection Options]:[Selection Options]],","))),,X$11),"")</f>
        <v/>
      </c>
      <c r="Y41" s="30" cm="1">
        <f t="array" ref="Y41">IF(Table261425678[[#This Row],[1]]="","",Table261425678[[#This Row],[Weight]:[Weight]]-(Table261425678[[#This Row],[Weight]:[Weight]]*((_xlfn.XMATCH(Table261425678[[#This Row],[1]],Table261425678[[#This Row],[1]:[11]],0))-1)/(COUNTA(Table261425678[[#This Row],[1]:[11]])-COUNTBLANK(Table261425678[[#This Row],[1]:[11]])-1)))</f>
        <v>5.3418803418803424E-4</v>
      </c>
      <c r="Z41" s="30" cm="1">
        <f t="array" ref="Z41">IF(Table261425678[[#This Row],[2]]="","",Table261425678[[#This Row],[Weight]:[Weight]]-(Table261425678[[#This Row],[Weight]:[Weight]]*((_xlfn.XMATCH(Table261425678[[#This Row],[2]],Table261425678[[#This Row],[1]:[11]],0))-1)/(COUNTA(Table261425678[[#This Row],[1]:[11]])-COUNTBLANK(Table261425678[[#This Row],[1]:[11]])-1)))</f>
        <v>4.0064102564102568E-4</v>
      </c>
      <c r="AA41" s="30" cm="1">
        <f t="array" ref="AA41">IF(Table261425678[[#This Row],[3]]="","",Table261425678[[#This Row],[Weight]:[Weight]]-(Table261425678[[#This Row],[Weight]:[Weight]]*((_xlfn.XMATCH(Table261425678[[#This Row],[3]],Table261425678[[#This Row],[1]:[11]],0))-1)/(COUNTA(Table261425678[[#This Row],[1]:[11]])-COUNTBLANK(Table261425678[[#This Row],[1]:[11]])-1)))</f>
        <v>2.6709401709401712E-4</v>
      </c>
      <c r="AB41" s="30" cm="1">
        <f t="array" ref="AB41">IF(Table261425678[[#This Row],[4]]="","",Table261425678[[#This Row],[Weight]:[Weight]]-(Table261425678[[#This Row],[Weight]:[Weight]]*((_xlfn.XMATCH(Table261425678[[#This Row],[4]],Table261425678[[#This Row],[1]:[11]],0))-1)/(COUNTA(Table261425678[[#This Row],[1]:[11]])-COUNTBLANK(Table261425678[[#This Row],[1]:[11]])-1)))</f>
        <v>1.3354700854700856E-4</v>
      </c>
      <c r="AC41" s="30" cm="1">
        <f t="array" ref="AC41">IF(Table261425678[[#This Row],[5]]="","",Table261425678[[#This Row],[Weight]:[Weight]]-(Table261425678[[#This Row],[Weight]:[Weight]]*((_xlfn.XMATCH(Table261425678[[#This Row],[5]],Table261425678[[#This Row],[1]:[11]],0))-1)/(COUNTA(Table261425678[[#This Row],[1]:[11]])-COUNTBLANK(Table261425678[[#This Row],[1]:[11]])-1)))</f>
        <v>0</v>
      </c>
      <c r="AD41" s="30" t="str" cm="1">
        <f t="array" ref="AD41">IF(Table261425678[[#This Row],[6]]="","",Table261425678[[#This Row],[Weight]:[Weight]]-(Table261425678[[#This Row],[Weight]:[Weight]]*((_xlfn.XMATCH(Table261425678[[#This Row],[6]],Table261425678[[#This Row],[1]:[11]],0))-1)/(COUNTA(Table261425678[[#This Row],[1]:[11]])-COUNTBLANK(Table261425678[[#This Row],[1]:[11]])-1)))</f>
        <v/>
      </c>
      <c r="AE41" s="30" t="str" cm="1">
        <f t="array" ref="AE41">IF(Table261425678[[#This Row],[7]]="","",Table261425678[[#This Row],[Weight]:[Weight]]-(Table261425678[[#This Row],[Weight]:[Weight]]*((_xlfn.XMATCH(Table261425678[[#This Row],[7]],Table261425678[[#This Row],[1]:[11]],0))-1)/(COUNTA(Table261425678[[#This Row],[1]:[11]])-COUNTBLANK(Table261425678[[#This Row],[1]:[11]])-1)))</f>
        <v/>
      </c>
      <c r="AF41" s="30" t="str" cm="1">
        <f t="array" ref="AF41">IF(Table261425678[[#This Row],[8]]="","",Table261425678[[#This Row],[Weight]:[Weight]]-(Table261425678[[#This Row],[Weight]:[Weight]]*((_xlfn.XMATCH(Table261425678[[#This Row],[8]],Table261425678[[#This Row],[1]:[11]],0))-1)/(COUNTA(Table261425678[[#This Row],[1]:[11]])-COUNTBLANK(Table261425678[[#This Row],[1]:[11]])-1)))</f>
        <v/>
      </c>
      <c r="AG41" s="30" t="str" cm="1">
        <f t="array" ref="AG41">IF(Table261425678[[#This Row],[9]]="","",Table261425678[[#This Row],[Weight]:[Weight]]-(Table261425678[[#This Row],[Weight]:[Weight]]*((_xlfn.XMATCH(Table261425678[[#This Row],[9]],Table261425678[[#This Row],[1]:[11]],0))-1)/(COUNTA(Table261425678[[#This Row],[1]:[11]])-COUNTBLANK(Table261425678[[#This Row],[1]:[11]])-1)))</f>
        <v/>
      </c>
      <c r="AH41" s="30" t="str" cm="1">
        <f t="array" ref="AH41">IF(Table261425678[[#This Row],[10]]="","",Table261425678[[#This Row],[Weight]:[Weight]]-(Table261425678[[#This Row],[Weight]:[Weight]]*((_xlfn.XMATCH(Table261425678[[#This Row],[10]],Table261425678[[#This Row],[1]:[11]],0))-1)/(COUNTA(Table261425678[[#This Row],[1]:[11]])-COUNTBLANK(Table261425678[[#This Row],[1]:[11]])-1)))</f>
        <v/>
      </c>
      <c r="AI41" s="30" t="str" cm="1">
        <f t="array" ref="AI41">IF(Table261425678[[#This Row],[11]]="","",Table261425678[[#This Row],[Weight]:[Weight]]-(Table261425678[[#This Row],[Weight]:[Weight]]*((_xlfn.XMATCH(Table261425678[[#This Row],[11]],Table261425678[[#This Row],[1]:[11]],0))-1)/(COUNTA(Table261425678[[#This Row],[1]:[11]])-COUNTBLANK(Table261425678[[#This Row],[1]:[11]])-1)))</f>
        <v/>
      </c>
    </row>
    <row r="42" spans="1:35" ht="108" x14ac:dyDescent="0.2">
      <c r="A42" s="20">
        <v>30</v>
      </c>
      <c r="B42" s="90" t="s">
        <v>477</v>
      </c>
      <c r="C42" s="119" t="s">
        <v>215</v>
      </c>
      <c r="D42" s="153"/>
      <c r="E42" s="153"/>
      <c r="F42" s="121" t="s">
        <v>188</v>
      </c>
      <c r="G42" s="148" cm="1">
        <f t="array" ref="G42">_xlfn.IFS(F42="","",F42="No interest",0,F42="Nice to have",1,F42="Useful",2,F42="Important",3,F42="Very important",4,F42="Critical",5,F42="Show stopper",6)</f>
        <v>5</v>
      </c>
      <c r="H42" s="149">
        <f t="shared" si="1"/>
        <v>5.3418803418803424E-4</v>
      </c>
      <c r="I42" s="150" t="s">
        <v>321</v>
      </c>
      <c r="J42" s="35" t="str" cm="1">
        <f t="array" ref="J42">_xlfn.TEXTJOIN(","&amp;CHAR(10),,TEXT(Table261425678[[#This Row],[12]:[22]],"0,00%"))</f>
        <v>0,00%,
0,00%,
0,00%,
0,00%,
0,00%</v>
      </c>
      <c r="K42" s="26"/>
      <c r="L42" s="27" t="e">
        <f>H42-(H42*((MATCH(Table261425678[[#This Row],[Evaluators Response (SELECT)]],Table261425678[[#This Row],[1]:[11]],0)-1)/(COUNTA(Table261425678[[#This Row],[1]:[11]])-COUNTBLANK(Table261425678[[#This Row],[1]:[11]])-1)))</f>
        <v>#N/A</v>
      </c>
      <c r="M42" s="28"/>
      <c r="N42" s="29" t="str" cm="1">
        <f t="array" ref="N42">IFERROR(INDEX(_xlfn.UNIQUE(TRIM(_xlfn.TEXTSPLIT(Table261425678[[#This Row],[Selection Options]:[Selection Options]],","))),,N$11),"")</f>
        <v>100%: Supported as delivered "out of the box"</v>
      </c>
      <c r="O42" s="29" t="str" cm="1">
        <f t="array" ref="O42">IFERROR(INDEX(_xlfn.UNIQUE(TRIM(_xlfn.TEXTSPLIT(Table261425678[[#This Row],[Selection Options]:[Selection Options]],","))),,O$11),"")</f>
        <v xml:space="preserve">
75%: Supported via modifications (config)</v>
      </c>
      <c r="P42" s="29" t="str" cm="1">
        <f t="array" ref="P42">IFERROR(INDEX(_xlfn.UNIQUE(TRIM(_xlfn.TEXTSPLIT(Table261425678[[#This Row],[Selection Options]:[Selection Options]],","))),,P$11),"")</f>
        <v xml:space="preserve">
50%: Supported via a third party solution</v>
      </c>
      <c r="Q42" s="29" t="str" cm="1">
        <f t="array" ref="Q42">IFERROR(INDEX(_xlfn.UNIQUE(TRIM(_xlfn.TEXTSPLIT(Table261425678[[#This Row],[Selection Options]:[Selection Options]],","))),,Q$11),"")</f>
        <v xml:space="preserve">
25%: Supported via customisation (source code changes)</v>
      </c>
      <c r="R42" s="29" t="str" cm="1">
        <f t="array" ref="R42">IFERROR(INDEX(_xlfn.UNIQUE(TRIM(_xlfn.TEXTSPLIT(Table261425678[[#This Row],[Selection Options]:[Selection Options]],","))),,R$11),"")</f>
        <v xml:space="preserve">
 0%: Not currently supported</v>
      </c>
      <c r="S42" s="29" t="str" cm="1">
        <f t="array" ref="S42">IFERROR(INDEX(_xlfn.UNIQUE(TRIM(_xlfn.TEXTSPLIT(Table261425678[[#This Row],[Selection Options]:[Selection Options]],","))),,S$11),"")</f>
        <v/>
      </c>
      <c r="T42" s="29" t="str" cm="1">
        <f t="array" ref="T42">IFERROR(INDEX(_xlfn.UNIQUE(TRIM(_xlfn.TEXTSPLIT(Table261425678[[#This Row],[Selection Options]:[Selection Options]],","))),,T$11),"")</f>
        <v/>
      </c>
      <c r="U42" s="29" t="str" cm="1">
        <f t="array" ref="U42">IFERROR(INDEX(_xlfn.UNIQUE(TRIM(_xlfn.TEXTSPLIT(Table261425678[[#This Row],[Selection Options]:[Selection Options]],","))),,U$11),"")</f>
        <v/>
      </c>
      <c r="V42" s="29" t="str" cm="1">
        <f t="array" ref="V42">IFERROR(INDEX(_xlfn.UNIQUE(TRIM(_xlfn.TEXTSPLIT(Table261425678[[#This Row],[Selection Options]:[Selection Options]],","))),,V$11),"")</f>
        <v/>
      </c>
      <c r="W42" s="29" t="str" cm="1">
        <f t="array" ref="W42">IFERROR(INDEX(_xlfn.UNIQUE(TRIM(_xlfn.TEXTSPLIT(Table261425678[[#This Row],[Selection Options]:[Selection Options]],","))),,W$11),"")</f>
        <v/>
      </c>
      <c r="X42" s="29" t="str" cm="1">
        <f t="array" ref="X42">IFERROR(INDEX(_xlfn.UNIQUE(TRIM(_xlfn.TEXTSPLIT(Table261425678[[#This Row],[Selection Options]:[Selection Options]],","))),,X$11),"")</f>
        <v/>
      </c>
      <c r="Y42" s="30" cm="1">
        <f t="array" ref="Y42">IF(Table261425678[[#This Row],[1]]="","",Table261425678[[#This Row],[Weight]:[Weight]]-(Table261425678[[#This Row],[Weight]:[Weight]]*((_xlfn.XMATCH(Table261425678[[#This Row],[1]],Table261425678[[#This Row],[1]:[11]],0))-1)/(COUNTA(Table261425678[[#This Row],[1]:[11]])-COUNTBLANK(Table261425678[[#This Row],[1]:[11]])-1)))</f>
        <v>5.3418803418803424E-4</v>
      </c>
      <c r="Z42" s="30" cm="1">
        <f t="array" ref="Z42">IF(Table261425678[[#This Row],[2]]="","",Table261425678[[#This Row],[Weight]:[Weight]]-(Table261425678[[#This Row],[Weight]:[Weight]]*((_xlfn.XMATCH(Table261425678[[#This Row],[2]],Table261425678[[#This Row],[1]:[11]],0))-1)/(COUNTA(Table261425678[[#This Row],[1]:[11]])-COUNTBLANK(Table261425678[[#This Row],[1]:[11]])-1)))</f>
        <v>4.0064102564102568E-4</v>
      </c>
      <c r="AA42" s="30" cm="1">
        <f t="array" ref="AA42">IF(Table261425678[[#This Row],[3]]="","",Table261425678[[#This Row],[Weight]:[Weight]]-(Table261425678[[#This Row],[Weight]:[Weight]]*((_xlfn.XMATCH(Table261425678[[#This Row],[3]],Table261425678[[#This Row],[1]:[11]],0))-1)/(COUNTA(Table261425678[[#This Row],[1]:[11]])-COUNTBLANK(Table261425678[[#This Row],[1]:[11]])-1)))</f>
        <v>2.6709401709401712E-4</v>
      </c>
      <c r="AB42" s="30" cm="1">
        <f t="array" ref="AB42">IF(Table261425678[[#This Row],[4]]="","",Table261425678[[#This Row],[Weight]:[Weight]]-(Table261425678[[#This Row],[Weight]:[Weight]]*((_xlfn.XMATCH(Table261425678[[#This Row],[4]],Table261425678[[#This Row],[1]:[11]],0))-1)/(COUNTA(Table261425678[[#This Row],[1]:[11]])-COUNTBLANK(Table261425678[[#This Row],[1]:[11]])-1)))</f>
        <v>1.3354700854700856E-4</v>
      </c>
      <c r="AC42" s="30" cm="1">
        <f t="array" ref="AC42">IF(Table261425678[[#This Row],[5]]="","",Table261425678[[#This Row],[Weight]:[Weight]]-(Table261425678[[#This Row],[Weight]:[Weight]]*((_xlfn.XMATCH(Table261425678[[#This Row],[5]],Table261425678[[#This Row],[1]:[11]],0))-1)/(COUNTA(Table261425678[[#This Row],[1]:[11]])-COUNTBLANK(Table261425678[[#This Row],[1]:[11]])-1)))</f>
        <v>0</v>
      </c>
      <c r="AD42" s="30" t="str" cm="1">
        <f t="array" ref="AD42">IF(Table261425678[[#This Row],[6]]="","",Table261425678[[#This Row],[Weight]:[Weight]]-(Table261425678[[#This Row],[Weight]:[Weight]]*((_xlfn.XMATCH(Table261425678[[#This Row],[6]],Table261425678[[#This Row],[1]:[11]],0))-1)/(COUNTA(Table261425678[[#This Row],[1]:[11]])-COUNTBLANK(Table261425678[[#This Row],[1]:[11]])-1)))</f>
        <v/>
      </c>
      <c r="AE42" s="30" t="str" cm="1">
        <f t="array" ref="AE42">IF(Table261425678[[#This Row],[7]]="","",Table261425678[[#This Row],[Weight]:[Weight]]-(Table261425678[[#This Row],[Weight]:[Weight]]*((_xlfn.XMATCH(Table261425678[[#This Row],[7]],Table261425678[[#This Row],[1]:[11]],0))-1)/(COUNTA(Table261425678[[#This Row],[1]:[11]])-COUNTBLANK(Table261425678[[#This Row],[1]:[11]])-1)))</f>
        <v/>
      </c>
      <c r="AF42" s="30" t="str" cm="1">
        <f t="array" ref="AF42">IF(Table261425678[[#This Row],[8]]="","",Table261425678[[#This Row],[Weight]:[Weight]]-(Table261425678[[#This Row],[Weight]:[Weight]]*((_xlfn.XMATCH(Table261425678[[#This Row],[8]],Table261425678[[#This Row],[1]:[11]],0))-1)/(COUNTA(Table261425678[[#This Row],[1]:[11]])-COUNTBLANK(Table261425678[[#This Row],[1]:[11]])-1)))</f>
        <v/>
      </c>
      <c r="AG42" s="30" t="str" cm="1">
        <f t="array" ref="AG42">IF(Table261425678[[#This Row],[9]]="","",Table261425678[[#This Row],[Weight]:[Weight]]-(Table261425678[[#This Row],[Weight]:[Weight]]*((_xlfn.XMATCH(Table261425678[[#This Row],[9]],Table261425678[[#This Row],[1]:[11]],0))-1)/(COUNTA(Table261425678[[#This Row],[1]:[11]])-COUNTBLANK(Table261425678[[#This Row],[1]:[11]])-1)))</f>
        <v/>
      </c>
      <c r="AH42" s="30" t="str" cm="1">
        <f t="array" ref="AH42">IF(Table261425678[[#This Row],[10]]="","",Table261425678[[#This Row],[Weight]:[Weight]]-(Table261425678[[#This Row],[Weight]:[Weight]]*((_xlfn.XMATCH(Table261425678[[#This Row],[10]],Table261425678[[#This Row],[1]:[11]],0))-1)/(COUNTA(Table261425678[[#This Row],[1]:[11]])-COUNTBLANK(Table261425678[[#This Row],[1]:[11]])-1)))</f>
        <v/>
      </c>
      <c r="AI42" s="30" t="str" cm="1">
        <f t="array" ref="AI42">IF(Table261425678[[#This Row],[11]]="","",Table261425678[[#This Row],[Weight]:[Weight]]-(Table261425678[[#This Row],[Weight]:[Weight]]*((_xlfn.XMATCH(Table261425678[[#This Row],[11]],Table261425678[[#This Row],[1]:[11]],0))-1)/(COUNTA(Table261425678[[#This Row],[1]:[11]])-COUNTBLANK(Table261425678[[#This Row],[1]:[11]])-1)))</f>
        <v/>
      </c>
    </row>
    <row r="43" spans="1:35" ht="108" x14ac:dyDescent="0.2">
      <c r="A43" s="20">
        <v>31</v>
      </c>
      <c r="B43" s="90" t="s">
        <v>478</v>
      </c>
      <c r="C43" s="119" t="s">
        <v>215</v>
      </c>
      <c r="D43" s="153"/>
      <c r="E43" s="153"/>
      <c r="F43" s="121" t="s">
        <v>188</v>
      </c>
      <c r="G43" s="148" cm="1">
        <f t="array" ref="G43">_xlfn.IFS(F43="","",F43="No interest",0,F43="Nice to have",1,F43="Useful",2,F43="Important",3,F43="Very important",4,F43="Critical",5,F43="Show stopper",6)</f>
        <v>5</v>
      </c>
      <c r="H43" s="149">
        <f t="shared" si="1"/>
        <v>5.3418803418803424E-4</v>
      </c>
      <c r="I43" s="150" t="s">
        <v>321</v>
      </c>
      <c r="J43" s="35" t="str" cm="1">
        <f t="array" ref="J43">_xlfn.TEXTJOIN(","&amp;CHAR(10),,TEXT(Table261425678[[#This Row],[12]:[22]],"0,00%"))</f>
        <v>0,00%,
0,00%,
0,00%,
0,00%,
0,00%</v>
      </c>
      <c r="K43" s="26"/>
      <c r="L43" s="27" t="e">
        <f>H43-(H43*((MATCH(Table261425678[[#This Row],[Evaluators Response (SELECT)]],Table261425678[[#This Row],[1]:[11]],0)-1)/(COUNTA(Table261425678[[#This Row],[1]:[11]])-COUNTBLANK(Table261425678[[#This Row],[1]:[11]])-1)))</f>
        <v>#N/A</v>
      </c>
      <c r="M43" s="28"/>
      <c r="N43" s="29" t="str" cm="1">
        <f t="array" ref="N43">IFERROR(INDEX(_xlfn.UNIQUE(TRIM(_xlfn.TEXTSPLIT(Table261425678[[#This Row],[Selection Options]:[Selection Options]],","))),,N$11),"")</f>
        <v>100%: Supported as delivered "out of the box"</v>
      </c>
      <c r="O43" s="29" t="str" cm="1">
        <f t="array" ref="O43">IFERROR(INDEX(_xlfn.UNIQUE(TRIM(_xlfn.TEXTSPLIT(Table261425678[[#This Row],[Selection Options]:[Selection Options]],","))),,O$11),"")</f>
        <v xml:space="preserve">
75%: Supported via modifications (config)</v>
      </c>
      <c r="P43" s="29" t="str" cm="1">
        <f t="array" ref="P43">IFERROR(INDEX(_xlfn.UNIQUE(TRIM(_xlfn.TEXTSPLIT(Table261425678[[#This Row],[Selection Options]:[Selection Options]],","))),,P$11),"")</f>
        <v xml:space="preserve">
50%: Supported via a third party solution</v>
      </c>
      <c r="Q43" s="29" t="str" cm="1">
        <f t="array" ref="Q43">IFERROR(INDEX(_xlfn.UNIQUE(TRIM(_xlfn.TEXTSPLIT(Table261425678[[#This Row],[Selection Options]:[Selection Options]],","))),,Q$11),"")</f>
        <v xml:space="preserve">
25%: Supported via customisation (source code changes)</v>
      </c>
      <c r="R43" s="29" t="str" cm="1">
        <f t="array" ref="R43">IFERROR(INDEX(_xlfn.UNIQUE(TRIM(_xlfn.TEXTSPLIT(Table261425678[[#This Row],[Selection Options]:[Selection Options]],","))),,R$11),"")</f>
        <v xml:space="preserve">
 0%: Not currently supported</v>
      </c>
      <c r="S43" s="29" t="str" cm="1">
        <f t="array" ref="S43">IFERROR(INDEX(_xlfn.UNIQUE(TRIM(_xlfn.TEXTSPLIT(Table261425678[[#This Row],[Selection Options]:[Selection Options]],","))),,S$11),"")</f>
        <v/>
      </c>
      <c r="T43" s="29" t="str" cm="1">
        <f t="array" ref="T43">IFERROR(INDEX(_xlfn.UNIQUE(TRIM(_xlfn.TEXTSPLIT(Table261425678[[#This Row],[Selection Options]:[Selection Options]],","))),,T$11),"")</f>
        <v/>
      </c>
      <c r="U43" s="29" t="str" cm="1">
        <f t="array" ref="U43">IFERROR(INDEX(_xlfn.UNIQUE(TRIM(_xlfn.TEXTSPLIT(Table261425678[[#This Row],[Selection Options]:[Selection Options]],","))),,U$11),"")</f>
        <v/>
      </c>
      <c r="V43" s="29" t="str" cm="1">
        <f t="array" ref="V43">IFERROR(INDEX(_xlfn.UNIQUE(TRIM(_xlfn.TEXTSPLIT(Table261425678[[#This Row],[Selection Options]:[Selection Options]],","))),,V$11),"")</f>
        <v/>
      </c>
      <c r="W43" s="29" t="str" cm="1">
        <f t="array" ref="W43">IFERROR(INDEX(_xlfn.UNIQUE(TRIM(_xlfn.TEXTSPLIT(Table261425678[[#This Row],[Selection Options]:[Selection Options]],","))),,W$11),"")</f>
        <v/>
      </c>
      <c r="X43" s="29" t="str" cm="1">
        <f t="array" ref="X43">IFERROR(INDEX(_xlfn.UNIQUE(TRIM(_xlfn.TEXTSPLIT(Table261425678[[#This Row],[Selection Options]:[Selection Options]],","))),,X$11),"")</f>
        <v/>
      </c>
      <c r="Y43" s="30" cm="1">
        <f t="array" ref="Y43">IF(Table261425678[[#This Row],[1]]="","",Table261425678[[#This Row],[Weight]:[Weight]]-(Table261425678[[#This Row],[Weight]:[Weight]]*((_xlfn.XMATCH(Table261425678[[#This Row],[1]],Table261425678[[#This Row],[1]:[11]],0))-1)/(COUNTA(Table261425678[[#This Row],[1]:[11]])-COUNTBLANK(Table261425678[[#This Row],[1]:[11]])-1)))</f>
        <v>5.3418803418803424E-4</v>
      </c>
      <c r="Z43" s="30" cm="1">
        <f t="array" ref="Z43">IF(Table261425678[[#This Row],[2]]="","",Table261425678[[#This Row],[Weight]:[Weight]]-(Table261425678[[#This Row],[Weight]:[Weight]]*((_xlfn.XMATCH(Table261425678[[#This Row],[2]],Table261425678[[#This Row],[1]:[11]],0))-1)/(COUNTA(Table261425678[[#This Row],[1]:[11]])-COUNTBLANK(Table261425678[[#This Row],[1]:[11]])-1)))</f>
        <v>4.0064102564102568E-4</v>
      </c>
      <c r="AA43" s="30" cm="1">
        <f t="array" ref="AA43">IF(Table261425678[[#This Row],[3]]="","",Table261425678[[#This Row],[Weight]:[Weight]]-(Table261425678[[#This Row],[Weight]:[Weight]]*((_xlfn.XMATCH(Table261425678[[#This Row],[3]],Table261425678[[#This Row],[1]:[11]],0))-1)/(COUNTA(Table261425678[[#This Row],[1]:[11]])-COUNTBLANK(Table261425678[[#This Row],[1]:[11]])-1)))</f>
        <v>2.6709401709401712E-4</v>
      </c>
      <c r="AB43" s="30" cm="1">
        <f t="array" ref="AB43">IF(Table261425678[[#This Row],[4]]="","",Table261425678[[#This Row],[Weight]:[Weight]]-(Table261425678[[#This Row],[Weight]:[Weight]]*((_xlfn.XMATCH(Table261425678[[#This Row],[4]],Table261425678[[#This Row],[1]:[11]],0))-1)/(COUNTA(Table261425678[[#This Row],[1]:[11]])-COUNTBLANK(Table261425678[[#This Row],[1]:[11]])-1)))</f>
        <v>1.3354700854700856E-4</v>
      </c>
      <c r="AC43" s="30" cm="1">
        <f t="array" ref="AC43">IF(Table261425678[[#This Row],[5]]="","",Table261425678[[#This Row],[Weight]:[Weight]]-(Table261425678[[#This Row],[Weight]:[Weight]]*((_xlfn.XMATCH(Table261425678[[#This Row],[5]],Table261425678[[#This Row],[1]:[11]],0))-1)/(COUNTA(Table261425678[[#This Row],[1]:[11]])-COUNTBLANK(Table261425678[[#This Row],[1]:[11]])-1)))</f>
        <v>0</v>
      </c>
      <c r="AD43" s="30" t="str" cm="1">
        <f t="array" ref="AD43">IF(Table261425678[[#This Row],[6]]="","",Table261425678[[#This Row],[Weight]:[Weight]]-(Table261425678[[#This Row],[Weight]:[Weight]]*((_xlfn.XMATCH(Table261425678[[#This Row],[6]],Table261425678[[#This Row],[1]:[11]],0))-1)/(COUNTA(Table261425678[[#This Row],[1]:[11]])-COUNTBLANK(Table261425678[[#This Row],[1]:[11]])-1)))</f>
        <v/>
      </c>
      <c r="AE43" s="30" t="str" cm="1">
        <f t="array" ref="AE43">IF(Table261425678[[#This Row],[7]]="","",Table261425678[[#This Row],[Weight]:[Weight]]-(Table261425678[[#This Row],[Weight]:[Weight]]*((_xlfn.XMATCH(Table261425678[[#This Row],[7]],Table261425678[[#This Row],[1]:[11]],0))-1)/(COUNTA(Table261425678[[#This Row],[1]:[11]])-COUNTBLANK(Table261425678[[#This Row],[1]:[11]])-1)))</f>
        <v/>
      </c>
      <c r="AF43" s="30" t="str" cm="1">
        <f t="array" ref="AF43">IF(Table261425678[[#This Row],[8]]="","",Table261425678[[#This Row],[Weight]:[Weight]]-(Table261425678[[#This Row],[Weight]:[Weight]]*((_xlfn.XMATCH(Table261425678[[#This Row],[8]],Table261425678[[#This Row],[1]:[11]],0))-1)/(COUNTA(Table261425678[[#This Row],[1]:[11]])-COUNTBLANK(Table261425678[[#This Row],[1]:[11]])-1)))</f>
        <v/>
      </c>
      <c r="AG43" s="30" t="str" cm="1">
        <f t="array" ref="AG43">IF(Table261425678[[#This Row],[9]]="","",Table261425678[[#This Row],[Weight]:[Weight]]-(Table261425678[[#This Row],[Weight]:[Weight]]*((_xlfn.XMATCH(Table261425678[[#This Row],[9]],Table261425678[[#This Row],[1]:[11]],0))-1)/(COUNTA(Table261425678[[#This Row],[1]:[11]])-COUNTBLANK(Table261425678[[#This Row],[1]:[11]])-1)))</f>
        <v/>
      </c>
      <c r="AH43" s="30" t="str" cm="1">
        <f t="array" ref="AH43">IF(Table261425678[[#This Row],[10]]="","",Table261425678[[#This Row],[Weight]:[Weight]]-(Table261425678[[#This Row],[Weight]:[Weight]]*((_xlfn.XMATCH(Table261425678[[#This Row],[10]],Table261425678[[#This Row],[1]:[11]],0))-1)/(COUNTA(Table261425678[[#This Row],[1]:[11]])-COUNTBLANK(Table261425678[[#This Row],[1]:[11]])-1)))</f>
        <v/>
      </c>
      <c r="AI43" s="30" t="str" cm="1">
        <f t="array" ref="AI43">IF(Table261425678[[#This Row],[11]]="","",Table261425678[[#This Row],[Weight]:[Weight]]-(Table261425678[[#This Row],[Weight]:[Weight]]*((_xlfn.XMATCH(Table261425678[[#This Row],[11]],Table261425678[[#This Row],[1]:[11]],0))-1)/(COUNTA(Table261425678[[#This Row],[1]:[11]])-COUNTBLANK(Table261425678[[#This Row],[1]:[11]])-1)))</f>
        <v/>
      </c>
    </row>
    <row r="44" spans="1:35" ht="108" x14ac:dyDescent="0.2">
      <c r="A44" s="20">
        <v>32</v>
      </c>
      <c r="B44" s="90" t="s">
        <v>479</v>
      </c>
      <c r="C44" s="119" t="s">
        <v>215</v>
      </c>
      <c r="D44" s="153"/>
      <c r="E44" s="153"/>
      <c r="F44" s="121" t="s">
        <v>188</v>
      </c>
      <c r="G44" s="148" cm="1">
        <f t="array" ref="G44">_xlfn.IFS(F44="","",F44="No interest",0,F44="Nice to have",1,F44="Useful",2,F44="Important",3,F44="Very important",4,F44="Critical",5,F44="Show stopper",6)</f>
        <v>5</v>
      </c>
      <c r="H44" s="149">
        <f t="shared" si="1"/>
        <v>5.3418803418803424E-4</v>
      </c>
      <c r="I44" s="150" t="s">
        <v>321</v>
      </c>
      <c r="J44" s="35" t="str" cm="1">
        <f t="array" ref="J44">_xlfn.TEXTJOIN(","&amp;CHAR(10),,TEXT(Table261425678[[#This Row],[12]:[22]],"0,00%"))</f>
        <v>0,00%,
0,00%,
0,00%,
0,00%,
0,00%</v>
      </c>
      <c r="K44" s="26"/>
      <c r="L44" s="27" t="e">
        <f>H44-(H44*((MATCH(Table261425678[[#This Row],[Evaluators Response (SELECT)]],Table261425678[[#This Row],[1]:[11]],0)-1)/(COUNTA(Table261425678[[#This Row],[1]:[11]])-COUNTBLANK(Table261425678[[#This Row],[1]:[11]])-1)))</f>
        <v>#N/A</v>
      </c>
      <c r="M44" s="28"/>
      <c r="N44" s="29" t="str" cm="1">
        <f t="array" ref="N44">IFERROR(INDEX(_xlfn.UNIQUE(TRIM(_xlfn.TEXTSPLIT(Table261425678[[#This Row],[Selection Options]:[Selection Options]],","))),,N$11),"")</f>
        <v>100%: Supported as delivered "out of the box"</v>
      </c>
      <c r="O44" s="29" t="str" cm="1">
        <f t="array" ref="O44">IFERROR(INDEX(_xlfn.UNIQUE(TRIM(_xlfn.TEXTSPLIT(Table261425678[[#This Row],[Selection Options]:[Selection Options]],","))),,O$11),"")</f>
        <v xml:space="preserve">
75%: Supported via modifications (config)</v>
      </c>
      <c r="P44" s="29" t="str" cm="1">
        <f t="array" ref="P44">IFERROR(INDEX(_xlfn.UNIQUE(TRIM(_xlfn.TEXTSPLIT(Table261425678[[#This Row],[Selection Options]:[Selection Options]],","))),,P$11),"")</f>
        <v xml:space="preserve">
50%: Supported via a third party solution</v>
      </c>
      <c r="Q44" s="29" t="str" cm="1">
        <f t="array" ref="Q44">IFERROR(INDEX(_xlfn.UNIQUE(TRIM(_xlfn.TEXTSPLIT(Table261425678[[#This Row],[Selection Options]:[Selection Options]],","))),,Q$11),"")</f>
        <v xml:space="preserve">
25%: Supported via customisation (source code changes)</v>
      </c>
      <c r="R44" s="29" t="str" cm="1">
        <f t="array" ref="R44">IFERROR(INDEX(_xlfn.UNIQUE(TRIM(_xlfn.TEXTSPLIT(Table261425678[[#This Row],[Selection Options]:[Selection Options]],","))),,R$11),"")</f>
        <v xml:space="preserve">
 0%: Not currently supported</v>
      </c>
      <c r="S44" s="29" t="str" cm="1">
        <f t="array" ref="S44">IFERROR(INDEX(_xlfn.UNIQUE(TRIM(_xlfn.TEXTSPLIT(Table261425678[[#This Row],[Selection Options]:[Selection Options]],","))),,S$11),"")</f>
        <v/>
      </c>
      <c r="T44" s="29" t="str" cm="1">
        <f t="array" ref="T44">IFERROR(INDEX(_xlfn.UNIQUE(TRIM(_xlfn.TEXTSPLIT(Table261425678[[#This Row],[Selection Options]:[Selection Options]],","))),,T$11),"")</f>
        <v/>
      </c>
      <c r="U44" s="29" t="str" cm="1">
        <f t="array" ref="U44">IFERROR(INDEX(_xlfn.UNIQUE(TRIM(_xlfn.TEXTSPLIT(Table261425678[[#This Row],[Selection Options]:[Selection Options]],","))),,U$11),"")</f>
        <v/>
      </c>
      <c r="V44" s="29" t="str" cm="1">
        <f t="array" ref="V44">IFERROR(INDEX(_xlfn.UNIQUE(TRIM(_xlfn.TEXTSPLIT(Table261425678[[#This Row],[Selection Options]:[Selection Options]],","))),,V$11),"")</f>
        <v/>
      </c>
      <c r="W44" s="29" t="str" cm="1">
        <f t="array" ref="W44">IFERROR(INDEX(_xlfn.UNIQUE(TRIM(_xlfn.TEXTSPLIT(Table261425678[[#This Row],[Selection Options]:[Selection Options]],","))),,W$11),"")</f>
        <v/>
      </c>
      <c r="X44" s="29" t="str" cm="1">
        <f t="array" ref="X44">IFERROR(INDEX(_xlfn.UNIQUE(TRIM(_xlfn.TEXTSPLIT(Table261425678[[#This Row],[Selection Options]:[Selection Options]],","))),,X$11),"")</f>
        <v/>
      </c>
      <c r="Y44" s="30" cm="1">
        <f t="array" ref="Y44">IF(Table261425678[[#This Row],[1]]="","",Table261425678[[#This Row],[Weight]:[Weight]]-(Table261425678[[#This Row],[Weight]:[Weight]]*((_xlfn.XMATCH(Table261425678[[#This Row],[1]],Table261425678[[#This Row],[1]:[11]],0))-1)/(COUNTA(Table261425678[[#This Row],[1]:[11]])-COUNTBLANK(Table261425678[[#This Row],[1]:[11]])-1)))</f>
        <v>5.3418803418803424E-4</v>
      </c>
      <c r="Z44" s="30" cm="1">
        <f t="array" ref="Z44">IF(Table261425678[[#This Row],[2]]="","",Table261425678[[#This Row],[Weight]:[Weight]]-(Table261425678[[#This Row],[Weight]:[Weight]]*((_xlfn.XMATCH(Table261425678[[#This Row],[2]],Table261425678[[#This Row],[1]:[11]],0))-1)/(COUNTA(Table261425678[[#This Row],[1]:[11]])-COUNTBLANK(Table261425678[[#This Row],[1]:[11]])-1)))</f>
        <v>4.0064102564102568E-4</v>
      </c>
      <c r="AA44" s="30" cm="1">
        <f t="array" ref="AA44">IF(Table261425678[[#This Row],[3]]="","",Table261425678[[#This Row],[Weight]:[Weight]]-(Table261425678[[#This Row],[Weight]:[Weight]]*((_xlfn.XMATCH(Table261425678[[#This Row],[3]],Table261425678[[#This Row],[1]:[11]],0))-1)/(COUNTA(Table261425678[[#This Row],[1]:[11]])-COUNTBLANK(Table261425678[[#This Row],[1]:[11]])-1)))</f>
        <v>2.6709401709401712E-4</v>
      </c>
      <c r="AB44" s="30" cm="1">
        <f t="array" ref="AB44">IF(Table261425678[[#This Row],[4]]="","",Table261425678[[#This Row],[Weight]:[Weight]]-(Table261425678[[#This Row],[Weight]:[Weight]]*((_xlfn.XMATCH(Table261425678[[#This Row],[4]],Table261425678[[#This Row],[1]:[11]],0))-1)/(COUNTA(Table261425678[[#This Row],[1]:[11]])-COUNTBLANK(Table261425678[[#This Row],[1]:[11]])-1)))</f>
        <v>1.3354700854700856E-4</v>
      </c>
      <c r="AC44" s="30" cm="1">
        <f t="array" ref="AC44">IF(Table261425678[[#This Row],[5]]="","",Table261425678[[#This Row],[Weight]:[Weight]]-(Table261425678[[#This Row],[Weight]:[Weight]]*((_xlfn.XMATCH(Table261425678[[#This Row],[5]],Table261425678[[#This Row],[1]:[11]],0))-1)/(COUNTA(Table261425678[[#This Row],[1]:[11]])-COUNTBLANK(Table261425678[[#This Row],[1]:[11]])-1)))</f>
        <v>0</v>
      </c>
      <c r="AD44" s="30" t="str" cm="1">
        <f t="array" ref="AD44">IF(Table261425678[[#This Row],[6]]="","",Table261425678[[#This Row],[Weight]:[Weight]]-(Table261425678[[#This Row],[Weight]:[Weight]]*((_xlfn.XMATCH(Table261425678[[#This Row],[6]],Table261425678[[#This Row],[1]:[11]],0))-1)/(COUNTA(Table261425678[[#This Row],[1]:[11]])-COUNTBLANK(Table261425678[[#This Row],[1]:[11]])-1)))</f>
        <v/>
      </c>
      <c r="AE44" s="30" t="str" cm="1">
        <f t="array" ref="AE44">IF(Table261425678[[#This Row],[7]]="","",Table261425678[[#This Row],[Weight]:[Weight]]-(Table261425678[[#This Row],[Weight]:[Weight]]*((_xlfn.XMATCH(Table261425678[[#This Row],[7]],Table261425678[[#This Row],[1]:[11]],0))-1)/(COUNTA(Table261425678[[#This Row],[1]:[11]])-COUNTBLANK(Table261425678[[#This Row],[1]:[11]])-1)))</f>
        <v/>
      </c>
      <c r="AF44" s="30" t="str" cm="1">
        <f t="array" ref="AF44">IF(Table261425678[[#This Row],[8]]="","",Table261425678[[#This Row],[Weight]:[Weight]]-(Table261425678[[#This Row],[Weight]:[Weight]]*((_xlfn.XMATCH(Table261425678[[#This Row],[8]],Table261425678[[#This Row],[1]:[11]],0))-1)/(COUNTA(Table261425678[[#This Row],[1]:[11]])-COUNTBLANK(Table261425678[[#This Row],[1]:[11]])-1)))</f>
        <v/>
      </c>
      <c r="AG44" s="30" t="str" cm="1">
        <f t="array" ref="AG44">IF(Table261425678[[#This Row],[9]]="","",Table261425678[[#This Row],[Weight]:[Weight]]-(Table261425678[[#This Row],[Weight]:[Weight]]*((_xlfn.XMATCH(Table261425678[[#This Row],[9]],Table261425678[[#This Row],[1]:[11]],0))-1)/(COUNTA(Table261425678[[#This Row],[1]:[11]])-COUNTBLANK(Table261425678[[#This Row],[1]:[11]])-1)))</f>
        <v/>
      </c>
      <c r="AH44" s="30" t="str" cm="1">
        <f t="array" ref="AH44">IF(Table261425678[[#This Row],[10]]="","",Table261425678[[#This Row],[Weight]:[Weight]]-(Table261425678[[#This Row],[Weight]:[Weight]]*((_xlfn.XMATCH(Table261425678[[#This Row],[10]],Table261425678[[#This Row],[1]:[11]],0))-1)/(COUNTA(Table261425678[[#This Row],[1]:[11]])-COUNTBLANK(Table261425678[[#This Row],[1]:[11]])-1)))</f>
        <v/>
      </c>
      <c r="AI44" s="30" t="str" cm="1">
        <f t="array" ref="AI44">IF(Table261425678[[#This Row],[11]]="","",Table261425678[[#This Row],[Weight]:[Weight]]-(Table261425678[[#This Row],[Weight]:[Weight]]*((_xlfn.XMATCH(Table261425678[[#This Row],[11]],Table261425678[[#This Row],[1]:[11]],0))-1)/(COUNTA(Table261425678[[#This Row],[1]:[11]])-COUNTBLANK(Table261425678[[#This Row],[1]:[11]])-1)))</f>
        <v/>
      </c>
    </row>
    <row r="45" spans="1:35" ht="108" x14ac:dyDescent="0.2">
      <c r="A45" s="20">
        <v>33</v>
      </c>
      <c r="B45" s="90" t="s">
        <v>480</v>
      </c>
      <c r="C45" s="119" t="s">
        <v>215</v>
      </c>
      <c r="D45" s="153"/>
      <c r="E45" s="153"/>
      <c r="F45" s="121" t="s">
        <v>60</v>
      </c>
      <c r="G45" s="148" cm="1">
        <f t="array" ref="G45">_xlfn.IFS(F45="","",F45="No interest",0,F45="Nice to have",1,F45="Useful",2,F45="Important",3,F45="Very important",4,F45="Critical",5,F45="Show stopper",6)</f>
        <v>6</v>
      </c>
      <c r="H45" s="149">
        <f t="shared" si="1"/>
        <v>6.4102564102564103E-4</v>
      </c>
      <c r="I45" s="150" t="s">
        <v>321</v>
      </c>
      <c r="J45" s="35" t="str" cm="1">
        <f t="array" ref="J45">_xlfn.TEXTJOIN(","&amp;CHAR(10),,TEXT(Table261425678[[#This Row],[12]:[22]],"0,00%"))</f>
        <v>0,00%,
0,00%,
0,00%,
0,00%,
0,00%</v>
      </c>
      <c r="K45" s="26"/>
      <c r="L45" s="27" t="e">
        <f>H45-(H45*((MATCH(Table261425678[[#This Row],[Evaluators Response (SELECT)]],Table261425678[[#This Row],[1]:[11]],0)-1)/(COUNTA(Table261425678[[#This Row],[1]:[11]])-COUNTBLANK(Table261425678[[#This Row],[1]:[11]])-1)))</f>
        <v>#N/A</v>
      </c>
      <c r="M45" s="28"/>
      <c r="N45" s="29" t="str" cm="1">
        <f t="array" ref="N45">IFERROR(INDEX(_xlfn.UNIQUE(TRIM(_xlfn.TEXTSPLIT(Table261425678[[#This Row],[Selection Options]:[Selection Options]],","))),,N$11),"")</f>
        <v>100%: Supported as delivered "out of the box"</v>
      </c>
      <c r="O45" s="29" t="str" cm="1">
        <f t="array" ref="O45">IFERROR(INDEX(_xlfn.UNIQUE(TRIM(_xlfn.TEXTSPLIT(Table261425678[[#This Row],[Selection Options]:[Selection Options]],","))),,O$11),"")</f>
        <v xml:space="preserve">
75%: Supported via modifications (config)</v>
      </c>
      <c r="P45" s="29" t="str" cm="1">
        <f t="array" ref="P45">IFERROR(INDEX(_xlfn.UNIQUE(TRIM(_xlfn.TEXTSPLIT(Table261425678[[#This Row],[Selection Options]:[Selection Options]],","))),,P$11),"")</f>
        <v xml:space="preserve">
50%: Supported via a third party solution</v>
      </c>
      <c r="Q45" s="29" t="str" cm="1">
        <f t="array" ref="Q45">IFERROR(INDEX(_xlfn.UNIQUE(TRIM(_xlfn.TEXTSPLIT(Table261425678[[#This Row],[Selection Options]:[Selection Options]],","))),,Q$11),"")</f>
        <v xml:space="preserve">
25%: Supported via customisation (source code changes)</v>
      </c>
      <c r="R45" s="29" t="str" cm="1">
        <f t="array" ref="R45">IFERROR(INDEX(_xlfn.UNIQUE(TRIM(_xlfn.TEXTSPLIT(Table261425678[[#This Row],[Selection Options]:[Selection Options]],","))),,R$11),"")</f>
        <v xml:space="preserve">
 0%: Not currently supported</v>
      </c>
      <c r="S45" s="29" t="str" cm="1">
        <f t="array" ref="S45">IFERROR(INDEX(_xlfn.UNIQUE(TRIM(_xlfn.TEXTSPLIT(Table261425678[[#This Row],[Selection Options]:[Selection Options]],","))),,S$11),"")</f>
        <v/>
      </c>
      <c r="T45" s="29" t="str" cm="1">
        <f t="array" ref="T45">IFERROR(INDEX(_xlfn.UNIQUE(TRIM(_xlfn.TEXTSPLIT(Table261425678[[#This Row],[Selection Options]:[Selection Options]],","))),,T$11),"")</f>
        <v/>
      </c>
      <c r="U45" s="29" t="str" cm="1">
        <f t="array" ref="U45">IFERROR(INDEX(_xlfn.UNIQUE(TRIM(_xlfn.TEXTSPLIT(Table261425678[[#This Row],[Selection Options]:[Selection Options]],","))),,U$11),"")</f>
        <v/>
      </c>
      <c r="V45" s="29" t="str" cm="1">
        <f t="array" ref="V45">IFERROR(INDEX(_xlfn.UNIQUE(TRIM(_xlfn.TEXTSPLIT(Table261425678[[#This Row],[Selection Options]:[Selection Options]],","))),,V$11),"")</f>
        <v/>
      </c>
      <c r="W45" s="29" t="str" cm="1">
        <f t="array" ref="W45">IFERROR(INDEX(_xlfn.UNIQUE(TRIM(_xlfn.TEXTSPLIT(Table261425678[[#This Row],[Selection Options]:[Selection Options]],","))),,W$11),"")</f>
        <v/>
      </c>
      <c r="X45" s="29" t="str" cm="1">
        <f t="array" ref="X45">IFERROR(INDEX(_xlfn.UNIQUE(TRIM(_xlfn.TEXTSPLIT(Table261425678[[#This Row],[Selection Options]:[Selection Options]],","))),,X$11),"")</f>
        <v/>
      </c>
      <c r="Y45" s="30" cm="1">
        <f t="array" ref="Y45">IF(Table261425678[[#This Row],[1]]="","",Table261425678[[#This Row],[Weight]:[Weight]]-(Table261425678[[#This Row],[Weight]:[Weight]]*((_xlfn.XMATCH(Table261425678[[#This Row],[1]],Table261425678[[#This Row],[1]:[11]],0))-1)/(COUNTA(Table261425678[[#This Row],[1]:[11]])-COUNTBLANK(Table261425678[[#This Row],[1]:[11]])-1)))</f>
        <v>6.4102564102564103E-4</v>
      </c>
      <c r="Z45" s="30" cm="1">
        <f t="array" ref="Z45">IF(Table261425678[[#This Row],[2]]="","",Table261425678[[#This Row],[Weight]:[Weight]]-(Table261425678[[#This Row],[Weight]:[Weight]]*((_xlfn.XMATCH(Table261425678[[#This Row],[2]],Table261425678[[#This Row],[1]:[11]],0))-1)/(COUNTA(Table261425678[[#This Row],[1]:[11]])-COUNTBLANK(Table261425678[[#This Row],[1]:[11]])-1)))</f>
        <v>4.807692307692308E-4</v>
      </c>
      <c r="AA45" s="30" cm="1">
        <f t="array" ref="AA45">IF(Table261425678[[#This Row],[3]]="","",Table261425678[[#This Row],[Weight]:[Weight]]-(Table261425678[[#This Row],[Weight]:[Weight]]*((_xlfn.XMATCH(Table261425678[[#This Row],[3]],Table261425678[[#This Row],[1]:[11]],0))-1)/(COUNTA(Table261425678[[#This Row],[1]:[11]])-COUNTBLANK(Table261425678[[#This Row],[1]:[11]])-1)))</f>
        <v>3.2051282051282051E-4</v>
      </c>
      <c r="AB45" s="30" cm="1">
        <f t="array" ref="AB45">IF(Table261425678[[#This Row],[4]]="","",Table261425678[[#This Row],[Weight]:[Weight]]-(Table261425678[[#This Row],[Weight]:[Weight]]*((_xlfn.XMATCH(Table261425678[[#This Row],[4]],Table261425678[[#This Row],[1]:[11]],0))-1)/(COUNTA(Table261425678[[#This Row],[1]:[11]])-COUNTBLANK(Table261425678[[#This Row],[1]:[11]])-1)))</f>
        <v>1.6025641025641023E-4</v>
      </c>
      <c r="AC45" s="30" cm="1">
        <f t="array" ref="AC45">IF(Table261425678[[#This Row],[5]]="","",Table261425678[[#This Row],[Weight]:[Weight]]-(Table261425678[[#This Row],[Weight]:[Weight]]*((_xlfn.XMATCH(Table261425678[[#This Row],[5]],Table261425678[[#This Row],[1]:[11]],0))-1)/(COUNTA(Table261425678[[#This Row],[1]:[11]])-COUNTBLANK(Table261425678[[#This Row],[1]:[11]])-1)))</f>
        <v>0</v>
      </c>
      <c r="AD45" s="30" t="str" cm="1">
        <f t="array" ref="AD45">IF(Table261425678[[#This Row],[6]]="","",Table261425678[[#This Row],[Weight]:[Weight]]-(Table261425678[[#This Row],[Weight]:[Weight]]*((_xlfn.XMATCH(Table261425678[[#This Row],[6]],Table261425678[[#This Row],[1]:[11]],0))-1)/(COUNTA(Table261425678[[#This Row],[1]:[11]])-COUNTBLANK(Table261425678[[#This Row],[1]:[11]])-1)))</f>
        <v/>
      </c>
      <c r="AE45" s="30" t="str" cm="1">
        <f t="array" ref="AE45">IF(Table261425678[[#This Row],[7]]="","",Table261425678[[#This Row],[Weight]:[Weight]]-(Table261425678[[#This Row],[Weight]:[Weight]]*((_xlfn.XMATCH(Table261425678[[#This Row],[7]],Table261425678[[#This Row],[1]:[11]],0))-1)/(COUNTA(Table261425678[[#This Row],[1]:[11]])-COUNTBLANK(Table261425678[[#This Row],[1]:[11]])-1)))</f>
        <v/>
      </c>
      <c r="AF45" s="30" t="str" cm="1">
        <f t="array" ref="AF45">IF(Table261425678[[#This Row],[8]]="","",Table261425678[[#This Row],[Weight]:[Weight]]-(Table261425678[[#This Row],[Weight]:[Weight]]*((_xlfn.XMATCH(Table261425678[[#This Row],[8]],Table261425678[[#This Row],[1]:[11]],0))-1)/(COUNTA(Table261425678[[#This Row],[1]:[11]])-COUNTBLANK(Table261425678[[#This Row],[1]:[11]])-1)))</f>
        <v/>
      </c>
      <c r="AG45" s="30" t="str" cm="1">
        <f t="array" ref="AG45">IF(Table261425678[[#This Row],[9]]="","",Table261425678[[#This Row],[Weight]:[Weight]]-(Table261425678[[#This Row],[Weight]:[Weight]]*((_xlfn.XMATCH(Table261425678[[#This Row],[9]],Table261425678[[#This Row],[1]:[11]],0))-1)/(COUNTA(Table261425678[[#This Row],[1]:[11]])-COUNTBLANK(Table261425678[[#This Row],[1]:[11]])-1)))</f>
        <v/>
      </c>
      <c r="AH45" s="30" t="str" cm="1">
        <f t="array" ref="AH45">IF(Table261425678[[#This Row],[10]]="","",Table261425678[[#This Row],[Weight]:[Weight]]-(Table261425678[[#This Row],[Weight]:[Weight]]*((_xlfn.XMATCH(Table261425678[[#This Row],[10]],Table261425678[[#This Row],[1]:[11]],0))-1)/(COUNTA(Table261425678[[#This Row],[1]:[11]])-COUNTBLANK(Table261425678[[#This Row],[1]:[11]])-1)))</f>
        <v/>
      </c>
      <c r="AI45" s="30" t="str" cm="1">
        <f t="array" ref="AI45">IF(Table261425678[[#This Row],[11]]="","",Table261425678[[#This Row],[Weight]:[Weight]]-(Table261425678[[#This Row],[Weight]:[Weight]]*((_xlfn.XMATCH(Table261425678[[#This Row],[11]],Table261425678[[#This Row],[1]:[11]],0))-1)/(COUNTA(Table261425678[[#This Row],[1]:[11]])-COUNTBLANK(Table261425678[[#This Row],[1]:[11]])-1)))</f>
        <v/>
      </c>
    </row>
    <row r="46" spans="1:35" ht="108" x14ac:dyDescent="0.2">
      <c r="A46" s="20">
        <v>34</v>
      </c>
      <c r="B46" s="90" t="s">
        <v>481</v>
      </c>
      <c r="C46" s="119" t="s">
        <v>215</v>
      </c>
      <c r="D46" s="153"/>
      <c r="E46" s="153"/>
      <c r="F46" s="121" t="s">
        <v>188</v>
      </c>
      <c r="G46" s="148" cm="1">
        <f t="array" ref="G46">_xlfn.IFS(F46="","",F46="No interest",0,F46="Nice to have",1,F46="Useful",2,F46="Important",3,F46="Very important",4,F46="Critical",5,F46="Show stopper",6)</f>
        <v>5</v>
      </c>
      <c r="H46" s="149">
        <f t="shared" si="1"/>
        <v>5.3418803418803424E-4</v>
      </c>
      <c r="I46" s="150" t="s">
        <v>321</v>
      </c>
      <c r="J46" s="35" t="str" cm="1">
        <f t="array" ref="J46">_xlfn.TEXTJOIN(","&amp;CHAR(10),,TEXT(Table261425678[[#This Row],[12]:[22]],"0,00%"))</f>
        <v>0,00%,
0,00%,
0,00%,
0,00%,
0,00%</v>
      </c>
      <c r="K46" s="26"/>
      <c r="L46" s="27" t="e">
        <f>H46-(H46*((MATCH(Table261425678[[#This Row],[Evaluators Response (SELECT)]],Table261425678[[#This Row],[1]:[11]],0)-1)/(COUNTA(Table261425678[[#This Row],[1]:[11]])-COUNTBLANK(Table261425678[[#This Row],[1]:[11]])-1)))</f>
        <v>#N/A</v>
      </c>
      <c r="M46" s="28"/>
      <c r="N46" s="29" t="str" cm="1">
        <f t="array" ref="N46">IFERROR(INDEX(_xlfn.UNIQUE(TRIM(_xlfn.TEXTSPLIT(Table261425678[[#This Row],[Selection Options]:[Selection Options]],","))),,N$11),"")</f>
        <v>100%: Supported as delivered "out of the box"</v>
      </c>
      <c r="O46" s="29" t="str" cm="1">
        <f t="array" ref="O46">IFERROR(INDEX(_xlfn.UNIQUE(TRIM(_xlfn.TEXTSPLIT(Table261425678[[#This Row],[Selection Options]:[Selection Options]],","))),,O$11),"")</f>
        <v xml:space="preserve">
75%: Supported via modifications (config)</v>
      </c>
      <c r="P46" s="29" t="str" cm="1">
        <f t="array" ref="P46">IFERROR(INDEX(_xlfn.UNIQUE(TRIM(_xlfn.TEXTSPLIT(Table261425678[[#This Row],[Selection Options]:[Selection Options]],","))),,P$11),"")</f>
        <v xml:space="preserve">
50%: Supported via a third party solution</v>
      </c>
      <c r="Q46" s="29" t="str" cm="1">
        <f t="array" ref="Q46">IFERROR(INDEX(_xlfn.UNIQUE(TRIM(_xlfn.TEXTSPLIT(Table261425678[[#This Row],[Selection Options]:[Selection Options]],","))),,Q$11),"")</f>
        <v xml:space="preserve">
25%: Supported via customisation (source code changes)</v>
      </c>
      <c r="R46" s="29" t="str" cm="1">
        <f t="array" ref="R46">IFERROR(INDEX(_xlfn.UNIQUE(TRIM(_xlfn.TEXTSPLIT(Table261425678[[#This Row],[Selection Options]:[Selection Options]],","))),,R$11),"")</f>
        <v xml:space="preserve">
 0%: Not currently supported</v>
      </c>
      <c r="S46" s="29" t="str" cm="1">
        <f t="array" ref="S46">IFERROR(INDEX(_xlfn.UNIQUE(TRIM(_xlfn.TEXTSPLIT(Table261425678[[#This Row],[Selection Options]:[Selection Options]],","))),,S$11),"")</f>
        <v/>
      </c>
      <c r="T46" s="29" t="str" cm="1">
        <f t="array" ref="T46">IFERROR(INDEX(_xlfn.UNIQUE(TRIM(_xlfn.TEXTSPLIT(Table261425678[[#This Row],[Selection Options]:[Selection Options]],","))),,T$11),"")</f>
        <v/>
      </c>
      <c r="U46" s="29" t="str" cm="1">
        <f t="array" ref="U46">IFERROR(INDEX(_xlfn.UNIQUE(TRIM(_xlfn.TEXTSPLIT(Table261425678[[#This Row],[Selection Options]:[Selection Options]],","))),,U$11),"")</f>
        <v/>
      </c>
      <c r="V46" s="29" t="str" cm="1">
        <f t="array" ref="V46">IFERROR(INDEX(_xlfn.UNIQUE(TRIM(_xlfn.TEXTSPLIT(Table261425678[[#This Row],[Selection Options]:[Selection Options]],","))),,V$11),"")</f>
        <v/>
      </c>
      <c r="W46" s="29" t="str" cm="1">
        <f t="array" ref="W46">IFERROR(INDEX(_xlfn.UNIQUE(TRIM(_xlfn.TEXTSPLIT(Table261425678[[#This Row],[Selection Options]:[Selection Options]],","))),,W$11),"")</f>
        <v/>
      </c>
      <c r="X46" s="29" t="str" cm="1">
        <f t="array" ref="X46">IFERROR(INDEX(_xlfn.UNIQUE(TRIM(_xlfn.TEXTSPLIT(Table261425678[[#This Row],[Selection Options]:[Selection Options]],","))),,X$11),"")</f>
        <v/>
      </c>
      <c r="Y46" s="30" cm="1">
        <f t="array" ref="Y46">IF(Table261425678[[#This Row],[1]]="","",Table261425678[[#This Row],[Weight]:[Weight]]-(Table261425678[[#This Row],[Weight]:[Weight]]*((_xlfn.XMATCH(Table261425678[[#This Row],[1]],Table261425678[[#This Row],[1]:[11]],0))-1)/(COUNTA(Table261425678[[#This Row],[1]:[11]])-COUNTBLANK(Table261425678[[#This Row],[1]:[11]])-1)))</f>
        <v>5.3418803418803424E-4</v>
      </c>
      <c r="Z46" s="30" cm="1">
        <f t="array" ref="Z46">IF(Table261425678[[#This Row],[2]]="","",Table261425678[[#This Row],[Weight]:[Weight]]-(Table261425678[[#This Row],[Weight]:[Weight]]*((_xlfn.XMATCH(Table261425678[[#This Row],[2]],Table261425678[[#This Row],[1]:[11]],0))-1)/(COUNTA(Table261425678[[#This Row],[1]:[11]])-COUNTBLANK(Table261425678[[#This Row],[1]:[11]])-1)))</f>
        <v>4.0064102564102568E-4</v>
      </c>
      <c r="AA46" s="30" cm="1">
        <f t="array" ref="AA46">IF(Table261425678[[#This Row],[3]]="","",Table261425678[[#This Row],[Weight]:[Weight]]-(Table261425678[[#This Row],[Weight]:[Weight]]*((_xlfn.XMATCH(Table261425678[[#This Row],[3]],Table261425678[[#This Row],[1]:[11]],0))-1)/(COUNTA(Table261425678[[#This Row],[1]:[11]])-COUNTBLANK(Table261425678[[#This Row],[1]:[11]])-1)))</f>
        <v>2.6709401709401712E-4</v>
      </c>
      <c r="AB46" s="30" cm="1">
        <f t="array" ref="AB46">IF(Table261425678[[#This Row],[4]]="","",Table261425678[[#This Row],[Weight]:[Weight]]-(Table261425678[[#This Row],[Weight]:[Weight]]*((_xlfn.XMATCH(Table261425678[[#This Row],[4]],Table261425678[[#This Row],[1]:[11]],0))-1)/(COUNTA(Table261425678[[#This Row],[1]:[11]])-COUNTBLANK(Table261425678[[#This Row],[1]:[11]])-1)))</f>
        <v>1.3354700854700856E-4</v>
      </c>
      <c r="AC46" s="30" cm="1">
        <f t="array" ref="AC46">IF(Table261425678[[#This Row],[5]]="","",Table261425678[[#This Row],[Weight]:[Weight]]-(Table261425678[[#This Row],[Weight]:[Weight]]*((_xlfn.XMATCH(Table261425678[[#This Row],[5]],Table261425678[[#This Row],[1]:[11]],0))-1)/(COUNTA(Table261425678[[#This Row],[1]:[11]])-COUNTBLANK(Table261425678[[#This Row],[1]:[11]])-1)))</f>
        <v>0</v>
      </c>
      <c r="AD46" s="30" t="str" cm="1">
        <f t="array" ref="AD46">IF(Table261425678[[#This Row],[6]]="","",Table261425678[[#This Row],[Weight]:[Weight]]-(Table261425678[[#This Row],[Weight]:[Weight]]*((_xlfn.XMATCH(Table261425678[[#This Row],[6]],Table261425678[[#This Row],[1]:[11]],0))-1)/(COUNTA(Table261425678[[#This Row],[1]:[11]])-COUNTBLANK(Table261425678[[#This Row],[1]:[11]])-1)))</f>
        <v/>
      </c>
      <c r="AE46" s="30" t="str" cm="1">
        <f t="array" ref="AE46">IF(Table261425678[[#This Row],[7]]="","",Table261425678[[#This Row],[Weight]:[Weight]]-(Table261425678[[#This Row],[Weight]:[Weight]]*((_xlfn.XMATCH(Table261425678[[#This Row],[7]],Table261425678[[#This Row],[1]:[11]],0))-1)/(COUNTA(Table261425678[[#This Row],[1]:[11]])-COUNTBLANK(Table261425678[[#This Row],[1]:[11]])-1)))</f>
        <v/>
      </c>
      <c r="AF46" s="30" t="str" cm="1">
        <f t="array" ref="AF46">IF(Table261425678[[#This Row],[8]]="","",Table261425678[[#This Row],[Weight]:[Weight]]-(Table261425678[[#This Row],[Weight]:[Weight]]*((_xlfn.XMATCH(Table261425678[[#This Row],[8]],Table261425678[[#This Row],[1]:[11]],0))-1)/(COUNTA(Table261425678[[#This Row],[1]:[11]])-COUNTBLANK(Table261425678[[#This Row],[1]:[11]])-1)))</f>
        <v/>
      </c>
      <c r="AG46" s="30" t="str" cm="1">
        <f t="array" ref="AG46">IF(Table261425678[[#This Row],[9]]="","",Table261425678[[#This Row],[Weight]:[Weight]]-(Table261425678[[#This Row],[Weight]:[Weight]]*((_xlfn.XMATCH(Table261425678[[#This Row],[9]],Table261425678[[#This Row],[1]:[11]],0))-1)/(COUNTA(Table261425678[[#This Row],[1]:[11]])-COUNTBLANK(Table261425678[[#This Row],[1]:[11]])-1)))</f>
        <v/>
      </c>
      <c r="AH46" s="30" t="str" cm="1">
        <f t="array" ref="AH46">IF(Table261425678[[#This Row],[10]]="","",Table261425678[[#This Row],[Weight]:[Weight]]-(Table261425678[[#This Row],[Weight]:[Weight]]*((_xlfn.XMATCH(Table261425678[[#This Row],[10]],Table261425678[[#This Row],[1]:[11]],0))-1)/(COUNTA(Table261425678[[#This Row],[1]:[11]])-COUNTBLANK(Table261425678[[#This Row],[1]:[11]])-1)))</f>
        <v/>
      </c>
      <c r="AI46" s="30" t="str" cm="1">
        <f t="array" ref="AI46">IF(Table261425678[[#This Row],[11]]="","",Table261425678[[#This Row],[Weight]:[Weight]]-(Table261425678[[#This Row],[Weight]:[Weight]]*((_xlfn.XMATCH(Table261425678[[#This Row],[11]],Table261425678[[#This Row],[1]:[11]],0))-1)/(COUNTA(Table261425678[[#This Row],[1]:[11]])-COUNTBLANK(Table261425678[[#This Row],[1]:[11]])-1)))</f>
        <v/>
      </c>
    </row>
    <row r="47" spans="1:35" ht="108" x14ac:dyDescent="0.2">
      <c r="A47" s="20">
        <v>35</v>
      </c>
      <c r="B47" s="90" t="s">
        <v>482</v>
      </c>
      <c r="C47" s="119" t="s">
        <v>215</v>
      </c>
      <c r="D47" s="153"/>
      <c r="E47" s="153"/>
      <c r="F47" s="121" t="s">
        <v>188</v>
      </c>
      <c r="G47" s="148" cm="1">
        <f t="array" ref="G47">_xlfn.IFS(F47="","",F47="No interest",0,F47="Nice to have",1,F47="Useful",2,F47="Important",3,F47="Very important",4,F47="Critical",5,F47="Show stopper",6)</f>
        <v>5</v>
      </c>
      <c r="H47" s="149">
        <f t="shared" si="1"/>
        <v>5.3418803418803424E-4</v>
      </c>
      <c r="I47" s="150" t="s">
        <v>321</v>
      </c>
      <c r="J47" s="35" t="str" cm="1">
        <f t="array" ref="J47">_xlfn.TEXTJOIN(","&amp;CHAR(10),,TEXT(Table261425678[[#This Row],[12]:[22]],"0,00%"))</f>
        <v>0,00%,
0,00%,
0,00%,
0,00%,
0,00%</v>
      </c>
      <c r="K47" s="26"/>
      <c r="L47" s="27" t="e">
        <f>H47-(H47*((MATCH(Table261425678[[#This Row],[Evaluators Response (SELECT)]],Table261425678[[#This Row],[1]:[11]],0)-1)/(COUNTA(Table261425678[[#This Row],[1]:[11]])-COUNTBLANK(Table261425678[[#This Row],[1]:[11]])-1)))</f>
        <v>#N/A</v>
      </c>
      <c r="M47" s="28"/>
      <c r="N47" s="29" t="str" cm="1">
        <f t="array" ref="N47">IFERROR(INDEX(_xlfn.UNIQUE(TRIM(_xlfn.TEXTSPLIT(Table261425678[[#This Row],[Selection Options]:[Selection Options]],","))),,N$11),"")</f>
        <v>100%: Supported as delivered "out of the box"</v>
      </c>
      <c r="O47" s="29" t="str" cm="1">
        <f t="array" ref="O47">IFERROR(INDEX(_xlfn.UNIQUE(TRIM(_xlfn.TEXTSPLIT(Table261425678[[#This Row],[Selection Options]:[Selection Options]],","))),,O$11),"")</f>
        <v xml:space="preserve">
75%: Supported via modifications (config)</v>
      </c>
      <c r="P47" s="29" t="str" cm="1">
        <f t="array" ref="P47">IFERROR(INDEX(_xlfn.UNIQUE(TRIM(_xlfn.TEXTSPLIT(Table261425678[[#This Row],[Selection Options]:[Selection Options]],","))),,P$11),"")</f>
        <v xml:space="preserve">
50%: Supported via a third party solution</v>
      </c>
      <c r="Q47" s="29" t="str" cm="1">
        <f t="array" ref="Q47">IFERROR(INDEX(_xlfn.UNIQUE(TRIM(_xlfn.TEXTSPLIT(Table261425678[[#This Row],[Selection Options]:[Selection Options]],","))),,Q$11),"")</f>
        <v xml:space="preserve">
25%: Supported via customisation (source code changes)</v>
      </c>
      <c r="R47" s="29" t="str" cm="1">
        <f t="array" ref="R47">IFERROR(INDEX(_xlfn.UNIQUE(TRIM(_xlfn.TEXTSPLIT(Table261425678[[#This Row],[Selection Options]:[Selection Options]],","))),,R$11),"")</f>
        <v xml:space="preserve">
 0%: Not currently supported</v>
      </c>
      <c r="S47" s="29" t="str" cm="1">
        <f t="array" ref="S47">IFERROR(INDEX(_xlfn.UNIQUE(TRIM(_xlfn.TEXTSPLIT(Table261425678[[#This Row],[Selection Options]:[Selection Options]],","))),,S$11),"")</f>
        <v/>
      </c>
      <c r="T47" s="29" t="str" cm="1">
        <f t="array" ref="T47">IFERROR(INDEX(_xlfn.UNIQUE(TRIM(_xlfn.TEXTSPLIT(Table261425678[[#This Row],[Selection Options]:[Selection Options]],","))),,T$11),"")</f>
        <v/>
      </c>
      <c r="U47" s="29" t="str" cm="1">
        <f t="array" ref="U47">IFERROR(INDEX(_xlfn.UNIQUE(TRIM(_xlfn.TEXTSPLIT(Table261425678[[#This Row],[Selection Options]:[Selection Options]],","))),,U$11),"")</f>
        <v/>
      </c>
      <c r="V47" s="29" t="str" cm="1">
        <f t="array" ref="V47">IFERROR(INDEX(_xlfn.UNIQUE(TRIM(_xlfn.TEXTSPLIT(Table261425678[[#This Row],[Selection Options]:[Selection Options]],","))),,V$11),"")</f>
        <v/>
      </c>
      <c r="W47" s="29" t="str" cm="1">
        <f t="array" ref="W47">IFERROR(INDEX(_xlfn.UNIQUE(TRIM(_xlfn.TEXTSPLIT(Table261425678[[#This Row],[Selection Options]:[Selection Options]],","))),,W$11),"")</f>
        <v/>
      </c>
      <c r="X47" s="29" t="str" cm="1">
        <f t="array" ref="X47">IFERROR(INDEX(_xlfn.UNIQUE(TRIM(_xlfn.TEXTSPLIT(Table261425678[[#This Row],[Selection Options]:[Selection Options]],","))),,X$11),"")</f>
        <v/>
      </c>
      <c r="Y47" s="30" cm="1">
        <f t="array" ref="Y47">IF(Table261425678[[#This Row],[1]]="","",Table261425678[[#This Row],[Weight]:[Weight]]-(Table261425678[[#This Row],[Weight]:[Weight]]*((_xlfn.XMATCH(Table261425678[[#This Row],[1]],Table261425678[[#This Row],[1]:[11]],0))-1)/(COUNTA(Table261425678[[#This Row],[1]:[11]])-COUNTBLANK(Table261425678[[#This Row],[1]:[11]])-1)))</f>
        <v>5.3418803418803424E-4</v>
      </c>
      <c r="Z47" s="30" cm="1">
        <f t="array" ref="Z47">IF(Table261425678[[#This Row],[2]]="","",Table261425678[[#This Row],[Weight]:[Weight]]-(Table261425678[[#This Row],[Weight]:[Weight]]*((_xlfn.XMATCH(Table261425678[[#This Row],[2]],Table261425678[[#This Row],[1]:[11]],0))-1)/(COUNTA(Table261425678[[#This Row],[1]:[11]])-COUNTBLANK(Table261425678[[#This Row],[1]:[11]])-1)))</f>
        <v>4.0064102564102568E-4</v>
      </c>
      <c r="AA47" s="30" cm="1">
        <f t="array" ref="AA47">IF(Table261425678[[#This Row],[3]]="","",Table261425678[[#This Row],[Weight]:[Weight]]-(Table261425678[[#This Row],[Weight]:[Weight]]*((_xlfn.XMATCH(Table261425678[[#This Row],[3]],Table261425678[[#This Row],[1]:[11]],0))-1)/(COUNTA(Table261425678[[#This Row],[1]:[11]])-COUNTBLANK(Table261425678[[#This Row],[1]:[11]])-1)))</f>
        <v>2.6709401709401712E-4</v>
      </c>
      <c r="AB47" s="30" cm="1">
        <f t="array" ref="AB47">IF(Table261425678[[#This Row],[4]]="","",Table261425678[[#This Row],[Weight]:[Weight]]-(Table261425678[[#This Row],[Weight]:[Weight]]*((_xlfn.XMATCH(Table261425678[[#This Row],[4]],Table261425678[[#This Row],[1]:[11]],0))-1)/(COUNTA(Table261425678[[#This Row],[1]:[11]])-COUNTBLANK(Table261425678[[#This Row],[1]:[11]])-1)))</f>
        <v>1.3354700854700856E-4</v>
      </c>
      <c r="AC47" s="30" cm="1">
        <f t="array" ref="AC47">IF(Table261425678[[#This Row],[5]]="","",Table261425678[[#This Row],[Weight]:[Weight]]-(Table261425678[[#This Row],[Weight]:[Weight]]*((_xlfn.XMATCH(Table261425678[[#This Row],[5]],Table261425678[[#This Row],[1]:[11]],0))-1)/(COUNTA(Table261425678[[#This Row],[1]:[11]])-COUNTBLANK(Table261425678[[#This Row],[1]:[11]])-1)))</f>
        <v>0</v>
      </c>
      <c r="AD47" s="30" t="str" cm="1">
        <f t="array" ref="AD47">IF(Table261425678[[#This Row],[6]]="","",Table261425678[[#This Row],[Weight]:[Weight]]-(Table261425678[[#This Row],[Weight]:[Weight]]*((_xlfn.XMATCH(Table261425678[[#This Row],[6]],Table261425678[[#This Row],[1]:[11]],0))-1)/(COUNTA(Table261425678[[#This Row],[1]:[11]])-COUNTBLANK(Table261425678[[#This Row],[1]:[11]])-1)))</f>
        <v/>
      </c>
      <c r="AE47" s="30" t="str" cm="1">
        <f t="array" ref="AE47">IF(Table261425678[[#This Row],[7]]="","",Table261425678[[#This Row],[Weight]:[Weight]]-(Table261425678[[#This Row],[Weight]:[Weight]]*((_xlfn.XMATCH(Table261425678[[#This Row],[7]],Table261425678[[#This Row],[1]:[11]],0))-1)/(COUNTA(Table261425678[[#This Row],[1]:[11]])-COUNTBLANK(Table261425678[[#This Row],[1]:[11]])-1)))</f>
        <v/>
      </c>
      <c r="AF47" s="30" t="str" cm="1">
        <f t="array" ref="AF47">IF(Table261425678[[#This Row],[8]]="","",Table261425678[[#This Row],[Weight]:[Weight]]-(Table261425678[[#This Row],[Weight]:[Weight]]*((_xlfn.XMATCH(Table261425678[[#This Row],[8]],Table261425678[[#This Row],[1]:[11]],0))-1)/(COUNTA(Table261425678[[#This Row],[1]:[11]])-COUNTBLANK(Table261425678[[#This Row],[1]:[11]])-1)))</f>
        <v/>
      </c>
      <c r="AG47" s="30" t="str" cm="1">
        <f t="array" ref="AG47">IF(Table261425678[[#This Row],[9]]="","",Table261425678[[#This Row],[Weight]:[Weight]]-(Table261425678[[#This Row],[Weight]:[Weight]]*((_xlfn.XMATCH(Table261425678[[#This Row],[9]],Table261425678[[#This Row],[1]:[11]],0))-1)/(COUNTA(Table261425678[[#This Row],[1]:[11]])-COUNTBLANK(Table261425678[[#This Row],[1]:[11]])-1)))</f>
        <v/>
      </c>
      <c r="AH47" s="30" t="str" cm="1">
        <f t="array" ref="AH47">IF(Table261425678[[#This Row],[10]]="","",Table261425678[[#This Row],[Weight]:[Weight]]-(Table261425678[[#This Row],[Weight]:[Weight]]*((_xlfn.XMATCH(Table261425678[[#This Row],[10]],Table261425678[[#This Row],[1]:[11]],0))-1)/(COUNTA(Table261425678[[#This Row],[1]:[11]])-COUNTBLANK(Table261425678[[#This Row],[1]:[11]])-1)))</f>
        <v/>
      </c>
      <c r="AI47" s="30" t="str" cm="1">
        <f t="array" ref="AI47">IF(Table261425678[[#This Row],[11]]="","",Table261425678[[#This Row],[Weight]:[Weight]]-(Table261425678[[#This Row],[Weight]:[Weight]]*((_xlfn.XMATCH(Table261425678[[#This Row],[11]],Table261425678[[#This Row],[1]:[11]],0))-1)/(COUNTA(Table261425678[[#This Row],[1]:[11]])-COUNTBLANK(Table261425678[[#This Row],[1]:[11]])-1)))</f>
        <v/>
      </c>
    </row>
    <row r="48" spans="1:35" ht="108" x14ac:dyDescent="0.2">
      <c r="A48" s="20">
        <v>36</v>
      </c>
      <c r="B48" s="90" t="s">
        <v>483</v>
      </c>
      <c r="C48" s="119" t="s">
        <v>215</v>
      </c>
      <c r="D48" s="153"/>
      <c r="E48" s="153"/>
      <c r="F48" s="121" t="s">
        <v>188</v>
      </c>
      <c r="G48" s="148" cm="1">
        <f t="array" ref="G48">_xlfn.IFS(F48="","",F48="No interest",0,F48="Nice to have",1,F48="Useful",2,F48="Important",3,F48="Very important",4,F48="Critical",5,F48="Show stopper",6)</f>
        <v>5</v>
      </c>
      <c r="H48" s="149">
        <f t="shared" si="1"/>
        <v>5.3418803418803424E-4</v>
      </c>
      <c r="I48" s="150" t="s">
        <v>321</v>
      </c>
      <c r="J48" s="35" t="str" cm="1">
        <f t="array" ref="J48">_xlfn.TEXTJOIN(","&amp;CHAR(10),,TEXT(Table261425678[[#This Row],[12]:[22]],"0,00%"))</f>
        <v>0,00%,
0,00%,
0,00%,
0,00%,
0,00%</v>
      </c>
      <c r="K48" s="26"/>
      <c r="L48" s="27" t="e">
        <f>H48-(H48*((MATCH(Table261425678[[#This Row],[Evaluators Response (SELECT)]],Table261425678[[#This Row],[1]:[11]],0)-1)/(COUNTA(Table261425678[[#This Row],[1]:[11]])-COUNTBLANK(Table261425678[[#This Row],[1]:[11]])-1)))</f>
        <v>#N/A</v>
      </c>
      <c r="M48" s="28"/>
      <c r="N48" s="29" t="str" cm="1">
        <f t="array" ref="N48">IFERROR(INDEX(_xlfn.UNIQUE(TRIM(_xlfn.TEXTSPLIT(Table261425678[[#This Row],[Selection Options]:[Selection Options]],","))),,N$11),"")</f>
        <v>100%: Supported as delivered "out of the box"</v>
      </c>
      <c r="O48" s="29" t="str" cm="1">
        <f t="array" ref="O48">IFERROR(INDEX(_xlfn.UNIQUE(TRIM(_xlfn.TEXTSPLIT(Table261425678[[#This Row],[Selection Options]:[Selection Options]],","))),,O$11),"")</f>
        <v xml:space="preserve">
75%: Supported via modifications (config)</v>
      </c>
      <c r="P48" s="29" t="str" cm="1">
        <f t="array" ref="P48">IFERROR(INDEX(_xlfn.UNIQUE(TRIM(_xlfn.TEXTSPLIT(Table261425678[[#This Row],[Selection Options]:[Selection Options]],","))),,P$11),"")</f>
        <v xml:space="preserve">
50%: Supported via a third party solution</v>
      </c>
      <c r="Q48" s="29" t="str" cm="1">
        <f t="array" ref="Q48">IFERROR(INDEX(_xlfn.UNIQUE(TRIM(_xlfn.TEXTSPLIT(Table261425678[[#This Row],[Selection Options]:[Selection Options]],","))),,Q$11),"")</f>
        <v xml:space="preserve">
25%: Supported via customisation (source code changes)</v>
      </c>
      <c r="R48" s="29" t="str" cm="1">
        <f t="array" ref="R48">IFERROR(INDEX(_xlfn.UNIQUE(TRIM(_xlfn.TEXTSPLIT(Table261425678[[#This Row],[Selection Options]:[Selection Options]],","))),,R$11),"")</f>
        <v xml:space="preserve">
 0%: Not currently supported</v>
      </c>
      <c r="S48" s="29" t="str" cm="1">
        <f t="array" ref="S48">IFERROR(INDEX(_xlfn.UNIQUE(TRIM(_xlfn.TEXTSPLIT(Table261425678[[#This Row],[Selection Options]:[Selection Options]],","))),,S$11),"")</f>
        <v/>
      </c>
      <c r="T48" s="29" t="str" cm="1">
        <f t="array" ref="T48">IFERROR(INDEX(_xlfn.UNIQUE(TRIM(_xlfn.TEXTSPLIT(Table261425678[[#This Row],[Selection Options]:[Selection Options]],","))),,T$11),"")</f>
        <v/>
      </c>
      <c r="U48" s="29" t="str" cm="1">
        <f t="array" ref="U48">IFERROR(INDEX(_xlfn.UNIQUE(TRIM(_xlfn.TEXTSPLIT(Table261425678[[#This Row],[Selection Options]:[Selection Options]],","))),,U$11),"")</f>
        <v/>
      </c>
      <c r="V48" s="29" t="str" cm="1">
        <f t="array" ref="V48">IFERROR(INDEX(_xlfn.UNIQUE(TRIM(_xlfn.TEXTSPLIT(Table261425678[[#This Row],[Selection Options]:[Selection Options]],","))),,V$11),"")</f>
        <v/>
      </c>
      <c r="W48" s="29" t="str" cm="1">
        <f t="array" ref="W48">IFERROR(INDEX(_xlfn.UNIQUE(TRIM(_xlfn.TEXTSPLIT(Table261425678[[#This Row],[Selection Options]:[Selection Options]],","))),,W$11),"")</f>
        <v/>
      </c>
      <c r="X48" s="29" t="str" cm="1">
        <f t="array" ref="X48">IFERROR(INDEX(_xlfn.UNIQUE(TRIM(_xlfn.TEXTSPLIT(Table261425678[[#This Row],[Selection Options]:[Selection Options]],","))),,X$11),"")</f>
        <v/>
      </c>
      <c r="Y48" s="30" cm="1">
        <f t="array" ref="Y48">IF(Table261425678[[#This Row],[1]]="","",Table261425678[[#This Row],[Weight]:[Weight]]-(Table261425678[[#This Row],[Weight]:[Weight]]*((_xlfn.XMATCH(Table261425678[[#This Row],[1]],Table261425678[[#This Row],[1]:[11]],0))-1)/(COUNTA(Table261425678[[#This Row],[1]:[11]])-COUNTBLANK(Table261425678[[#This Row],[1]:[11]])-1)))</f>
        <v>5.3418803418803424E-4</v>
      </c>
      <c r="Z48" s="30" cm="1">
        <f t="array" ref="Z48">IF(Table261425678[[#This Row],[2]]="","",Table261425678[[#This Row],[Weight]:[Weight]]-(Table261425678[[#This Row],[Weight]:[Weight]]*((_xlfn.XMATCH(Table261425678[[#This Row],[2]],Table261425678[[#This Row],[1]:[11]],0))-1)/(COUNTA(Table261425678[[#This Row],[1]:[11]])-COUNTBLANK(Table261425678[[#This Row],[1]:[11]])-1)))</f>
        <v>4.0064102564102568E-4</v>
      </c>
      <c r="AA48" s="30" cm="1">
        <f t="array" ref="AA48">IF(Table261425678[[#This Row],[3]]="","",Table261425678[[#This Row],[Weight]:[Weight]]-(Table261425678[[#This Row],[Weight]:[Weight]]*((_xlfn.XMATCH(Table261425678[[#This Row],[3]],Table261425678[[#This Row],[1]:[11]],0))-1)/(COUNTA(Table261425678[[#This Row],[1]:[11]])-COUNTBLANK(Table261425678[[#This Row],[1]:[11]])-1)))</f>
        <v>2.6709401709401712E-4</v>
      </c>
      <c r="AB48" s="30" cm="1">
        <f t="array" ref="AB48">IF(Table261425678[[#This Row],[4]]="","",Table261425678[[#This Row],[Weight]:[Weight]]-(Table261425678[[#This Row],[Weight]:[Weight]]*((_xlfn.XMATCH(Table261425678[[#This Row],[4]],Table261425678[[#This Row],[1]:[11]],0))-1)/(COUNTA(Table261425678[[#This Row],[1]:[11]])-COUNTBLANK(Table261425678[[#This Row],[1]:[11]])-1)))</f>
        <v>1.3354700854700856E-4</v>
      </c>
      <c r="AC48" s="30" cm="1">
        <f t="array" ref="AC48">IF(Table261425678[[#This Row],[5]]="","",Table261425678[[#This Row],[Weight]:[Weight]]-(Table261425678[[#This Row],[Weight]:[Weight]]*((_xlfn.XMATCH(Table261425678[[#This Row],[5]],Table261425678[[#This Row],[1]:[11]],0))-1)/(COUNTA(Table261425678[[#This Row],[1]:[11]])-COUNTBLANK(Table261425678[[#This Row],[1]:[11]])-1)))</f>
        <v>0</v>
      </c>
      <c r="AD48" s="30" t="str" cm="1">
        <f t="array" ref="AD48">IF(Table261425678[[#This Row],[6]]="","",Table261425678[[#This Row],[Weight]:[Weight]]-(Table261425678[[#This Row],[Weight]:[Weight]]*((_xlfn.XMATCH(Table261425678[[#This Row],[6]],Table261425678[[#This Row],[1]:[11]],0))-1)/(COUNTA(Table261425678[[#This Row],[1]:[11]])-COUNTBLANK(Table261425678[[#This Row],[1]:[11]])-1)))</f>
        <v/>
      </c>
      <c r="AE48" s="30" t="str" cm="1">
        <f t="array" ref="AE48">IF(Table261425678[[#This Row],[7]]="","",Table261425678[[#This Row],[Weight]:[Weight]]-(Table261425678[[#This Row],[Weight]:[Weight]]*((_xlfn.XMATCH(Table261425678[[#This Row],[7]],Table261425678[[#This Row],[1]:[11]],0))-1)/(COUNTA(Table261425678[[#This Row],[1]:[11]])-COUNTBLANK(Table261425678[[#This Row],[1]:[11]])-1)))</f>
        <v/>
      </c>
      <c r="AF48" s="30" t="str" cm="1">
        <f t="array" ref="AF48">IF(Table261425678[[#This Row],[8]]="","",Table261425678[[#This Row],[Weight]:[Weight]]-(Table261425678[[#This Row],[Weight]:[Weight]]*((_xlfn.XMATCH(Table261425678[[#This Row],[8]],Table261425678[[#This Row],[1]:[11]],0))-1)/(COUNTA(Table261425678[[#This Row],[1]:[11]])-COUNTBLANK(Table261425678[[#This Row],[1]:[11]])-1)))</f>
        <v/>
      </c>
      <c r="AG48" s="30" t="str" cm="1">
        <f t="array" ref="AG48">IF(Table261425678[[#This Row],[9]]="","",Table261425678[[#This Row],[Weight]:[Weight]]-(Table261425678[[#This Row],[Weight]:[Weight]]*((_xlfn.XMATCH(Table261425678[[#This Row],[9]],Table261425678[[#This Row],[1]:[11]],0))-1)/(COUNTA(Table261425678[[#This Row],[1]:[11]])-COUNTBLANK(Table261425678[[#This Row],[1]:[11]])-1)))</f>
        <v/>
      </c>
      <c r="AH48" s="30" t="str" cm="1">
        <f t="array" ref="AH48">IF(Table261425678[[#This Row],[10]]="","",Table261425678[[#This Row],[Weight]:[Weight]]-(Table261425678[[#This Row],[Weight]:[Weight]]*((_xlfn.XMATCH(Table261425678[[#This Row],[10]],Table261425678[[#This Row],[1]:[11]],0))-1)/(COUNTA(Table261425678[[#This Row],[1]:[11]])-COUNTBLANK(Table261425678[[#This Row],[1]:[11]])-1)))</f>
        <v/>
      </c>
      <c r="AI48" s="30" t="str" cm="1">
        <f t="array" ref="AI48">IF(Table261425678[[#This Row],[11]]="","",Table261425678[[#This Row],[Weight]:[Weight]]-(Table261425678[[#This Row],[Weight]:[Weight]]*((_xlfn.XMATCH(Table261425678[[#This Row],[11]],Table261425678[[#This Row],[1]:[11]],0))-1)/(COUNTA(Table261425678[[#This Row],[1]:[11]])-COUNTBLANK(Table261425678[[#This Row],[1]:[11]])-1)))</f>
        <v/>
      </c>
    </row>
    <row r="49" spans="1:35" ht="108" x14ac:dyDescent="0.2">
      <c r="A49" s="20">
        <v>37</v>
      </c>
      <c r="B49" s="90" t="s">
        <v>484</v>
      </c>
      <c r="C49" s="119" t="s">
        <v>215</v>
      </c>
      <c r="D49" s="153"/>
      <c r="E49" s="153"/>
      <c r="F49" s="121" t="s">
        <v>188</v>
      </c>
      <c r="G49" s="148" cm="1">
        <f t="array" ref="G49">_xlfn.IFS(F49="","",F49="No interest",0,F49="Nice to have",1,F49="Useful",2,F49="Important",3,F49="Very important",4,F49="Critical",5,F49="Show stopper",6)</f>
        <v>5</v>
      </c>
      <c r="H49" s="149">
        <f t="shared" si="1"/>
        <v>5.3418803418803424E-4</v>
      </c>
      <c r="I49" s="150" t="s">
        <v>321</v>
      </c>
      <c r="J49" s="35" t="str" cm="1">
        <f t="array" ref="J49">_xlfn.TEXTJOIN(","&amp;CHAR(10),,TEXT(Table261425678[[#This Row],[12]:[22]],"0,00%"))</f>
        <v>0,00%,
0,00%,
0,00%,
0,00%,
0,00%</v>
      </c>
      <c r="K49" s="26"/>
      <c r="L49" s="27" t="e">
        <f>H49-(H49*((MATCH(Table261425678[[#This Row],[Evaluators Response (SELECT)]],Table261425678[[#This Row],[1]:[11]],0)-1)/(COUNTA(Table261425678[[#This Row],[1]:[11]])-COUNTBLANK(Table261425678[[#This Row],[1]:[11]])-1)))</f>
        <v>#N/A</v>
      </c>
      <c r="M49" s="28"/>
      <c r="N49" s="29" t="str" cm="1">
        <f t="array" ref="N49">IFERROR(INDEX(_xlfn.UNIQUE(TRIM(_xlfn.TEXTSPLIT(Table261425678[[#This Row],[Selection Options]:[Selection Options]],","))),,N$11),"")</f>
        <v>100%: Supported as delivered "out of the box"</v>
      </c>
      <c r="O49" s="29" t="str" cm="1">
        <f t="array" ref="O49">IFERROR(INDEX(_xlfn.UNIQUE(TRIM(_xlfn.TEXTSPLIT(Table261425678[[#This Row],[Selection Options]:[Selection Options]],","))),,O$11),"")</f>
        <v xml:space="preserve">
75%: Supported via modifications (config)</v>
      </c>
      <c r="P49" s="29" t="str" cm="1">
        <f t="array" ref="P49">IFERROR(INDEX(_xlfn.UNIQUE(TRIM(_xlfn.TEXTSPLIT(Table261425678[[#This Row],[Selection Options]:[Selection Options]],","))),,P$11),"")</f>
        <v xml:space="preserve">
50%: Supported via a third party solution</v>
      </c>
      <c r="Q49" s="29" t="str" cm="1">
        <f t="array" ref="Q49">IFERROR(INDEX(_xlfn.UNIQUE(TRIM(_xlfn.TEXTSPLIT(Table261425678[[#This Row],[Selection Options]:[Selection Options]],","))),,Q$11),"")</f>
        <v xml:space="preserve">
25%: Supported via customisation (source code changes)</v>
      </c>
      <c r="R49" s="29" t="str" cm="1">
        <f t="array" ref="R49">IFERROR(INDEX(_xlfn.UNIQUE(TRIM(_xlfn.TEXTSPLIT(Table261425678[[#This Row],[Selection Options]:[Selection Options]],","))),,R$11),"")</f>
        <v xml:space="preserve">
 0%: Not currently supported</v>
      </c>
      <c r="S49" s="29" t="str" cm="1">
        <f t="array" ref="S49">IFERROR(INDEX(_xlfn.UNIQUE(TRIM(_xlfn.TEXTSPLIT(Table261425678[[#This Row],[Selection Options]:[Selection Options]],","))),,S$11),"")</f>
        <v/>
      </c>
      <c r="T49" s="29" t="str" cm="1">
        <f t="array" ref="T49">IFERROR(INDEX(_xlfn.UNIQUE(TRIM(_xlfn.TEXTSPLIT(Table261425678[[#This Row],[Selection Options]:[Selection Options]],","))),,T$11),"")</f>
        <v/>
      </c>
      <c r="U49" s="29" t="str" cm="1">
        <f t="array" ref="U49">IFERROR(INDEX(_xlfn.UNIQUE(TRIM(_xlfn.TEXTSPLIT(Table261425678[[#This Row],[Selection Options]:[Selection Options]],","))),,U$11),"")</f>
        <v/>
      </c>
      <c r="V49" s="29" t="str" cm="1">
        <f t="array" ref="V49">IFERROR(INDEX(_xlfn.UNIQUE(TRIM(_xlfn.TEXTSPLIT(Table261425678[[#This Row],[Selection Options]:[Selection Options]],","))),,V$11),"")</f>
        <v/>
      </c>
      <c r="W49" s="29" t="str" cm="1">
        <f t="array" ref="W49">IFERROR(INDEX(_xlfn.UNIQUE(TRIM(_xlfn.TEXTSPLIT(Table261425678[[#This Row],[Selection Options]:[Selection Options]],","))),,W$11),"")</f>
        <v/>
      </c>
      <c r="X49" s="29" t="str" cm="1">
        <f t="array" ref="X49">IFERROR(INDEX(_xlfn.UNIQUE(TRIM(_xlfn.TEXTSPLIT(Table261425678[[#This Row],[Selection Options]:[Selection Options]],","))),,X$11),"")</f>
        <v/>
      </c>
      <c r="Y49" s="30" cm="1">
        <f t="array" ref="Y49">IF(Table261425678[[#This Row],[1]]="","",Table261425678[[#This Row],[Weight]:[Weight]]-(Table261425678[[#This Row],[Weight]:[Weight]]*((_xlfn.XMATCH(Table261425678[[#This Row],[1]],Table261425678[[#This Row],[1]:[11]],0))-1)/(COUNTA(Table261425678[[#This Row],[1]:[11]])-COUNTBLANK(Table261425678[[#This Row],[1]:[11]])-1)))</f>
        <v>5.3418803418803424E-4</v>
      </c>
      <c r="Z49" s="30" cm="1">
        <f t="array" ref="Z49">IF(Table261425678[[#This Row],[2]]="","",Table261425678[[#This Row],[Weight]:[Weight]]-(Table261425678[[#This Row],[Weight]:[Weight]]*((_xlfn.XMATCH(Table261425678[[#This Row],[2]],Table261425678[[#This Row],[1]:[11]],0))-1)/(COUNTA(Table261425678[[#This Row],[1]:[11]])-COUNTBLANK(Table261425678[[#This Row],[1]:[11]])-1)))</f>
        <v>4.0064102564102568E-4</v>
      </c>
      <c r="AA49" s="30" cm="1">
        <f t="array" ref="AA49">IF(Table261425678[[#This Row],[3]]="","",Table261425678[[#This Row],[Weight]:[Weight]]-(Table261425678[[#This Row],[Weight]:[Weight]]*((_xlfn.XMATCH(Table261425678[[#This Row],[3]],Table261425678[[#This Row],[1]:[11]],0))-1)/(COUNTA(Table261425678[[#This Row],[1]:[11]])-COUNTBLANK(Table261425678[[#This Row],[1]:[11]])-1)))</f>
        <v>2.6709401709401712E-4</v>
      </c>
      <c r="AB49" s="30" cm="1">
        <f t="array" ref="AB49">IF(Table261425678[[#This Row],[4]]="","",Table261425678[[#This Row],[Weight]:[Weight]]-(Table261425678[[#This Row],[Weight]:[Weight]]*((_xlfn.XMATCH(Table261425678[[#This Row],[4]],Table261425678[[#This Row],[1]:[11]],0))-1)/(COUNTA(Table261425678[[#This Row],[1]:[11]])-COUNTBLANK(Table261425678[[#This Row],[1]:[11]])-1)))</f>
        <v>1.3354700854700856E-4</v>
      </c>
      <c r="AC49" s="30" cm="1">
        <f t="array" ref="AC49">IF(Table261425678[[#This Row],[5]]="","",Table261425678[[#This Row],[Weight]:[Weight]]-(Table261425678[[#This Row],[Weight]:[Weight]]*((_xlfn.XMATCH(Table261425678[[#This Row],[5]],Table261425678[[#This Row],[1]:[11]],0))-1)/(COUNTA(Table261425678[[#This Row],[1]:[11]])-COUNTBLANK(Table261425678[[#This Row],[1]:[11]])-1)))</f>
        <v>0</v>
      </c>
      <c r="AD49" s="30" t="str" cm="1">
        <f t="array" ref="AD49">IF(Table261425678[[#This Row],[6]]="","",Table261425678[[#This Row],[Weight]:[Weight]]-(Table261425678[[#This Row],[Weight]:[Weight]]*((_xlfn.XMATCH(Table261425678[[#This Row],[6]],Table261425678[[#This Row],[1]:[11]],0))-1)/(COUNTA(Table261425678[[#This Row],[1]:[11]])-COUNTBLANK(Table261425678[[#This Row],[1]:[11]])-1)))</f>
        <v/>
      </c>
      <c r="AE49" s="30" t="str" cm="1">
        <f t="array" ref="AE49">IF(Table261425678[[#This Row],[7]]="","",Table261425678[[#This Row],[Weight]:[Weight]]-(Table261425678[[#This Row],[Weight]:[Weight]]*((_xlfn.XMATCH(Table261425678[[#This Row],[7]],Table261425678[[#This Row],[1]:[11]],0))-1)/(COUNTA(Table261425678[[#This Row],[1]:[11]])-COUNTBLANK(Table261425678[[#This Row],[1]:[11]])-1)))</f>
        <v/>
      </c>
      <c r="AF49" s="30" t="str" cm="1">
        <f t="array" ref="AF49">IF(Table261425678[[#This Row],[8]]="","",Table261425678[[#This Row],[Weight]:[Weight]]-(Table261425678[[#This Row],[Weight]:[Weight]]*((_xlfn.XMATCH(Table261425678[[#This Row],[8]],Table261425678[[#This Row],[1]:[11]],0))-1)/(COUNTA(Table261425678[[#This Row],[1]:[11]])-COUNTBLANK(Table261425678[[#This Row],[1]:[11]])-1)))</f>
        <v/>
      </c>
      <c r="AG49" s="30" t="str" cm="1">
        <f t="array" ref="AG49">IF(Table261425678[[#This Row],[9]]="","",Table261425678[[#This Row],[Weight]:[Weight]]-(Table261425678[[#This Row],[Weight]:[Weight]]*((_xlfn.XMATCH(Table261425678[[#This Row],[9]],Table261425678[[#This Row],[1]:[11]],0))-1)/(COUNTA(Table261425678[[#This Row],[1]:[11]])-COUNTBLANK(Table261425678[[#This Row],[1]:[11]])-1)))</f>
        <v/>
      </c>
      <c r="AH49" s="30" t="str" cm="1">
        <f t="array" ref="AH49">IF(Table261425678[[#This Row],[10]]="","",Table261425678[[#This Row],[Weight]:[Weight]]-(Table261425678[[#This Row],[Weight]:[Weight]]*((_xlfn.XMATCH(Table261425678[[#This Row],[10]],Table261425678[[#This Row],[1]:[11]],0))-1)/(COUNTA(Table261425678[[#This Row],[1]:[11]])-COUNTBLANK(Table261425678[[#This Row],[1]:[11]])-1)))</f>
        <v/>
      </c>
      <c r="AI49" s="30" t="str" cm="1">
        <f t="array" ref="AI49">IF(Table261425678[[#This Row],[11]]="","",Table261425678[[#This Row],[Weight]:[Weight]]-(Table261425678[[#This Row],[Weight]:[Weight]]*((_xlfn.XMATCH(Table261425678[[#This Row],[11]],Table261425678[[#This Row],[1]:[11]],0))-1)/(COUNTA(Table261425678[[#This Row],[1]:[11]])-COUNTBLANK(Table261425678[[#This Row],[1]:[11]])-1)))</f>
        <v/>
      </c>
    </row>
    <row r="50" spans="1:35" ht="108" x14ac:dyDescent="0.2">
      <c r="A50" s="20">
        <v>38</v>
      </c>
      <c r="B50" s="90" t="s">
        <v>485</v>
      </c>
      <c r="C50" s="119" t="s">
        <v>215</v>
      </c>
      <c r="D50" s="153"/>
      <c r="E50" s="153"/>
      <c r="F50" s="121" t="s">
        <v>60</v>
      </c>
      <c r="G50" s="148" cm="1">
        <f t="array" ref="G50">_xlfn.IFS(F50="","",F50="No interest",0,F50="Nice to have",1,F50="Useful",2,F50="Important",3,F50="Very important",4,F50="Critical",5,F50="Show stopper",6)</f>
        <v>6</v>
      </c>
      <c r="H50" s="149">
        <f t="shared" si="1"/>
        <v>6.4102564102564103E-4</v>
      </c>
      <c r="I50" s="150" t="s">
        <v>321</v>
      </c>
      <c r="J50" s="35" t="str" cm="1">
        <f t="array" ref="J50">_xlfn.TEXTJOIN(","&amp;CHAR(10),,TEXT(Table261425678[[#This Row],[12]:[22]],"0,00%"))</f>
        <v>0,00%,
0,00%,
0,00%,
0,00%,
0,00%</v>
      </c>
      <c r="K50" s="26"/>
      <c r="L50" s="27" t="e">
        <f>H50-(H50*((MATCH(Table261425678[[#This Row],[Evaluators Response (SELECT)]],Table261425678[[#This Row],[1]:[11]],0)-1)/(COUNTA(Table261425678[[#This Row],[1]:[11]])-COUNTBLANK(Table261425678[[#This Row],[1]:[11]])-1)))</f>
        <v>#N/A</v>
      </c>
      <c r="M50" s="28"/>
      <c r="N50" s="29" t="str" cm="1">
        <f t="array" ref="N50">IFERROR(INDEX(_xlfn.UNIQUE(TRIM(_xlfn.TEXTSPLIT(Table261425678[[#This Row],[Selection Options]:[Selection Options]],","))),,N$11),"")</f>
        <v>100%: Supported as delivered "out of the box"</v>
      </c>
      <c r="O50" s="29" t="str" cm="1">
        <f t="array" ref="O50">IFERROR(INDEX(_xlfn.UNIQUE(TRIM(_xlfn.TEXTSPLIT(Table261425678[[#This Row],[Selection Options]:[Selection Options]],","))),,O$11),"")</f>
        <v xml:space="preserve">
75%: Supported via modifications (config)</v>
      </c>
      <c r="P50" s="29" t="str" cm="1">
        <f t="array" ref="P50">IFERROR(INDEX(_xlfn.UNIQUE(TRIM(_xlfn.TEXTSPLIT(Table261425678[[#This Row],[Selection Options]:[Selection Options]],","))),,P$11),"")</f>
        <v xml:space="preserve">
50%: Supported via a third party solution</v>
      </c>
      <c r="Q50" s="29" t="str" cm="1">
        <f t="array" ref="Q50">IFERROR(INDEX(_xlfn.UNIQUE(TRIM(_xlfn.TEXTSPLIT(Table261425678[[#This Row],[Selection Options]:[Selection Options]],","))),,Q$11),"")</f>
        <v xml:space="preserve">
25%: Supported via customisation (source code changes)</v>
      </c>
      <c r="R50" s="29" t="str" cm="1">
        <f t="array" ref="R50">IFERROR(INDEX(_xlfn.UNIQUE(TRIM(_xlfn.TEXTSPLIT(Table261425678[[#This Row],[Selection Options]:[Selection Options]],","))),,R$11),"")</f>
        <v xml:space="preserve">
 0%: Not currently supported</v>
      </c>
      <c r="S50" s="29" t="str" cm="1">
        <f t="array" ref="S50">IFERROR(INDEX(_xlfn.UNIQUE(TRIM(_xlfn.TEXTSPLIT(Table261425678[[#This Row],[Selection Options]:[Selection Options]],","))),,S$11),"")</f>
        <v/>
      </c>
      <c r="T50" s="29" t="str" cm="1">
        <f t="array" ref="T50">IFERROR(INDEX(_xlfn.UNIQUE(TRIM(_xlfn.TEXTSPLIT(Table261425678[[#This Row],[Selection Options]:[Selection Options]],","))),,T$11),"")</f>
        <v/>
      </c>
      <c r="U50" s="29" t="str" cm="1">
        <f t="array" ref="U50">IFERROR(INDEX(_xlfn.UNIQUE(TRIM(_xlfn.TEXTSPLIT(Table261425678[[#This Row],[Selection Options]:[Selection Options]],","))),,U$11),"")</f>
        <v/>
      </c>
      <c r="V50" s="29" t="str" cm="1">
        <f t="array" ref="V50">IFERROR(INDEX(_xlfn.UNIQUE(TRIM(_xlfn.TEXTSPLIT(Table261425678[[#This Row],[Selection Options]:[Selection Options]],","))),,V$11),"")</f>
        <v/>
      </c>
      <c r="W50" s="29" t="str" cm="1">
        <f t="array" ref="W50">IFERROR(INDEX(_xlfn.UNIQUE(TRIM(_xlfn.TEXTSPLIT(Table261425678[[#This Row],[Selection Options]:[Selection Options]],","))),,W$11),"")</f>
        <v/>
      </c>
      <c r="X50" s="29" t="str" cm="1">
        <f t="array" ref="X50">IFERROR(INDEX(_xlfn.UNIQUE(TRIM(_xlfn.TEXTSPLIT(Table261425678[[#This Row],[Selection Options]:[Selection Options]],","))),,X$11),"")</f>
        <v/>
      </c>
      <c r="Y50" s="30" cm="1">
        <f t="array" ref="Y50">IF(Table261425678[[#This Row],[1]]="","",Table261425678[[#This Row],[Weight]:[Weight]]-(Table261425678[[#This Row],[Weight]:[Weight]]*((_xlfn.XMATCH(Table261425678[[#This Row],[1]],Table261425678[[#This Row],[1]:[11]],0))-1)/(COUNTA(Table261425678[[#This Row],[1]:[11]])-COUNTBLANK(Table261425678[[#This Row],[1]:[11]])-1)))</f>
        <v>6.4102564102564103E-4</v>
      </c>
      <c r="Z50" s="30" cm="1">
        <f t="array" ref="Z50">IF(Table261425678[[#This Row],[2]]="","",Table261425678[[#This Row],[Weight]:[Weight]]-(Table261425678[[#This Row],[Weight]:[Weight]]*((_xlfn.XMATCH(Table261425678[[#This Row],[2]],Table261425678[[#This Row],[1]:[11]],0))-1)/(COUNTA(Table261425678[[#This Row],[1]:[11]])-COUNTBLANK(Table261425678[[#This Row],[1]:[11]])-1)))</f>
        <v>4.807692307692308E-4</v>
      </c>
      <c r="AA50" s="30" cm="1">
        <f t="array" ref="AA50">IF(Table261425678[[#This Row],[3]]="","",Table261425678[[#This Row],[Weight]:[Weight]]-(Table261425678[[#This Row],[Weight]:[Weight]]*((_xlfn.XMATCH(Table261425678[[#This Row],[3]],Table261425678[[#This Row],[1]:[11]],0))-1)/(COUNTA(Table261425678[[#This Row],[1]:[11]])-COUNTBLANK(Table261425678[[#This Row],[1]:[11]])-1)))</f>
        <v>3.2051282051282051E-4</v>
      </c>
      <c r="AB50" s="30" cm="1">
        <f t="array" ref="AB50">IF(Table261425678[[#This Row],[4]]="","",Table261425678[[#This Row],[Weight]:[Weight]]-(Table261425678[[#This Row],[Weight]:[Weight]]*((_xlfn.XMATCH(Table261425678[[#This Row],[4]],Table261425678[[#This Row],[1]:[11]],0))-1)/(COUNTA(Table261425678[[#This Row],[1]:[11]])-COUNTBLANK(Table261425678[[#This Row],[1]:[11]])-1)))</f>
        <v>1.6025641025641023E-4</v>
      </c>
      <c r="AC50" s="30" cm="1">
        <f t="array" ref="AC50">IF(Table261425678[[#This Row],[5]]="","",Table261425678[[#This Row],[Weight]:[Weight]]-(Table261425678[[#This Row],[Weight]:[Weight]]*((_xlfn.XMATCH(Table261425678[[#This Row],[5]],Table261425678[[#This Row],[1]:[11]],0))-1)/(COUNTA(Table261425678[[#This Row],[1]:[11]])-COUNTBLANK(Table261425678[[#This Row],[1]:[11]])-1)))</f>
        <v>0</v>
      </c>
      <c r="AD50" s="30" t="str" cm="1">
        <f t="array" ref="AD50">IF(Table261425678[[#This Row],[6]]="","",Table261425678[[#This Row],[Weight]:[Weight]]-(Table261425678[[#This Row],[Weight]:[Weight]]*((_xlfn.XMATCH(Table261425678[[#This Row],[6]],Table261425678[[#This Row],[1]:[11]],0))-1)/(COUNTA(Table261425678[[#This Row],[1]:[11]])-COUNTBLANK(Table261425678[[#This Row],[1]:[11]])-1)))</f>
        <v/>
      </c>
      <c r="AE50" s="30" t="str" cm="1">
        <f t="array" ref="AE50">IF(Table261425678[[#This Row],[7]]="","",Table261425678[[#This Row],[Weight]:[Weight]]-(Table261425678[[#This Row],[Weight]:[Weight]]*((_xlfn.XMATCH(Table261425678[[#This Row],[7]],Table261425678[[#This Row],[1]:[11]],0))-1)/(COUNTA(Table261425678[[#This Row],[1]:[11]])-COUNTBLANK(Table261425678[[#This Row],[1]:[11]])-1)))</f>
        <v/>
      </c>
      <c r="AF50" s="30" t="str" cm="1">
        <f t="array" ref="AF50">IF(Table261425678[[#This Row],[8]]="","",Table261425678[[#This Row],[Weight]:[Weight]]-(Table261425678[[#This Row],[Weight]:[Weight]]*((_xlfn.XMATCH(Table261425678[[#This Row],[8]],Table261425678[[#This Row],[1]:[11]],0))-1)/(COUNTA(Table261425678[[#This Row],[1]:[11]])-COUNTBLANK(Table261425678[[#This Row],[1]:[11]])-1)))</f>
        <v/>
      </c>
      <c r="AG50" s="30" t="str" cm="1">
        <f t="array" ref="AG50">IF(Table261425678[[#This Row],[9]]="","",Table261425678[[#This Row],[Weight]:[Weight]]-(Table261425678[[#This Row],[Weight]:[Weight]]*((_xlfn.XMATCH(Table261425678[[#This Row],[9]],Table261425678[[#This Row],[1]:[11]],0))-1)/(COUNTA(Table261425678[[#This Row],[1]:[11]])-COUNTBLANK(Table261425678[[#This Row],[1]:[11]])-1)))</f>
        <v/>
      </c>
      <c r="AH50" s="30" t="str" cm="1">
        <f t="array" ref="AH50">IF(Table261425678[[#This Row],[10]]="","",Table261425678[[#This Row],[Weight]:[Weight]]-(Table261425678[[#This Row],[Weight]:[Weight]]*((_xlfn.XMATCH(Table261425678[[#This Row],[10]],Table261425678[[#This Row],[1]:[11]],0))-1)/(COUNTA(Table261425678[[#This Row],[1]:[11]])-COUNTBLANK(Table261425678[[#This Row],[1]:[11]])-1)))</f>
        <v/>
      </c>
      <c r="AI50" s="30" t="str" cm="1">
        <f t="array" ref="AI50">IF(Table261425678[[#This Row],[11]]="","",Table261425678[[#This Row],[Weight]:[Weight]]-(Table261425678[[#This Row],[Weight]:[Weight]]*((_xlfn.XMATCH(Table261425678[[#This Row],[11]],Table261425678[[#This Row],[1]:[11]],0))-1)/(COUNTA(Table261425678[[#This Row],[1]:[11]])-COUNTBLANK(Table261425678[[#This Row],[1]:[11]])-1)))</f>
        <v/>
      </c>
    </row>
    <row r="51" spans="1:35" ht="108" x14ac:dyDescent="0.2">
      <c r="A51" s="20">
        <v>39</v>
      </c>
      <c r="B51" s="90" t="s">
        <v>486</v>
      </c>
      <c r="C51" s="119" t="s">
        <v>215</v>
      </c>
      <c r="D51" s="153"/>
      <c r="E51" s="153"/>
      <c r="F51" s="121" t="s">
        <v>60</v>
      </c>
      <c r="G51" s="148" cm="1">
        <f t="array" ref="G51">_xlfn.IFS(F51="","",F51="No interest",0,F51="Nice to have",1,F51="Useful",2,F51="Important",3,F51="Very important",4,F51="Critical",5,F51="Show stopper",6)</f>
        <v>6</v>
      </c>
      <c r="H51" s="149">
        <f t="shared" si="1"/>
        <v>6.4102564102564103E-4</v>
      </c>
      <c r="I51" s="150" t="s">
        <v>321</v>
      </c>
      <c r="J51" s="35" t="str" cm="1">
        <f t="array" ref="J51">_xlfn.TEXTJOIN(","&amp;CHAR(10),,TEXT(Table261425678[[#This Row],[12]:[22]],"0,00%"))</f>
        <v>0,00%,
0,00%,
0,00%,
0,00%,
0,00%</v>
      </c>
      <c r="K51" s="26"/>
      <c r="L51" s="27" t="e">
        <f>H51-(H51*((MATCH(Table261425678[[#This Row],[Evaluators Response (SELECT)]],Table261425678[[#This Row],[1]:[11]],0)-1)/(COUNTA(Table261425678[[#This Row],[1]:[11]])-COUNTBLANK(Table261425678[[#This Row],[1]:[11]])-1)))</f>
        <v>#N/A</v>
      </c>
      <c r="M51" s="28"/>
      <c r="N51" s="29" t="str" cm="1">
        <f t="array" ref="N51">IFERROR(INDEX(_xlfn.UNIQUE(TRIM(_xlfn.TEXTSPLIT(Table261425678[[#This Row],[Selection Options]:[Selection Options]],","))),,N$11),"")</f>
        <v>100%: Supported as delivered "out of the box"</v>
      </c>
      <c r="O51" s="29" t="str" cm="1">
        <f t="array" ref="O51">IFERROR(INDEX(_xlfn.UNIQUE(TRIM(_xlfn.TEXTSPLIT(Table261425678[[#This Row],[Selection Options]:[Selection Options]],","))),,O$11),"")</f>
        <v xml:space="preserve">
75%: Supported via modifications (config)</v>
      </c>
      <c r="P51" s="29" t="str" cm="1">
        <f t="array" ref="P51">IFERROR(INDEX(_xlfn.UNIQUE(TRIM(_xlfn.TEXTSPLIT(Table261425678[[#This Row],[Selection Options]:[Selection Options]],","))),,P$11),"")</f>
        <v xml:space="preserve">
50%: Supported via a third party solution</v>
      </c>
      <c r="Q51" s="29" t="str" cm="1">
        <f t="array" ref="Q51">IFERROR(INDEX(_xlfn.UNIQUE(TRIM(_xlfn.TEXTSPLIT(Table261425678[[#This Row],[Selection Options]:[Selection Options]],","))),,Q$11),"")</f>
        <v xml:space="preserve">
25%: Supported via customisation (source code changes)</v>
      </c>
      <c r="R51" s="29" t="str" cm="1">
        <f t="array" ref="R51">IFERROR(INDEX(_xlfn.UNIQUE(TRIM(_xlfn.TEXTSPLIT(Table261425678[[#This Row],[Selection Options]:[Selection Options]],","))),,R$11),"")</f>
        <v xml:space="preserve">
 0%: Not currently supported</v>
      </c>
      <c r="S51" s="29" t="str" cm="1">
        <f t="array" ref="S51">IFERROR(INDEX(_xlfn.UNIQUE(TRIM(_xlfn.TEXTSPLIT(Table261425678[[#This Row],[Selection Options]:[Selection Options]],","))),,S$11),"")</f>
        <v/>
      </c>
      <c r="T51" s="29" t="str" cm="1">
        <f t="array" ref="T51">IFERROR(INDEX(_xlfn.UNIQUE(TRIM(_xlfn.TEXTSPLIT(Table261425678[[#This Row],[Selection Options]:[Selection Options]],","))),,T$11),"")</f>
        <v/>
      </c>
      <c r="U51" s="29" t="str" cm="1">
        <f t="array" ref="U51">IFERROR(INDEX(_xlfn.UNIQUE(TRIM(_xlfn.TEXTSPLIT(Table261425678[[#This Row],[Selection Options]:[Selection Options]],","))),,U$11),"")</f>
        <v/>
      </c>
      <c r="V51" s="29" t="str" cm="1">
        <f t="array" ref="V51">IFERROR(INDEX(_xlfn.UNIQUE(TRIM(_xlfn.TEXTSPLIT(Table261425678[[#This Row],[Selection Options]:[Selection Options]],","))),,V$11),"")</f>
        <v/>
      </c>
      <c r="W51" s="29" t="str" cm="1">
        <f t="array" ref="W51">IFERROR(INDEX(_xlfn.UNIQUE(TRIM(_xlfn.TEXTSPLIT(Table261425678[[#This Row],[Selection Options]:[Selection Options]],","))),,W$11),"")</f>
        <v/>
      </c>
      <c r="X51" s="29" t="str" cm="1">
        <f t="array" ref="X51">IFERROR(INDEX(_xlfn.UNIQUE(TRIM(_xlfn.TEXTSPLIT(Table261425678[[#This Row],[Selection Options]:[Selection Options]],","))),,X$11),"")</f>
        <v/>
      </c>
      <c r="Y51" s="30" cm="1">
        <f t="array" ref="Y51">IF(Table261425678[[#This Row],[1]]="","",Table261425678[[#This Row],[Weight]:[Weight]]-(Table261425678[[#This Row],[Weight]:[Weight]]*((_xlfn.XMATCH(Table261425678[[#This Row],[1]],Table261425678[[#This Row],[1]:[11]],0))-1)/(COUNTA(Table261425678[[#This Row],[1]:[11]])-COUNTBLANK(Table261425678[[#This Row],[1]:[11]])-1)))</f>
        <v>6.4102564102564103E-4</v>
      </c>
      <c r="Z51" s="30" cm="1">
        <f t="array" ref="Z51">IF(Table261425678[[#This Row],[2]]="","",Table261425678[[#This Row],[Weight]:[Weight]]-(Table261425678[[#This Row],[Weight]:[Weight]]*((_xlfn.XMATCH(Table261425678[[#This Row],[2]],Table261425678[[#This Row],[1]:[11]],0))-1)/(COUNTA(Table261425678[[#This Row],[1]:[11]])-COUNTBLANK(Table261425678[[#This Row],[1]:[11]])-1)))</f>
        <v>4.807692307692308E-4</v>
      </c>
      <c r="AA51" s="30" cm="1">
        <f t="array" ref="AA51">IF(Table261425678[[#This Row],[3]]="","",Table261425678[[#This Row],[Weight]:[Weight]]-(Table261425678[[#This Row],[Weight]:[Weight]]*((_xlfn.XMATCH(Table261425678[[#This Row],[3]],Table261425678[[#This Row],[1]:[11]],0))-1)/(COUNTA(Table261425678[[#This Row],[1]:[11]])-COUNTBLANK(Table261425678[[#This Row],[1]:[11]])-1)))</f>
        <v>3.2051282051282051E-4</v>
      </c>
      <c r="AB51" s="30" cm="1">
        <f t="array" ref="AB51">IF(Table261425678[[#This Row],[4]]="","",Table261425678[[#This Row],[Weight]:[Weight]]-(Table261425678[[#This Row],[Weight]:[Weight]]*((_xlfn.XMATCH(Table261425678[[#This Row],[4]],Table261425678[[#This Row],[1]:[11]],0))-1)/(COUNTA(Table261425678[[#This Row],[1]:[11]])-COUNTBLANK(Table261425678[[#This Row],[1]:[11]])-1)))</f>
        <v>1.6025641025641023E-4</v>
      </c>
      <c r="AC51" s="30" cm="1">
        <f t="array" ref="AC51">IF(Table261425678[[#This Row],[5]]="","",Table261425678[[#This Row],[Weight]:[Weight]]-(Table261425678[[#This Row],[Weight]:[Weight]]*((_xlfn.XMATCH(Table261425678[[#This Row],[5]],Table261425678[[#This Row],[1]:[11]],0))-1)/(COUNTA(Table261425678[[#This Row],[1]:[11]])-COUNTBLANK(Table261425678[[#This Row],[1]:[11]])-1)))</f>
        <v>0</v>
      </c>
      <c r="AD51" s="30" t="str" cm="1">
        <f t="array" ref="AD51">IF(Table261425678[[#This Row],[6]]="","",Table261425678[[#This Row],[Weight]:[Weight]]-(Table261425678[[#This Row],[Weight]:[Weight]]*((_xlfn.XMATCH(Table261425678[[#This Row],[6]],Table261425678[[#This Row],[1]:[11]],0))-1)/(COUNTA(Table261425678[[#This Row],[1]:[11]])-COUNTBLANK(Table261425678[[#This Row],[1]:[11]])-1)))</f>
        <v/>
      </c>
      <c r="AE51" s="30" t="str" cm="1">
        <f t="array" ref="AE51">IF(Table261425678[[#This Row],[7]]="","",Table261425678[[#This Row],[Weight]:[Weight]]-(Table261425678[[#This Row],[Weight]:[Weight]]*((_xlfn.XMATCH(Table261425678[[#This Row],[7]],Table261425678[[#This Row],[1]:[11]],0))-1)/(COUNTA(Table261425678[[#This Row],[1]:[11]])-COUNTBLANK(Table261425678[[#This Row],[1]:[11]])-1)))</f>
        <v/>
      </c>
      <c r="AF51" s="30" t="str" cm="1">
        <f t="array" ref="AF51">IF(Table261425678[[#This Row],[8]]="","",Table261425678[[#This Row],[Weight]:[Weight]]-(Table261425678[[#This Row],[Weight]:[Weight]]*((_xlfn.XMATCH(Table261425678[[#This Row],[8]],Table261425678[[#This Row],[1]:[11]],0))-1)/(COUNTA(Table261425678[[#This Row],[1]:[11]])-COUNTBLANK(Table261425678[[#This Row],[1]:[11]])-1)))</f>
        <v/>
      </c>
      <c r="AG51" s="30" t="str" cm="1">
        <f t="array" ref="AG51">IF(Table261425678[[#This Row],[9]]="","",Table261425678[[#This Row],[Weight]:[Weight]]-(Table261425678[[#This Row],[Weight]:[Weight]]*((_xlfn.XMATCH(Table261425678[[#This Row],[9]],Table261425678[[#This Row],[1]:[11]],0))-1)/(COUNTA(Table261425678[[#This Row],[1]:[11]])-COUNTBLANK(Table261425678[[#This Row],[1]:[11]])-1)))</f>
        <v/>
      </c>
      <c r="AH51" s="30" t="str" cm="1">
        <f t="array" ref="AH51">IF(Table261425678[[#This Row],[10]]="","",Table261425678[[#This Row],[Weight]:[Weight]]-(Table261425678[[#This Row],[Weight]:[Weight]]*((_xlfn.XMATCH(Table261425678[[#This Row],[10]],Table261425678[[#This Row],[1]:[11]],0))-1)/(COUNTA(Table261425678[[#This Row],[1]:[11]])-COUNTBLANK(Table261425678[[#This Row],[1]:[11]])-1)))</f>
        <v/>
      </c>
      <c r="AI51" s="30" t="str" cm="1">
        <f t="array" ref="AI51">IF(Table261425678[[#This Row],[11]]="","",Table261425678[[#This Row],[Weight]:[Weight]]-(Table261425678[[#This Row],[Weight]:[Weight]]*((_xlfn.XMATCH(Table261425678[[#This Row],[11]],Table261425678[[#This Row],[1]:[11]],0))-1)/(COUNTA(Table261425678[[#This Row],[1]:[11]])-COUNTBLANK(Table261425678[[#This Row],[1]:[11]])-1)))</f>
        <v/>
      </c>
    </row>
    <row r="52" spans="1:35" ht="108" x14ac:dyDescent="0.2">
      <c r="A52" s="20">
        <v>40</v>
      </c>
      <c r="B52" s="90" t="s">
        <v>487</v>
      </c>
      <c r="C52" s="119" t="s">
        <v>215</v>
      </c>
      <c r="D52" s="153"/>
      <c r="E52" s="153"/>
      <c r="F52" s="121" t="s">
        <v>60</v>
      </c>
      <c r="G52" s="148" cm="1">
        <f t="array" ref="G52">_xlfn.IFS(F52="","",F52="No interest",0,F52="Nice to have",1,F52="Useful",2,F52="Important",3,F52="Very important",4,F52="Critical",5,F52="Show stopper",6)</f>
        <v>6</v>
      </c>
      <c r="H52" s="149">
        <f t="shared" si="1"/>
        <v>6.4102564102564103E-4</v>
      </c>
      <c r="I52" s="150" t="s">
        <v>321</v>
      </c>
      <c r="J52" s="35" t="str" cm="1">
        <f t="array" ref="J52">_xlfn.TEXTJOIN(","&amp;CHAR(10),,TEXT(Table261425678[[#This Row],[12]:[22]],"0,00%"))</f>
        <v>0,00%,
0,00%,
0,00%,
0,00%,
0,00%</v>
      </c>
      <c r="K52" s="26"/>
      <c r="L52" s="27" t="e">
        <f>H52-(H52*((MATCH(Table261425678[[#This Row],[Evaluators Response (SELECT)]],Table261425678[[#This Row],[1]:[11]],0)-1)/(COUNTA(Table261425678[[#This Row],[1]:[11]])-COUNTBLANK(Table261425678[[#This Row],[1]:[11]])-1)))</f>
        <v>#N/A</v>
      </c>
      <c r="M52" s="28"/>
      <c r="N52" s="29" t="str" cm="1">
        <f t="array" ref="N52">IFERROR(INDEX(_xlfn.UNIQUE(TRIM(_xlfn.TEXTSPLIT(Table261425678[[#This Row],[Selection Options]:[Selection Options]],","))),,N$11),"")</f>
        <v>100%: Supported as delivered "out of the box"</v>
      </c>
      <c r="O52" s="29" t="str" cm="1">
        <f t="array" ref="O52">IFERROR(INDEX(_xlfn.UNIQUE(TRIM(_xlfn.TEXTSPLIT(Table261425678[[#This Row],[Selection Options]:[Selection Options]],","))),,O$11),"")</f>
        <v xml:space="preserve">
75%: Supported via modifications (config)</v>
      </c>
      <c r="P52" s="29" t="str" cm="1">
        <f t="array" ref="P52">IFERROR(INDEX(_xlfn.UNIQUE(TRIM(_xlfn.TEXTSPLIT(Table261425678[[#This Row],[Selection Options]:[Selection Options]],","))),,P$11),"")</f>
        <v xml:space="preserve">
50%: Supported via a third party solution</v>
      </c>
      <c r="Q52" s="29" t="str" cm="1">
        <f t="array" ref="Q52">IFERROR(INDEX(_xlfn.UNIQUE(TRIM(_xlfn.TEXTSPLIT(Table261425678[[#This Row],[Selection Options]:[Selection Options]],","))),,Q$11),"")</f>
        <v xml:space="preserve">
25%: Supported via customisation (source code changes)</v>
      </c>
      <c r="R52" s="29" t="str" cm="1">
        <f t="array" ref="R52">IFERROR(INDEX(_xlfn.UNIQUE(TRIM(_xlfn.TEXTSPLIT(Table261425678[[#This Row],[Selection Options]:[Selection Options]],","))),,R$11),"")</f>
        <v xml:space="preserve">
 0%: Not currently supported</v>
      </c>
      <c r="S52" s="29" t="str" cm="1">
        <f t="array" ref="S52">IFERROR(INDEX(_xlfn.UNIQUE(TRIM(_xlfn.TEXTSPLIT(Table261425678[[#This Row],[Selection Options]:[Selection Options]],","))),,S$11),"")</f>
        <v/>
      </c>
      <c r="T52" s="29" t="str" cm="1">
        <f t="array" ref="T52">IFERROR(INDEX(_xlfn.UNIQUE(TRIM(_xlfn.TEXTSPLIT(Table261425678[[#This Row],[Selection Options]:[Selection Options]],","))),,T$11),"")</f>
        <v/>
      </c>
      <c r="U52" s="29" t="str" cm="1">
        <f t="array" ref="U52">IFERROR(INDEX(_xlfn.UNIQUE(TRIM(_xlfn.TEXTSPLIT(Table261425678[[#This Row],[Selection Options]:[Selection Options]],","))),,U$11),"")</f>
        <v/>
      </c>
      <c r="V52" s="29" t="str" cm="1">
        <f t="array" ref="V52">IFERROR(INDEX(_xlfn.UNIQUE(TRIM(_xlfn.TEXTSPLIT(Table261425678[[#This Row],[Selection Options]:[Selection Options]],","))),,V$11),"")</f>
        <v/>
      </c>
      <c r="W52" s="29" t="str" cm="1">
        <f t="array" ref="W52">IFERROR(INDEX(_xlfn.UNIQUE(TRIM(_xlfn.TEXTSPLIT(Table261425678[[#This Row],[Selection Options]:[Selection Options]],","))),,W$11),"")</f>
        <v/>
      </c>
      <c r="X52" s="29" t="str" cm="1">
        <f t="array" ref="X52">IFERROR(INDEX(_xlfn.UNIQUE(TRIM(_xlfn.TEXTSPLIT(Table261425678[[#This Row],[Selection Options]:[Selection Options]],","))),,X$11),"")</f>
        <v/>
      </c>
      <c r="Y52" s="30" cm="1">
        <f t="array" ref="Y52">IF(Table261425678[[#This Row],[1]]="","",Table261425678[[#This Row],[Weight]:[Weight]]-(Table261425678[[#This Row],[Weight]:[Weight]]*((_xlfn.XMATCH(Table261425678[[#This Row],[1]],Table261425678[[#This Row],[1]:[11]],0))-1)/(COUNTA(Table261425678[[#This Row],[1]:[11]])-COUNTBLANK(Table261425678[[#This Row],[1]:[11]])-1)))</f>
        <v>6.4102564102564103E-4</v>
      </c>
      <c r="Z52" s="30" cm="1">
        <f t="array" ref="Z52">IF(Table261425678[[#This Row],[2]]="","",Table261425678[[#This Row],[Weight]:[Weight]]-(Table261425678[[#This Row],[Weight]:[Weight]]*((_xlfn.XMATCH(Table261425678[[#This Row],[2]],Table261425678[[#This Row],[1]:[11]],0))-1)/(COUNTA(Table261425678[[#This Row],[1]:[11]])-COUNTBLANK(Table261425678[[#This Row],[1]:[11]])-1)))</f>
        <v>4.807692307692308E-4</v>
      </c>
      <c r="AA52" s="30" cm="1">
        <f t="array" ref="AA52">IF(Table261425678[[#This Row],[3]]="","",Table261425678[[#This Row],[Weight]:[Weight]]-(Table261425678[[#This Row],[Weight]:[Weight]]*((_xlfn.XMATCH(Table261425678[[#This Row],[3]],Table261425678[[#This Row],[1]:[11]],0))-1)/(COUNTA(Table261425678[[#This Row],[1]:[11]])-COUNTBLANK(Table261425678[[#This Row],[1]:[11]])-1)))</f>
        <v>3.2051282051282051E-4</v>
      </c>
      <c r="AB52" s="30" cm="1">
        <f t="array" ref="AB52">IF(Table261425678[[#This Row],[4]]="","",Table261425678[[#This Row],[Weight]:[Weight]]-(Table261425678[[#This Row],[Weight]:[Weight]]*((_xlfn.XMATCH(Table261425678[[#This Row],[4]],Table261425678[[#This Row],[1]:[11]],0))-1)/(COUNTA(Table261425678[[#This Row],[1]:[11]])-COUNTBLANK(Table261425678[[#This Row],[1]:[11]])-1)))</f>
        <v>1.6025641025641023E-4</v>
      </c>
      <c r="AC52" s="30" cm="1">
        <f t="array" ref="AC52">IF(Table261425678[[#This Row],[5]]="","",Table261425678[[#This Row],[Weight]:[Weight]]-(Table261425678[[#This Row],[Weight]:[Weight]]*((_xlfn.XMATCH(Table261425678[[#This Row],[5]],Table261425678[[#This Row],[1]:[11]],0))-1)/(COUNTA(Table261425678[[#This Row],[1]:[11]])-COUNTBLANK(Table261425678[[#This Row],[1]:[11]])-1)))</f>
        <v>0</v>
      </c>
      <c r="AD52" s="30" t="str" cm="1">
        <f t="array" ref="AD52">IF(Table261425678[[#This Row],[6]]="","",Table261425678[[#This Row],[Weight]:[Weight]]-(Table261425678[[#This Row],[Weight]:[Weight]]*((_xlfn.XMATCH(Table261425678[[#This Row],[6]],Table261425678[[#This Row],[1]:[11]],0))-1)/(COUNTA(Table261425678[[#This Row],[1]:[11]])-COUNTBLANK(Table261425678[[#This Row],[1]:[11]])-1)))</f>
        <v/>
      </c>
      <c r="AE52" s="30" t="str" cm="1">
        <f t="array" ref="AE52">IF(Table261425678[[#This Row],[7]]="","",Table261425678[[#This Row],[Weight]:[Weight]]-(Table261425678[[#This Row],[Weight]:[Weight]]*((_xlfn.XMATCH(Table261425678[[#This Row],[7]],Table261425678[[#This Row],[1]:[11]],0))-1)/(COUNTA(Table261425678[[#This Row],[1]:[11]])-COUNTBLANK(Table261425678[[#This Row],[1]:[11]])-1)))</f>
        <v/>
      </c>
      <c r="AF52" s="30" t="str" cm="1">
        <f t="array" ref="AF52">IF(Table261425678[[#This Row],[8]]="","",Table261425678[[#This Row],[Weight]:[Weight]]-(Table261425678[[#This Row],[Weight]:[Weight]]*((_xlfn.XMATCH(Table261425678[[#This Row],[8]],Table261425678[[#This Row],[1]:[11]],0))-1)/(COUNTA(Table261425678[[#This Row],[1]:[11]])-COUNTBLANK(Table261425678[[#This Row],[1]:[11]])-1)))</f>
        <v/>
      </c>
      <c r="AG52" s="30" t="str" cm="1">
        <f t="array" ref="AG52">IF(Table261425678[[#This Row],[9]]="","",Table261425678[[#This Row],[Weight]:[Weight]]-(Table261425678[[#This Row],[Weight]:[Weight]]*((_xlfn.XMATCH(Table261425678[[#This Row],[9]],Table261425678[[#This Row],[1]:[11]],0))-1)/(COUNTA(Table261425678[[#This Row],[1]:[11]])-COUNTBLANK(Table261425678[[#This Row],[1]:[11]])-1)))</f>
        <v/>
      </c>
      <c r="AH52" s="30" t="str" cm="1">
        <f t="array" ref="AH52">IF(Table261425678[[#This Row],[10]]="","",Table261425678[[#This Row],[Weight]:[Weight]]-(Table261425678[[#This Row],[Weight]:[Weight]]*((_xlfn.XMATCH(Table261425678[[#This Row],[10]],Table261425678[[#This Row],[1]:[11]],0))-1)/(COUNTA(Table261425678[[#This Row],[1]:[11]])-COUNTBLANK(Table261425678[[#This Row],[1]:[11]])-1)))</f>
        <v/>
      </c>
      <c r="AI52" s="30" t="str" cm="1">
        <f t="array" ref="AI52">IF(Table261425678[[#This Row],[11]]="","",Table261425678[[#This Row],[Weight]:[Weight]]-(Table261425678[[#This Row],[Weight]:[Weight]]*((_xlfn.XMATCH(Table261425678[[#This Row],[11]],Table261425678[[#This Row],[1]:[11]],0))-1)/(COUNTA(Table261425678[[#This Row],[1]:[11]])-COUNTBLANK(Table261425678[[#This Row],[1]:[11]])-1)))</f>
        <v/>
      </c>
    </row>
    <row r="53" spans="1:35" ht="108" x14ac:dyDescent="0.2">
      <c r="A53" s="20">
        <v>41</v>
      </c>
      <c r="B53" s="90" t="s">
        <v>488</v>
      </c>
      <c r="C53" s="119" t="s">
        <v>215</v>
      </c>
      <c r="D53" s="153"/>
      <c r="E53" s="153"/>
      <c r="F53" s="121" t="s">
        <v>60</v>
      </c>
      <c r="G53" s="148" cm="1">
        <f t="array" ref="G53">_xlfn.IFS(F53="","",F53="No interest",0,F53="Nice to have",1,F53="Useful",2,F53="Important",3,F53="Very important",4,F53="Critical",5,F53="Show stopper",6)</f>
        <v>6</v>
      </c>
      <c r="H53" s="149">
        <f t="shared" si="1"/>
        <v>6.4102564102564103E-4</v>
      </c>
      <c r="I53" s="150" t="s">
        <v>321</v>
      </c>
      <c r="J53" s="35" t="str" cm="1">
        <f t="array" ref="J53">_xlfn.TEXTJOIN(","&amp;CHAR(10),,TEXT(Table261425678[[#This Row],[12]:[22]],"0,00%"))</f>
        <v>0,00%,
0,00%,
0,00%,
0,00%,
0,00%</v>
      </c>
      <c r="K53" s="26"/>
      <c r="L53" s="27" t="e">
        <f>H53-(H53*((MATCH(Table261425678[[#This Row],[Evaluators Response (SELECT)]],Table261425678[[#This Row],[1]:[11]],0)-1)/(COUNTA(Table261425678[[#This Row],[1]:[11]])-COUNTBLANK(Table261425678[[#This Row],[1]:[11]])-1)))</f>
        <v>#N/A</v>
      </c>
      <c r="M53" s="28"/>
      <c r="N53" s="29" t="str" cm="1">
        <f t="array" ref="N53">IFERROR(INDEX(_xlfn.UNIQUE(TRIM(_xlfn.TEXTSPLIT(Table261425678[[#This Row],[Selection Options]:[Selection Options]],","))),,N$11),"")</f>
        <v>100%: Supported as delivered "out of the box"</v>
      </c>
      <c r="O53" s="29" t="str" cm="1">
        <f t="array" ref="O53">IFERROR(INDEX(_xlfn.UNIQUE(TRIM(_xlfn.TEXTSPLIT(Table261425678[[#This Row],[Selection Options]:[Selection Options]],","))),,O$11),"")</f>
        <v xml:space="preserve">
75%: Supported via modifications (config)</v>
      </c>
      <c r="P53" s="29" t="str" cm="1">
        <f t="array" ref="P53">IFERROR(INDEX(_xlfn.UNIQUE(TRIM(_xlfn.TEXTSPLIT(Table261425678[[#This Row],[Selection Options]:[Selection Options]],","))),,P$11),"")</f>
        <v xml:space="preserve">
50%: Supported via a third party solution</v>
      </c>
      <c r="Q53" s="29" t="str" cm="1">
        <f t="array" ref="Q53">IFERROR(INDEX(_xlfn.UNIQUE(TRIM(_xlfn.TEXTSPLIT(Table261425678[[#This Row],[Selection Options]:[Selection Options]],","))),,Q$11),"")</f>
        <v xml:space="preserve">
25%: Supported via customisation (source code changes)</v>
      </c>
      <c r="R53" s="29" t="str" cm="1">
        <f t="array" ref="R53">IFERROR(INDEX(_xlfn.UNIQUE(TRIM(_xlfn.TEXTSPLIT(Table261425678[[#This Row],[Selection Options]:[Selection Options]],","))),,R$11),"")</f>
        <v xml:space="preserve">
 0%: Not currently supported</v>
      </c>
      <c r="S53" s="29" t="str" cm="1">
        <f t="array" ref="S53">IFERROR(INDEX(_xlfn.UNIQUE(TRIM(_xlfn.TEXTSPLIT(Table261425678[[#This Row],[Selection Options]:[Selection Options]],","))),,S$11),"")</f>
        <v/>
      </c>
      <c r="T53" s="29" t="str" cm="1">
        <f t="array" ref="T53">IFERROR(INDEX(_xlfn.UNIQUE(TRIM(_xlfn.TEXTSPLIT(Table261425678[[#This Row],[Selection Options]:[Selection Options]],","))),,T$11),"")</f>
        <v/>
      </c>
      <c r="U53" s="29" t="str" cm="1">
        <f t="array" ref="U53">IFERROR(INDEX(_xlfn.UNIQUE(TRIM(_xlfn.TEXTSPLIT(Table261425678[[#This Row],[Selection Options]:[Selection Options]],","))),,U$11),"")</f>
        <v/>
      </c>
      <c r="V53" s="29" t="str" cm="1">
        <f t="array" ref="V53">IFERROR(INDEX(_xlfn.UNIQUE(TRIM(_xlfn.TEXTSPLIT(Table261425678[[#This Row],[Selection Options]:[Selection Options]],","))),,V$11),"")</f>
        <v/>
      </c>
      <c r="W53" s="29" t="str" cm="1">
        <f t="array" ref="W53">IFERROR(INDEX(_xlfn.UNIQUE(TRIM(_xlfn.TEXTSPLIT(Table261425678[[#This Row],[Selection Options]:[Selection Options]],","))),,W$11),"")</f>
        <v/>
      </c>
      <c r="X53" s="29" t="str" cm="1">
        <f t="array" ref="X53">IFERROR(INDEX(_xlfn.UNIQUE(TRIM(_xlfn.TEXTSPLIT(Table261425678[[#This Row],[Selection Options]:[Selection Options]],","))),,X$11),"")</f>
        <v/>
      </c>
      <c r="Y53" s="30" cm="1">
        <f t="array" ref="Y53">IF(Table261425678[[#This Row],[1]]="","",Table261425678[[#This Row],[Weight]:[Weight]]-(Table261425678[[#This Row],[Weight]:[Weight]]*((_xlfn.XMATCH(Table261425678[[#This Row],[1]],Table261425678[[#This Row],[1]:[11]],0))-1)/(COUNTA(Table261425678[[#This Row],[1]:[11]])-COUNTBLANK(Table261425678[[#This Row],[1]:[11]])-1)))</f>
        <v>6.4102564102564103E-4</v>
      </c>
      <c r="Z53" s="30" cm="1">
        <f t="array" ref="Z53">IF(Table261425678[[#This Row],[2]]="","",Table261425678[[#This Row],[Weight]:[Weight]]-(Table261425678[[#This Row],[Weight]:[Weight]]*((_xlfn.XMATCH(Table261425678[[#This Row],[2]],Table261425678[[#This Row],[1]:[11]],0))-1)/(COUNTA(Table261425678[[#This Row],[1]:[11]])-COUNTBLANK(Table261425678[[#This Row],[1]:[11]])-1)))</f>
        <v>4.807692307692308E-4</v>
      </c>
      <c r="AA53" s="30" cm="1">
        <f t="array" ref="AA53">IF(Table261425678[[#This Row],[3]]="","",Table261425678[[#This Row],[Weight]:[Weight]]-(Table261425678[[#This Row],[Weight]:[Weight]]*((_xlfn.XMATCH(Table261425678[[#This Row],[3]],Table261425678[[#This Row],[1]:[11]],0))-1)/(COUNTA(Table261425678[[#This Row],[1]:[11]])-COUNTBLANK(Table261425678[[#This Row],[1]:[11]])-1)))</f>
        <v>3.2051282051282051E-4</v>
      </c>
      <c r="AB53" s="30" cm="1">
        <f t="array" ref="AB53">IF(Table261425678[[#This Row],[4]]="","",Table261425678[[#This Row],[Weight]:[Weight]]-(Table261425678[[#This Row],[Weight]:[Weight]]*((_xlfn.XMATCH(Table261425678[[#This Row],[4]],Table261425678[[#This Row],[1]:[11]],0))-1)/(COUNTA(Table261425678[[#This Row],[1]:[11]])-COUNTBLANK(Table261425678[[#This Row],[1]:[11]])-1)))</f>
        <v>1.6025641025641023E-4</v>
      </c>
      <c r="AC53" s="30" cm="1">
        <f t="array" ref="AC53">IF(Table261425678[[#This Row],[5]]="","",Table261425678[[#This Row],[Weight]:[Weight]]-(Table261425678[[#This Row],[Weight]:[Weight]]*((_xlfn.XMATCH(Table261425678[[#This Row],[5]],Table261425678[[#This Row],[1]:[11]],0))-1)/(COUNTA(Table261425678[[#This Row],[1]:[11]])-COUNTBLANK(Table261425678[[#This Row],[1]:[11]])-1)))</f>
        <v>0</v>
      </c>
      <c r="AD53" s="30" t="str" cm="1">
        <f t="array" ref="AD53">IF(Table261425678[[#This Row],[6]]="","",Table261425678[[#This Row],[Weight]:[Weight]]-(Table261425678[[#This Row],[Weight]:[Weight]]*((_xlfn.XMATCH(Table261425678[[#This Row],[6]],Table261425678[[#This Row],[1]:[11]],0))-1)/(COUNTA(Table261425678[[#This Row],[1]:[11]])-COUNTBLANK(Table261425678[[#This Row],[1]:[11]])-1)))</f>
        <v/>
      </c>
      <c r="AE53" s="30" t="str" cm="1">
        <f t="array" ref="AE53">IF(Table261425678[[#This Row],[7]]="","",Table261425678[[#This Row],[Weight]:[Weight]]-(Table261425678[[#This Row],[Weight]:[Weight]]*((_xlfn.XMATCH(Table261425678[[#This Row],[7]],Table261425678[[#This Row],[1]:[11]],0))-1)/(COUNTA(Table261425678[[#This Row],[1]:[11]])-COUNTBLANK(Table261425678[[#This Row],[1]:[11]])-1)))</f>
        <v/>
      </c>
      <c r="AF53" s="30" t="str" cm="1">
        <f t="array" ref="AF53">IF(Table261425678[[#This Row],[8]]="","",Table261425678[[#This Row],[Weight]:[Weight]]-(Table261425678[[#This Row],[Weight]:[Weight]]*((_xlfn.XMATCH(Table261425678[[#This Row],[8]],Table261425678[[#This Row],[1]:[11]],0))-1)/(COUNTA(Table261425678[[#This Row],[1]:[11]])-COUNTBLANK(Table261425678[[#This Row],[1]:[11]])-1)))</f>
        <v/>
      </c>
      <c r="AG53" s="30" t="str" cm="1">
        <f t="array" ref="AG53">IF(Table261425678[[#This Row],[9]]="","",Table261425678[[#This Row],[Weight]:[Weight]]-(Table261425678[[#This Row],[Weight]:[Weight]]*((_xlfn.XMATCH(Table261425678[[#This Row],[9]],Table261425678[[#This Row],[1]:[11]],0))-1)/(COUNTA(Table261425678[[#This Row],[1]:[11]])-COUNTBLANK(Table261425678[[#This Row],[1]:[11]])-1)))</f>
        <v/>
      </c>
      <c r="AH53" s="30" t="str" cm="1">
        <f t="array" ref="AH53">IF(Table261425678[[#This Row],[10]]="","",Table261425678[[#This Row],[Weight]:[Weight]]-(Table261425678[[#This Row],[Weight]:[Weight]]*((_xlfn.XMATCH(Table261425678[[#This Row],[10]],Table261425678[[#This Row],[1]:[11]],0))-1)/(COUNTA(Table261425678[[#This Row],[1]:[11]])-COUNTBLANK(Table261425678[[#This Row],[1]:[11]])-1)))</f>
        <v/>
      </c>
      <c r="AI53" s="30" t="str" cm="1">
        <f t="array" ref="AI53">IF(Table261425678[[#This Row],[11]]="","",Table261425678[[#This Row],[Weight]:[Weight]]-(Table261425678[[#This Row],[Weight]:[Weight]]*((_xlfn.XMATCH(Table261425678[[#This Row],[11]],Table261425678[[#This Row],[1]:[11]],0))-1)/(COUNTA(Table261425678[[#This Row],[1]:[11]])-COUNTBLANK(Table261425678[[#This Row],[1]:[11]])-1)))</f>
        <v/>
      </c>
    </row>
    <row r="54" spans="1:35" ht="108" x14ac:dyDescent="0.2">
      <c r="A54" s="20">
        <v>42</v>
      </c>
      <c r="B54" s="90" t="s">
        <v>489</v>
      </c>
      <c r="C54" s="119" t="s">
        <v>215</v>
      </c>
      <c r="D54" s="153"/>
      <c r="E54" s="153"/>
      <c r="F54" s="121" t="s">
        <v>60</v>
      </c>
      <c r="G54" s="148" cm="1">
        <f t="array" ref="G54">_xlfn.IFS(F54="","",F54="No interest",0,F54="Nice to have",1,F54="Useful",2,F54="Important",3,F54="Very important",4,F54="Critical",5,F54="Show stopper",6)</f>
        <v>6</v>
      </c>
      <c r="H54" s="149">
        <f t="shared" si="1"/>
        <v>6.4102564102564103E-4</v>
      </c>
      <c r="I54" s="150" t="s">
        <v>321</v>
      </c>
      <c r="J54" s="35" t="str" cm="1">
        <f t="array" ref="J54">_xlfn.TEXTJOIN(","&amp;CHAR(10),,TEXT(Table261425678[[#This Row],[12]:[22]],"0,00%"))</f>
        <v>0,00%,
0,00%,
0,00%,
0,00%,
0,00%</v>
      </c>
      <c r="K54" s="26"/>
      <c r="L54" s="27" t="e">
        <f>H54-(H54*((MATCH(Table261425678[[#This Row],[Evaluators Response (SELECT)]],Table261425678[[#This Row],[1]:[11]],0)-1)/(COUNTA(Table261425678[[#This Row],[1]:[11]])-COUNTBLANK(Table261425678[[#This Row],[1]:[11]])-1)))</f>
        <v>#N/A</v>
      </c>
      <c r="M54" s="28"/>
      <c r="N54" s="29" t="str" cm="1">
        <f t="array" ref="N54">IFERROR(INDEX(_xlfn.UNIQUE(TRIM(_xlfn.TEXTSPLIT(Table261425678[[#This Row],[Selection Options]:[Selection Options]],","))),,N$11),"")</f>
        <v>100%: Supported as delivered "out of the box"</v>
      </c>
      <c r="O54" s="29" t="str" cm="1">
        <f t="array" ref="O54">IFERROR(INDEX(_xlfn.UNIQUE(TRIM(_xlfn.TEXTSPLIT(Table261425678[[#This Row],[Selection Options]:[Selection Options]],","))),,O$11),"")</f>
        <v xml:space="preserve">
75%: Supported via modifications (config)</v>
      </c>
      <c r="P54" s="29" t="str" cm="1">
        <f t="array" ref="P54">IFERROR(INDEX(_xlfn.UNIQUE(TRIM(_xlfn.TEXTSPLIT(Table261425678[[#This Row],[Selection Options]:[Selection Options]],","))),,P$11),"")</f>
        <v xml:space="preserve">
50%: Supported via a third party solution</v>
      </c>
      <c r="Q54" s="29" t="str" cm="1">
        <f t="array" ref="Q54">IFERROR(INDEX(_xlfn.UNIQUE(TRIM(_xlfn.TEXTSPLIT(Table261425678[[#This Row],[Selection Options]:[Selection Options]],","))),,Q$11),"")</f>
        <v xml:space="preserve">
25%: Supported via customisation (source code changes)</v>
      </c>
      <c r="R54" s="29" t="str" cm="1">
        <f t="array" ref="R54">IFERROR(INDEX(_xlfn.UNIQUE(TRIM(_xlfn.TEXTSPLIT(Table261425678[[#This Row],[Selection Options]:[Selection Options]],","))),,R$11),"")</f>
        <v xml:space="preserve">
 0%: Not currently supported</v>
      </c>
      <c r="S54" s="29" t="str" cm="1">
        <f t="array" ref="S54">IFERROR(INDEX(_xlfn.UNIQUE(TRIM(_xlfn.TEXTSPLIT(Table261425678[[#This Row],[Selection Options]:[Selection Options]],","))),,S$11),"")</f>
        <v/>
      </c>
      <c r="T54" s="29" t="str" cm="1">
        <f t="array" ref="T54">IFERROR(INDEX(_xlfn.UNIQUE(TRIM(_xlfn.TEXTSPLIT(Table261425678[[#This Row],[Selection Options]:[Selection Options]],","))),,T$11),"")</f>
        <v/>
      </c>
      <c r="U54" s="29" t="str" cm="1">
        <f t="array" ref="U54">IFERROR(INDEX(_xlfn.UNIQUE(TRIM(_xlfn.TEXTSPLIT(Table261425678[[#This Row],[Selection Options]:[Selection Options]],","))),,U$11),"")</f>
        <v/>
      </c>
      <c r="V54" s="29" t="str" cm="1">
        <f t="array" ref="V54">IFERROR(INDEX(_xlfn.UNIQUE(TRIM(_xlfn.TEXTSPLIT(Table261425678[[#This Row],[Selection Options]:[Selection Options]],","))),,V$11),"")</f>
        <v/>
      </c>
      <c r="W54" s="29" t="str" cm="1">
        <f t="array" ref="W54">IFERROR(INDEX(_xlfn.UNIQUE(TRIM(_xlfn.TEXTSPLIT(Table261425678[[#This Row],[Selection Options]:[Selection Options]],","))),,W$11),"")</f>
        <v/>
      </c>
      <c r="X54" s="29" t="str" cm="1">
        <f t="array" ref="X54">IFERROR(INDEX(_xlfn.UNIQUE(TRIM(_xlfn.TEXTSPLIT(Table261425678[[#This Row],[Selection Options]:[Selection Options]],","))),,X$11),"")</f>
        <v/>
      </c>
      <c r="Y54" s="30" cm="1">
        <f t="array" ref="Y54">IF(Table261425678[[#This Row],[1]]="","",Table261425678[[#This Row],[Weight]:[Weight]]-(Table261425678[[#This Row],[Weight]:[Weight]]*((_xlfn.XMATCH(Table261425678[[#This Row],[1]],Table261425678[[#This Row],[1]:[11]],0))-1)/(COUNTA(Table261425678[[#This Row],[1]:[11]])-COUNTBLANK(Table261425678[[#This Row],[1]:[11]])-1)))</f>
        <v>6.4102564102564103E-4</v>
      </c>
      <c r="Z54" s="30" cm="1">
        <f t="array" ref="Z54">IF(Table261425678[[#This Row],[2]]="","",Table261425678[[#This Row],[Weight]:[Weight]]-(Table261425678[[#This Row],[Weight]:[Weight]]*((_xlfn.XMATCH(Table261425678[[#This Row],[2]],Table261425678[[#This Row],[1]:[11]],0))-1)/(COUNTA(Table261425678[[#This Row],[1]:[11]])-COUNTBLANK(Table261425678[[#This Row],[1]:[11]])-1)))</f>
        <v>4.807692307692308E-4</v>
      </c>
      <c r="AA54" s="30" cm="1">
        <f t="array" ref="AA54">IF(Table261425678[[#This Row],[3]]="","",Table261425678[[#This Row],[Weight]:[Weight]]-(Table261425678[[#This Row],[Weight]:[Weight]]*((_xlfn.XMATCH(Table261425678[[#This Row],[3]],Table261425678[[#This Row],[1]:[11]],0))-1)/(COUNTA(Table261425678[[#This Row],[1]:[11]])-COUNTBLANK(Table261425678[[#This Row],[1]:[11]])-1)))</f>
        <v>3.2051282051282051E-4</v>
      </c>
      <c r="AB54" s="30" cm="1">
        <f t="array" ref="AB54">IF(Table261425678[[#This Row],[4]]="","",Table261425678[[#This Row],[Weight]:[Weight]]-(Table261425678[[#This Row],[Weight]:[Weight]]*((_xlfn.XMATCH(Table261425678[[#This Row],[4]],Table261425678[[#This Row],[1]:[11]],0))-1)/(COUNTA(Table261425678[[#This Row],[1]:[11]])-COUNTBLANK(Table261425678[[#This Row],[1]:[11]])-1)))</f>
        <v>1.6025641025641023E-4</v>
      </c>
      <c r="AC54" s="30" cm="1">
        <f t="array" ref="AC54">IF(Table261425678[[#This Row],[5]]="","",Table261425678[[#This Row],[Weight]:[Weight]]-(Table261425678[[#This Row],[Weight]:[Weight]]*((_xlfn.XMATCH(Table261425678[[#This Row],[5]],Table261425678[[#This Row],[1]:[11]],0))-1)/(COUNTA(Table261425678[[#This Row],[1]:[11]])-COUNTBLANK(Table261425678[[#This Row],[1]:[11]])-1)))</f>
        <v>0</v>
      </c>
      <c r="AD54" s="30" t="str" cm="1">
        <f t="array" ref="AD54">IF(Table261425678[[#This Row],[6]]="","",Table261425678[[#This Row],[Weight]:[Weight]]-(Table261425678[[#This Row],[Weight]:[Weight]]*((_xlfn.XMATCH(Table261425678[[#This Row],[6]],Table261425678[[#This Row],[1]:[11]],0))-1)/(COUNTA(Table261425678[[#This Row],[1]:[11]])-COUNTBLANK(Table261425678[[#This Row],[1]:[11]])-1)))</f>
        <v/>
      </c>
      <c r="AE54" s="30" t="str" cm="1">
        <f t="array" ref="AE54">IF(Table261425678[[#This Row],[7]]="","",Table261425678[[#This Row],[Weight]:[Weight]]-(Table261425678[[#This Row],[Weight]:[Weight]]*((_xlfn.XMATCH(Table261425678[[#This Row],[7]],Table261425678[[#This Row],[1]:[11]],0))-1)/(COUNTA(Table261425678[[#This Row],[1]:[11]])-COUNTBLANK(Table261425678[[#This Row],[1]:[11]])-1)))</f>
        <v/>
      </c>
      <c r="AF54" s="30" t="str" cm="1">
        <f t="array" ref="AF54">IF(Table261425678[[#This Row],[8]]="","",Table261425678[[#This Row],[Weight]:[Weight]]-(Table261425678[[#This Row],[Weight]:[Weight]]*((_xlfn.XMATCH(Table261425678[[#This Row],[8]],Table261425678[[#This Row],[1]:[11]],0))-1)/(COUNTA(Table261425678[[#This Row],[1]:[11]])-COUNTBLANK(Table261425678[[#This Row],[1]:[11]])-1)))</f>
        <v/>
      </c>
      <c r="AG54" s="30" t="str" cm="1">
        <f t="array" ref="AG54">IF(Table261425678[[#This Row],[9]]="","",Table261425678[[#This Row],[Weight]:[Weight]]-(Table261425678[[#This Row],[Weight]:[Weight]]*((_xlfn.XMATCH(Table261425678[[#This Row],[9]],Table261425678[[#This Row],[1]:[11]],0))-1)/(COUNTA(Table261425678[[#This Row],[1]:[11]])-COUNTBLANK(Table261425678[[#This Row],[1]:[11]])-1)))</f>
        <v/>
      </c>
      <c r="AH54" s="30" t="str" cm="1">
        <f t="array" ref="AH54">IF(Table261425678[[#This Row],[10]]="","",Table261425678[[#This Row],[Weight]:[Weight]]-(Table261425678[[#This Row],[Weight]:[Weight]]*((_xlfn.XMATCH(Table261425678[[#This Row],[10]],Table261425678[[#This Row],[1]:[11]],0))-1)/(COUNTA(Table261425678[[#This Row],[1]:[11]])-COUNTBLANK(Table261425678[[#This Row],[1]:[11]])-1)))</f>
        <v/>
      </c>
      <c r="AI54" s="30" t="str" cm="1">
        <f t="array" ref="AI54">IF(Table261425678[[#This Row],[11]]="","",Table261425678[[#This Row],[Weight]:[Weight]]-(Table261425678[[#This Row],[Weight]:[Weight]]*((_xlfn.XMATCH(Table261425678[[#This Row],[11]],Table261425678[[#This Row],[1]:[11]],0))-1)/(COUNTA(Table261425678[[#This Row],[1]:[11]])-COUNTBLANK(Table261425678[[#This Row],[1]:[11]])-1)))</f>
        <v/>
      </c>
    </row>
  </sheetData>
  <sheetProtection insertRows="0" insertHyperlinks="0" deleteRows="0" autoFilter="0"/>
  <mergeCells count="4">
    <mergeCell ref="E2:F3"/>
    <mergeCell ref="A10:A11"/>
    <mergeCell ref="B10:C11"/>
    <mergeCell ref="D10:E11"/>
  </mergeCells>
  <conditionalFormatting sqref="K13:K54">
    <cfRule type="expression" dxfId="368" priority="1">
      <formula>COUNTIF(N13:X13,K13)&lt;&gt;1</formula>
    </cfRule>
  </conditionalFormatting>
  <dataValidations count="4">
    <dataValidation type="list" allowBlank="1" showInputMessage="1" showErrorMessage="1" sqref="F13:F54" xr:uid="{481226B3-7FCA-4437-B5E0-66AFCA0CA102}">
      <formula1>"No interest,Nice to have,Useful,Important,Very important,Critical,Show stopper"</formula1>
    </dataValidation>
    <dataValidation type="list" allowBlank="1" showInputMessage="1" showErrorMessage="1" sqref="M14" xr:uid="{76EE0995-A712-47FC-A056-3AF28B62666B}">
      <formula1>_xlfn.UNIQUE(TRIM(_xlfn.TEXTSPLIT(#REF!,",")))</formula1>
    </dataValidation>
    <dataValidation type="list" allowBlank="1" showInputMessage="1" showErrorMessage="1" sqref="K13:K54" xr:uid="{72DA0F48-5847-4032-8FF8-3AA6436FC6D5}">
      <formula1>$N13:$X13</formula1>
    </dataValidation>
    <dataValidation type="list" allowBlank="1" showInputMessage="1" showErrorMessage="1" sqref="H13:H54" xr:uid="{D3136E00-59D7-4CB5-8B90-1D4AB51F5B02}">
      <formula1>N13:R13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2701D-8743-400E-98DB-8C2AE01CAEB6}">
  <sheetPr>
    <tabColor rgb="FF92D050"/>
    <pageSetUpPr fitToPage="1"/>
  </sheetPr>
  <dimension ref="A2:AI46"/>
  <sheetViews>
    <sheetView zoomScale="80" zoomScaleNormal="100" workbookViewId="0">
      <pane xSplit="1" ySplit="11" topLeftCell="B12" activePane="bottomRight" state="frozen"/>
      <selection pane="topRight" activeCell="D7" sqref="D7"/>
      <selection pane="bottomLeft" activeCell="D7" sqref="D7"/>
      <selection pane="bottomRight" activeCell="M1" sqref="M1:AL104857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30.425781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Summary'!C20</f>
        <v>3.7499999999999999E-2</v>
      </c>
      <c r="G11" s="43">
        <f>SUM(Table2614256789[Priority])</f>
        <v>196</v>
      </c>
      <c r="H11" s="8">
        <f>SUM(Table2614256789[Weight])</f>
        <v>3.7500000000000006E-2</v>
      </c>
      <c r="I11" s="7"/>
      <c r="J11" s="7"/>
      <c r="K11" s="9" t="s">
        <v>17</v>
      </c>
      <c r="L11" s="8" t="e">
        <f>SUM(Table2614256789[Score])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08" x14ac:dyDescent="0.2">
      <c r="A13" s="20">
        <v>1</v>
      </c>
      <c r="B13" s="90" t="s">
        <v>490</v>
      </c>
      <c r="C13" s="119" t="s">
        <v>215</v>
      </c>
      <c r="D13" s="90"/>
      <c r="E13" s="90" t="s">
        <v>55</v>
      </c>
      <c r="F13" s="120" t="s">
        <v>60</v>
      </c>
      <c r="G13" s="148" cm="1">
        <f t="array" ref="G13">_xlfn.IFS(F13="","",F13="No interest",0,F13="Nice to have",1,F13="Useful",2,F13="Important",3,F13="Very important",4,F13="Critical",5,F13="Show stopper",6)</f>
        <v>6</v>
      </c>
      <c r="H13" s="149">
        <f t="shared" ref="H13:H16" si="0">(G13/$G$11)*$F$11</f>
        <v>1.1479591836734693E-3</v>
      </c>
      <c r="I13" s="150" t="s">
        <v>321</v>
      </c>
      <c r="J13" s="25" t="str" cm="1">
        <f t="array" ref="J13">_xlfn.TEXTJOIN(","&amp;CHAR(10),,TEXT(Table2614256789[[#This Row],[12]:[22]],"0,00%"))</f>
        <v>0,00%,
0,00%,
0,00%,
0,00%,
0,00%</v>
      </c>
      <c r="K13" s="26"/>
      <c r="L13" s="27" t="e">
        <f>H13-(H13*((MATCH(Table2614256789[[#This Row],[Evaluators Response (SELECT)]],Table2614256789[[#This Row],[1]:[11]],0)-1)/(COUNTA(Table2614256789[[#This Row],[1]:[11]])-COUNTBLANK(Table2614256789[[#This Row],[1]:[11]])-1)))</f>
        <v>#N/A</v>
      </c>
      <c r="M13" s="28"/>
      <c r="N13" s="29" t="str" cm="1">
        <f t="array" ref="N13">IFERROR(INDEX(_xlfn.UNIQUE(TRIM(_xlfn.TEXTSPLIT(Table2614256789[[#This Row],[Selection Options]:[Selection Options]],","))),,N$11),"")</f>
        <v>100%: Supported as delivered "out of the box"</v>
      </c>
      <c r="O13" s="29" t="str" cm="1">
        <f t="array" ref="O13">IFERROR(INDEX(_xlfn.UNIQUE(TRIM(_xlfn.TEXTSPLIT(Table2614256789[[#This Row],[Selection Options]:[Selection Options]],","))),,O$11),"")</f>
        <v xml:space="preserve">
75%: Supported via modifications (config)</v>
      </c>
      <c r="P13" s="29" t="str" cm="1">
        <f t="array" ref="P13">IFERROR(INDEX(_xlfn.UNIQUE(TRIM(_xlfn.TEXTSPLIT(Table2614256789[[#This Row],[Selection Options]:[Selection Options]],","))),,P$11),"")</f>
        <v xml:space="preserve">
50%: Supported via a third party solution</v>
      </c>
      <c r="Q13" s="29" t="str" cm="1">
        <f t="array" ref="Q13">IFERROR(INDEX(_xlfn.UNIQUE(TRIM(_xlfn.TEXTSPLIT(Table2614256789[[#This Row],[Selection Options]:[Selection Options]],","))),,Q$11),"")</f>
        <v xml:space="preserve">
25%: Supported via customisation (source code changes)</v>
      </c>
      <c r="R13" s="29" t="str" cm="1">
        <f t="array" ref="R13">IFERROR(INDEX(_xlfn.UNIQUE(TRIM(_xlfn.TEXTSPLIT(Table2614256789[[#This Row],[Selection Options]:[Selection Options]],","))),,R$11),"")</f>
        <v xml:space="preserve">
 0%: Not currently supported</v>
      </c>
      <c r="S13" s="29" t="str" cm="1">
        <f t="array" ref="S13">IFERROR(INDEX(_xlfn.UNIQUE(TRIM(_xlfn.TEXTSPLIT(Table2614256789[[#This Row],[Selection Options]:[Selection Options]],","))),,S$11),"")</f>
        <v/>
      </c>
      <c r="T13" s="29" t="str" cm="1">
        <f t="array" ref="T13">IFERROR(INDEX(_xlfn.UNIQUE(TRIM(_xlfn.TEXTSPLIT(Table2614256789[[#This Row],[Selection Options]:[Selection Options]],","))),,T$11),"")</f>
        <v/>
      </c>
      <c r="U13" s="29" t="str" cm="1">
        <f t="array" ref="U13">IFERROR(INDEX(_xlfn.UNIQUE(TRIM(_xlfn.TEXTSPLIT(Table2614256789[[#This Row],[Selection Options]:[Selection Options]],","))),,U$11),"")</f>
        <v/>
      </c>
      <c r="V13" s="29" t="str" cm="1">
        <f t="array" ref="V13">IFERROR(INDEX(_xlfn.UNIQUE(TRIM(_xlfn.TEXTSPLIT(Table2614256789[[#This Row],[Selection Options]:[Selection Options]],","))),,V$11),"")</f>
        <v/>
      </c>
      <c r="W13" s="29" t="str" cm="1">
        <f t="array" ref="W13">IFERROR(INDEX(_xlfn.UNIQUE(TRIM(_xlfn.TEXTSPLIT(Table2614256789[[#This Row],[Selection Options]:[Selection Options]],","))),,W$11),"")</f>
        <v/>
      </c>
      <c r="X13" s="29" t="str" cm="1">
        <f t="array" ref="X13">IFERROR(INDEX(_xlfn.UNIQUE(TRIM(_xlfn.TEXTSPLIT(Table2614256789[[#This Row],[Selection Options]:[Selection Options]],","))),,X$11),"")</f>
        <v/>
      </c>
      <c r="Y13" s="30" cm="1">
        <f t="array" ref="Y13">IF(Table2614256789[[#This Row],[1]]="","",Table2614256789[[#This Row],[Weight]:[Weight]]-(Table2614256789[[#This Row],[Weight]:[Weight]]*((_xlfn.XMATCH(Table2614256789[[#This Row],[1]],Table2614256789[[#This Row],[1]:[11]],0))-1)/(COUNTA(Table2614256789[[#This Row],[1]:[11]])-COUNTBLANK(Table2614256789[[#This Row],[1]:[11]])-1)))</f>
        <v>1.1479591836734693E-3</v>
      </c>
      <c r="Z13" s="30" cm="1">
        <f t="array" ref="Z13">IF(Table2614256789[[#This Row],[2]]="","",Table2614256789[[#This Row],[Weight]:[Weight]]-(Table2614256789[[#This Row],[Weight]:[Weight]]*((_xlfn.XMATCH(Table2614256789[[#This Row],[2]],Table2614256789[[#This Row],[1]:[11]],0))-1)/(COUNTA(Table2614256789[[#This Row],[1]:[11]])-COUNTBLANK(Table2614256789[[#This Row],[1]:[11]])-1)))</f>
        <v>8.6096938775510196E-4</v>
      </c>
      <c r="AA13" s="30" cm="1">
        <f t="array" ref="AA13">IF(Table2614256789[[#This Row],[3]]="","",Table2614256789[[#This Row],[Weight]:[Weight]]-(Table2614256789[[#This Row],[Weight]:[Weight]]*((_xlfn.XMATCH(Table2614256789[[#This Row],[3]],Table2614256789[[#This Row],[1]:[11]],0))-1)/(COUNTA(Table2614256789[[#This Row],[1]:[11]])-COUNTBLANK(Table2614256789[[#This Row],[1]:[11]])-1)))</f>
        <v>5.7397959183673464E-4</v>
      </c>
      <c r="AB13" s="30" cm="1">
        <f t="array" ref="AB13">IF(Table2614256789[[#This Row],[4]]="","",Table2614256789[[#This Row],[Weight]:[Weight]]-(Table2614256789[[#This Row],[Weight]:[Weight]]*((_xlfn.XMATCH(Table2614256789[[#This Row],[4]],Table2614256789[[#This Row],[1]:[11]],0))-1)/(COUNTA(Table2614256789[[#This Row],[1]:[11]])-COUNTBLANK(Table2614256789[[#This Row],[1]:[11]])-1)))</f>
        <v>2.8698979591836732E-4</v>
      </c>
      <c r="AC13" s="30" cm="1">
        <f t="array" ref="AC13">IF(Table2614256789[[#This Row],[5]]="","",Table2614256789[[#This Row],[Weight]:[Weight]]-(Table2614256789[[#This Row],[Weight]:[Weight]]*((_xlfn.XMATCH(Table2614256789[[#This Row],[5]],Table2614256789[[#This Row],[1]:[11]],0))-1)/(COUNTA(Table2614256789[[#This Row],[1]:[11]])-COUNTBLANK(Table2614256789[[#This Row],[1]:[11]])-1)))</f>
        <v>0</v>
      </c>
      <c r="AD13" s="30" t="str" cm="1">
        <f t="array" ref="AD13">IF(Table2614256789[[#This Row],[6]]="","",Table2614256789[[#This Row],[Weight]:[Weight]]-(Table2614256789[[#This Row],[Weight]:[Weight]]*((_xlfn.XMATCH(Table2614256789[[#This Row],[6]],Table2614256789[[#This Row],[1]:[11]],0))-1)/(COUNTA(Table2614256789[[#This Row],[1]:[11]])-COUNTBLANK(Table2614256789[[#This Row],[1]:[11]])-1)))</f>
        <v/>
      </c>
      <c r="AE13" s="30" t="str" cm="1">
        <f t="array" ref="AE13">IF(Table2614256789[[#This Row],[7]]="","",Table2614256789[[#This Row],[Weight]:[Weight]]-(Table2614256789[[#This Row],[Weight]:[Weight]]*((_xlfn.XMATCH(Table2614256789[[#This Row],[7]],Table2614256789[[#This Row],[1]:[11]],0))-1)/(COUNTA(Table2614256789[[#This Row],[1]:[11]])-COUNTBLANK(Table2614256789[[#This Row],[1]:[11]])-1)))</f>
        <v/>
      </c>
      <c r="AF13" s="30" t="str" cm="1">
        <f t="array" ref="AF13">IF(Table2614256789[[#This Row],[8]]="","",Table2614256789[[#This Row],[Weight]:[Weight]]-(Table2614256789[[#This Row],[Weight]:[Weight]]*((_xlfn.XMATCH(Table2614256789[[#This Row],[8]],Table2614256789[[#This Row],[1]:[11]],0))-1)/(COUNTA(Table2614256789[[#This Row],[1]:[11]])-COUNTBLANK(Table2614256789[[#This Row],[1]:[11]])-1)))</f>
        <v/>
      </c>
      <c r="AG13" s="30" t="str" cm="1">
        <f t="array" ref="AG13">IF(Table2614256789[[#This Row],[9]]="","",Table2614256789[[#This Row],[Weight]:[Weight]]-(Table2614256789[[#This Row],[Weight]:[Weight]]*((_xlfn.XMATCH(Table2614256789[[#This Row],[9]],Table2614256789[[#This Row],[1]:[11]],0))-1)/(COUNTA(Table2614256789[[#This Row],[1]:[11]])-COUNTBLANK(Table2614256789[[#This Row],[1]:[11]])-1)))</f>
        <v/>
      </c>
      <c r="AH13" s="30" t="str" cm="1">
        <f t="array" ref="AH13">IF(Table2614256789[[#This Row],[10]]="","",Table2614256789[[#This Row],[Weight]:[Weight]]-(Table2614256789[[#This Row],[Weight]:[Weight]]*((_xlfn.XMATCH(Table2614256789[[#This Row],[10]],Table2614256789[[#This Row],[1]:[11]],0))-1)/(COUNTA(Table2614256789[[#This Row],[1]:[11]])-COUNTBLANK(Table2614256789[[#This Row],[1]:[11]])-1)))</f>
        <v/>
      </c>
      <c r="AI13" s="30" t="str" cm="1">
        <f t="array" ref="AI13">IF(Table2614256789[[#This Row],[11]]="","",Table2614256789[[#This Row],[Weight]:[Weight]]-(Table2614256789[[#This Row],[Weight]:[Weight]]*((_xlfn.XMATCH(Table2614256789[[#This Row],[11]],Table2614256789[[#This Row],[1]:[11]],0))-1)/(COUNTA(Table2614256789[[#This Row],[1]:[11]])-COUNTBLANK(Table2614256789[[#This Row],[1]:[11]])-1)))</f>
        <v/>
      </c>
    </row>
    <row r="14" spans="1:35" ht="108" x14ac:dyDescent="0.2">
      <c r="A14" s="20">
        <v>2</v>
      </c>
      <c r="B14" s="90" t="s">
        <v>246</v>
      </c>
      <c r="C14" s="119" t="s">
        <v>215</v>
      </c>
      <c r="D14" s="146"/>
      <c r="E14" s="146"/>
      <c r="F14" s="120" t="s">
        <v>60</v>
      </c>
      <c r="G14" s="148" cm="1">
        <f t="array" ref="G14">_xlfn.IFS(F14="","",F14="No interest",0,F14="Nice to have",1,F14="Useful",2,F14="Important",3,F14="Very important",4,F14="Critical",5,F14="Show stopper",6)</f>
        <v>6</v>
      </c>
      <c r="H14" s="149">
        <f t="shared" si="0"/>
        <v>1.1479591836734693E-3</v>
      </c>
      <c r="I14" s="150" t="s">
        <v>321</v>
      </c>
      <c r="J14" s="25" t="str" cm="1">
        <f t="array" ref="J14">_xlfn.TEXTJOIN(","&amp;CHAR(10),,TEXT(Table2614256789[[#This Row],[12]:[22]],"0,00%"))</f>
        <v>0,00%,
0,00%,
0,00%,
0,00%,
0,00%</v>
      </c>
      <c r="K14" s="26"/>
      <c r="L14" s="27" t="e">
        <f>H14-(H14*((MATCH(Table2614256789[[#This Row],[Evaluators Response (SELECT)]],Table2614256789[[#This Row],[1]:[11]],0)-1)/(COUNTA(Table2614256789[[#This Row],[1]:[11]])-COUNTBLANK(Table2614256789[[#This Row],[1]:[11]])-1)))</f>
        <v>#N/A</v>
      </c>
      <c r="M14" s="28"/>
      <c r="N14" s="29" t="str" cm="1">
        <f t="array" ref="N14">IFERROR(INDEX(_xlfn.UNIQUE(TRIM(_xlfn.TEXTSPLIT(Table2614256789[[#This Row],[Selection Options]:[Selection Options]],","))),,N$11),"")</f>
        <v>100%: Supported as delivered "out of the box"</v>
      </c>
      <c r="O14" s="29" t="str" cm="1">
        <f t="array" ref="O14">IFERROR(INDEX(_xlfn.UNIQUE(TRIM(_xlfn.TEXTSPLIT(Table2614256789[[#This Row],[Selection Options]:[Selection Options]],","))),,O$11),"")</f>
        <v xml:space="preserve">
75%: Supported via modifications (config)</v>
      </c>
      <c r="P14" s="29" t="str" cm="1">
        <f t="array" ref="P14">IFERROR(INDEX(_xlfn.UNIQUE(TRIM(_xlfn.TEXTSPLIT(Table2614256789[[#This Row],[Selection Options]:[Selection Options]],","))),,P$11),"")</f>
        <v xml:space="preserve">
50%: Supported via a third party solution</v>
      </c>
      <c r="Q14" s="29" t="str" cm="1">
        <f t="array" ref="Q14">IFERROR(INDEX(_xlfn.UNIQUE(TRIM(_xlfn.TEXTSPLIT(Table2614256789[[#This Row],[Selection Options]:[Selection Options]],","))),,Q$11),"")</f>
        <v xml:space="preserve">
25%: Supported via customisation (source code changes)</v>
      </c>
      <c r="R14" s="29" t="str" cm="1">
        <f t="array" ref="R14">IFERROR(INDEX(_xlfn.UNIQUE(TRIM(_xlfn.TEXTSPLIT(Table2614256789[[#This Row],[Selection Options]:[Selection Options]],","))),,R$11),"")</f>
        <v xml:space="preserve">
 0%: Not currently supported</v>
      </c>
      <c r="S14" s="29" t="str" cm="1">
        <f t="array" ref="S14">IFERROR(INDEX(_xlfn.UNIQUE(TRIM(_xlfn.TEXTSPLIT(Table2614256789[[#This Row],[Selection Options]:[Selection Options]],","))),,S$11),"")</f>
        <v/>
      </c>
      <c r="T14" s="29" t="str" cm="1">
        <f t="array" ref="T14">IFERROR(INDEX(_xlfn.UNIQUE(TRIM(_xlfn.TEXTSPLIT(Table2614256789[[#This Row],[Selection Options]:[Selection Options]],","))),,T$11),"")</f>
        <v/>
      </c>
      <c r="U14" s="29" t="str" cm="1">
        <f t="array" ref="U14">IFERROR(INDEX(_xlfn.UNIQUE(TRIM(_xlfn.TEXTSPLIT(Table2614256789[[#This Row],[Selection Options]:[Selection Options]],","))),,U$11),"")</f>
        <v/>
      </c>
      <c r="V14" s="29" t="str" cm="1">
        <f t="array" ref="V14">IFERROR(INDEX(_xlfn.UNIQUE(TRIM(_xlfn.TEXTSPLIT(Table2614256789[[#This Row],[Selection Options]:[Selection Options]],","))),,V$11),"")</f>
        <v/>
      </c>
      <c r="W14" s="29" t="str" cm="1">
        <f t="array" ref="W14">IFERROR(INDEX(_xlfn.UNIQUE(TRIM(_xlfn.TEXTSPLIT(Table2614256789[[#This Row],[Selection Options]:[Selection Options]],","))),,W$11),"")</f>
        <v/>
      </c>
      <c r="X14" s="29" t="str" cm="1">
        <f t="array" ref="X14">IFERROR(INDEX(_xlfn.UNIQUE(TRIM(_xlfn.TEXTSPLIT(Table2614256789[[#This Row],[Selection Options]:[Selection Options]],","))),,X$11),"")</f>
        <v/>
      </c>
      <c r="Y14" s="30" cm="1">
        <f t="array" ref="Y14">IF(Table2614256789[[#This Row],[1]]="","",Table2614256789[[#This Row],[Weight]:[Weight]]-(Table2614256789[[#This Row],[Weight]:[Weight]]*((_xlfn.XMATCH(Table2614256789[[#This Row],[1]],Table2614256789[[#This Row],[1]:[11]],0))-1)/(COUNTA(Table2614256789[[#This Row],[1]:[11]])-COUNTBLANK(Table2614256789[[#This Row],[1]:[11]])-1)))</f>
        <v>1.1479591836734693E-3</v>
      </c>
      <c r="Z14" s="30" cm="1">
        <f t="array" ref="Z14">IF(Table2614256789[[#This Row],[2]]="","",Table2614256789[[#This Row],[Weight]:[Weight]]-(Table2614256789[[#This Row],[Weight]:[Weight]]*((_xlfn.XMATCH(Table2614256789[[#This Row],[2]],Table2614256789[[#This Row],[1]:[11]],0))-1)/(COUNTA(Table2614256789[[#This Row],[1]:[11]])-COUNTBLANK(Table2614256789[[#This Row],[1]:[11]])-1)))</f>
        <v>8.6096938775510196E-4</v>
      </c>
      <c r="AA14" s="30" cm="1">
        <f t="array" ref="AA14">IF(Table2614256789[[#This Row],[3]]="","",Table2614256789[[#This Row],[Weight]:[Weight]]-(Table2614256789[[#This Row],[Weight]:[Weight]]*((_xlfn.XMATCH(Table2614256789[[#This Row],[3]],Table2614256789[[#This Row],[1]:[11]],0))-1)/(COUNTA(Table2614256789[[#This Row],[1]:[11]])-COUNTBLANK(Table2614256789[[#This Row],[1]:[11]])-1)))</f>
        <v>5.7397959183673464E-4</v>
      </c>
      <c r="AB14" s="30" cm="1">
        <f t="array" ref="AB14">IF(Table2614256789[[#This Row],[4]]="","",Table2614256789[[#This Row],[Weight]:[Weight]]-(Table2614256789[[#This Row],[Weight]:[Weight]]*((_xlfn.XMATCH(Table2614256789[[#This Row],[4]],Table2614256789[[#This Row],[1]:[11]],0))-1)/(COUNTA(Table2614256789[[#This Row],[1]:[11]])-COUNTBLANK(Table2614256789[[#This Row],[1]:[11]])-1)))</f>
        <v>2.8698979591836732E-4</v>
      </c>
      <c r="AC14" s="30" cm="1">
        <f t="array" ref="AC14">IF(Table2614256789[[#This Row],[5]]="","",Table2614256789[[#This Row],[Weight]:[Weight]]-(Table2614256789[[#This Row],[Weight]:[Weight]]*((_xlfn.XMATCH(Table2614256789[[#This Row],[5]],Table2614256789[[#This Row],[1]:[11]],0))-1)/(COUNTA(Table2614256789[[#This Row],[1]:[11]])-COUNTBLANK(Table2614256789[[#This Row],[1]:[11]])-1)))</f>
        <v>0</v>
      </c>
      <c r="AD14" s="30" t="str" cm="1">
        <f t="array" ref="AD14">IF(Table2614256789[[#This Row],[6]]="","",Table2614256789[[#This Row],[Weight]:[Weight]]-(Table2614256789[[#This Row],[Weight]:[Weight]]*((_xlfn.XMATCH(Table2614256789[[#This Row],[6]],Table2614256789[[#This Row],[1]:[11]],0))-1)/(COUNTA(Table2614256789[[#This Row],[1]:[11]])-COUNTBLANK(Table2614256789[[#This Row],[1]:[11]])-1)))</f>
        <v/>
      </c>
      <c r="AE14" s="30" t="str" cm="1">
        <f t="array" ref="AE14">IF(Table2614256789[[#This Row],[7]]="","",Table2614256789[[#This Row],[Weight]:[Weight]]-(Table2614256789[[#This Row],[Weight]:[Weight]]*((_xlfn.XMATCH(Table2614256789[[#This Row],[7]],Table2614256789[[#This Row],[1]:[11]],0))-1)/(COUNTA(Table2614256789[[#This Row],[1]:[11]])-COUNTBLANK(Table2614256789[[#This Row],[1]:[11]])-1)))</f>
        <v/>
      </c>
      <c r="AF14" s="30" t="str" cm="1">
        <f t="array" ref="AF14">IF(Table2614256789[[#This Row],[8]]="","",Table2614256789[[#This Row],[Weight]:[Weight]]-(Table2614256789[[#This Row],[Weight]:[Weight]]*((_xlfn.XMATCH(Table2614256789[[#This Row],[8]],Table2614256789[[#This Row],[1]:[11]],0))-1)/(COUNTA(Table2614256789[[#This Row],[1]:[11]])-COUNTBLANK(Table2614256789[[#This Row],[1]:[11]])-1)))</f>
        <v/>
      </c>
      <c r="AG14" s="30" t="str" cm="1">
        <f t="array" ref="AG14">IF(Table2614256789[[#This Row],[9]]="","",Table2614256789[[#This Row],[Weight]:[Weight]]-(Table2614256789[[#This Row],[Weight]:[Weight]]*((_xlfn.XMATCH(Table2614256789[[#This Row],[9]],Table2614256789[[#This Row],[1]:[11]],0))-1)/(COUNTA(Table2614256789[[#This Row],[1]:[11]])-COUNTBLANK(Table2614256789[[#This Row],[1]:[11]])-1)))</f>
        <v/>
      </c>
      <c r="AH14" s="30" t="str" cm="1">
        <f t="array" ref="AH14">IF(Table2614256789[[#This Row],[10]]="","",Table2614256789[[#This Row],[Weight]:[Weight]]-(Table2614256789[[#This Row],[Weight]:[Weight]]*((_xlfn.XMATCH(Table2614256789[[#This Row],[10]],Table2614256789[[#This Row],[1]:[11]],0))-1)/(COUNTA(Table2614256789[[#This Row],[1]:[11]])-COUNTBLANK(Table2614256789[[#This Row],[1]:[11]])-1)))</f>
        <v/>
      </c>
      <c r="AI14" s="30" t="str" cm="1">
        <f t="array" ref="AI14">IF(Table2614256789[[#This Row],[11]]="","",Table2614256789[[#This Row],[Weight]:[Weight]]-(Table2614256789[[#This Row],[Weight]:[Weight]]*((_xlfn.XMATCH(Table2614256789[[#This Row],[11]],Table2614256789[[#This Row],[1]:[11]],0))-1)/(COUNTA(Table2614256789[[#This Row],[1]:[11]])-COUNTBLANK(Table2614256789[[#This Row],[1]:[11]])-1)))</f>
        <v/>
      </c>
    </row>
    <row r="15" spans="1:35" ht="108" x14ac:dyDescent="0.2">
      <c r="A15" s="20">
        <v>3</v>
      </c>
      <c r="B15" s="119" t="s">
        <v>491</v>
      </c>
      <c r="C15" s="119" t="s">
        <v>215</v>
      </c>
      <c r="D15" s="147"/>
      <c r="E15" s="147"/>
      <c r="F15" s="121" t="s">
        <v>183</v>
      </c>
      <c r="G15" s="151" cm="1">
        <f t="array" ref="G15">_xlfn.IFS(F15="","",F15="No interest",0,F15="Nice to have",1,F15="Useful",2,F15="Important",3,F15="Very important",4,F15="Critical",5,F15="Show stopper",6)</f>
        <v>4</v>
      </c>
      <c r="H15" s="152">
        <f t="shared" si="0"/>
        <v>7.6530612244897955E-4</v>
      </c>
      <c r="I15" s="150" t="s">
        <v>321</v>
      </c>
      <c r="J15" s="35" t="str" cm="1">
        <f t="array" ref="J15">_xlfn.TEXTJOIN(","&amp;CHAR(10),,TEXT(Table2614256789[[#This Row],[12]:[22]],"0,00%"))</f>
        <v>0,00%,
0,00%,
0,00%,
0,00%,
0,00%</v>
      </c>
      <c r="K15" s="36"/>
      <c r="L15" s="37" t="e">
        <f>H15-(H15*((MATCH(Table2614256789[[#This Row],[Evaluators Response (SELECT)]],Table2614256789[[#This Row],[1]:[11]],0)-1)/(COUNTA(Table2614256789[[#This Row],[1]:[11]])-COUNTBLANK(Table2614256789[[#This Row],[1]:[11]])-1)))</f>
        <v>#N/A</v>
      </c>
      <c r="M15" s="38"/>
      <c r="N15" s="29" t="str" cm="1">
        <f t="array" ref="N15">IFERROR(INDEX(_xlfn.UNIQUE(TRIM(_xlfn.TEXTSPLIT(Table2614256789[[#This Row],[Selection Options]:[Selection Options]],","))),,N$11),"")</f>
        <v>100%: Supported as delivered "out of the box"</v>
      </c>
      <c r="O15" s="29" t="str" cm="1">
        <f t="array" ref="O15">IFERROR(INDEX(_xlfn.UNIQUE(TRIM(_xlfn.TEXTSPLIT(Table2614256789[[#This Row],[Selection Options]:[Selection Options]],","))),,O$11),"")</f>
        <v xml:space="preserve">
75%: Supported via modifications (config)</v>
      </c>
      <c r="P15" s="29" t="str" cm="1">
        <f t="array" ref="P15">IFERROR(INDEX(_xlfn.UNIQUE(TRIM(_xlfn.TEXTSPLIT(Table2614256789[[#This Row],[Selection Options]:[Selection Options]],","))),,P$11),"")</f>
        <v xml:space="preserve">
50%: Supported via a third party solution</v>
      </c>
      <c r="Q15" s="29" t="str" cm="1">
        <f t="array" ref="Q15">IFERROR(INDEX(_xlfn.UNIQUE(TRIM(_xlfn.TEXTSPLIT(Table2614256789[[#This Row],[Selection Options]:[Selection Options]],","))),,Q$11),"")</f>
        <v xml:space="preserve">
25%: Supported via customisation (source code changes)</v>
      </c>
      <c r="R15" s="29" t="str" cm="1">
        <f t="array" ref="R15">IFERROR(INDEX(_xlfn.UNIQUE(TRIM(_xlfn.TEXTSPLIT(Table2614256789[[#This Row],[Selection Options]:[Selection Options]],","))),,R$11),"")</f>
        <v xml:space="preserve">
 0%: Not currently supported</v>
      </c>
      <c r="S15" s="29" t="str" cm="1">
        <f t="array" ref="S15">IFERROR(INDEX(_xlfn.UNIQUE(TRIM(_xlfn.TEXTSPLIT(Table2614256789[[#This Row],[Selection Options]:[Selection Options]],","))),,S$11),"")</f>
        <v/>
      </c>
      <c r="T15" s="29" t="str" cm="1">
        <f t="array" ref="T15">IFERROR(INDEX(_xlfn.UNIQUE(TRIM(_xlfn.TEXTSPLIT(Table2614256789[[#This Row],[Selection Options]:[Selection Options]],","))),,T$11),"")</f>
        <v/>
      </c>
      <c r="U15" s="29" t="str" cm="1">
        <f t="array" ref="U15">IFERROR(INDEX(_xlfn.UNIQUE(TRIM(_xlfn.TEXTSPLIT(Table2614256789[[#This Row],[Selection Options]:[Selection Options]],","))),,U$11),"")</f>
        <v/>
      </c>
      <c r="V15" s="29" t="str" cm="1">
        <f t="array" ref="V15">IFERROR(INDEX(_xlfn.UNIQUE(TRIM(_xlfn.TEXTSPLIT(Table2614256789[[#This Row],[Selection Options]:[Selection Options]],","))),,V$11),"")</f>
        <v/>
      </c>
      <c r="W15" s="29" t="str" cm="1">
        <f t="array" ref="W15">IFERROR(INDEX(_xlfn.UNIQUE(TRIM(_xlfn.TEXTSPLIT(Table2614256789[[#This Row],[Selection Options]:[Selection Options]],","))),,W$11),"")</f>
        <v/>
      </c>
      <c r="X15" s="29" t="str" cm="1">
        <f t="array" ref="X15">IFERROR(INDEX(_xlfn.UNIQUE(TRIM(_xlfn.TEXTSPLIT(Table2614256789[[#This Row],[Selection Options]:[Selection Options]],","))),,X$11),"")</f>
        <v/>
      </c>
      <c r="Y15" s="30" cm="1">
        <f t="array" ref="Y15">IF(Table2614256789[[#This Row],[1]]="","",Table2614256789[[#This Row],[Weight]:[Weight]]-(Table2614256789[[#This Row],[Weight]:[Weight]]*((_xlfn.XMATCH(Table2614256789[[#This Row],[1]],Table2614256789[[#This Row],[1]:[11]],0))-1)/(COUNTA(Table2614256789[[#This Row],[1]:[11]])-COUNTBLANK(Table2614256789[[#This Row],[1]:[11]])-1)))</f>
        <v>7.6530612244897955E-4</v>
      </c>
      <c r="Z15" s="30" cm="1">
        <f t="array" ref="Z15">IF(Table2614256789[[#This Row],[2]]="","",Table2614256789[[#This Row],[Weight]:[Weight]]-(Table2614256789[[#This Row],[Weight]:[Weight]]*((_xlfn.XMATCH(Table2614256789[[#This Row],[2]],Table2614256789[[#This Row],[1]:[11]],0))-1)/(COUNTA(Table2614256789[[#This Row],[1]:[11]])-COUNTBLANK(Table2614256789[[#This Row],[1]:[11]])-1)))</f>
        <v>5.7397959183673464E-4</v>
      </c>
      <c r="AA15" s="30" cm="1">
        <f t="array" ref="AA15">IF(Table2614256789[[#This Row],[3]]="","",Table2614256789[[#This Row],[Weight]:[Weight]]-(Table2614256789[[#This Row],[Weight]:[Weight]]*((_xlfn.XMATCH(Table2614256789[[#This Row],[3]],Table2614256789[[#This Row],[1]:[11]],0))-1)/(COUNTA(Table2614256789[[#This Row],[1]:[11]])-COUNTBLANK(Table2614256789[[#This Row],[1]:[11]])-1)))</f>
        <v>3.8265306122448978E-4</v>
      </c>
      <c r="AB15" s="30" cm="1">
        <f t="array" ref="AB15">IF(Table2614256789[[#This Row],[4]]="","",Table2614256789[[#This Row],[Weight]:[Weight]]-(Table2614256789[[#This Row],[Weight]:[Weight]]*((_xlfn.XMATCH(Table2614256789[[#This Row],[4]],Table2614256789[[#This Row],[1]:[11]],0))-1)/(COUNTA(Table2614256789[[#This Row],[1]:[11]])-COUNTBLANK(Table2614256789[[#This Row],[1]:[11]])-1)))</f>
        <v>1.9132653061224492E-4</v>
      </c>
      <c r="AC15" s="30" cm="1">
        <f t="array" ref="AC15">IF(Table2614256789[[#This Row],[5]]="","",Table2614256789[[#This Row],[Weight]:[Weight]]-(Table2614256789[[#This Row],[Weight]:[Weight]]*((_xlfn.XMATCH(Table2614256789[[#This Row],[5]],Table2614256789[[#This Row],[1]:[11]],0))-1)/(COUNTA(Table2614256789[[#This Row],[1]:[11]])-COUNTBLANK(Table2614256789[[#This Row],[1]:[11]])-1)))</f>
        <v>0</v>
      </c>
      <c r="AD15" s="30" t="str" cm="1">
        <f t="array" ref="AD15">IF(Table2614256789[[#This Row],[6]]="","",Table2614256789[[#This Row],[Weight]:[Weight]]-(Table2614256789[[#This Row],[Weight]:[Weight]]*((_xlfn.XMATCH(Table2614256789[[#This Row],[6]],Table2614256789[[#This Row],[1]:[11]],0))-1)/(COUNTA(Table2614256789[[#This Row],[1]:[11]])-COUNTBLANK(Table2614256789[[#This Row],[1]:[11]])-1)))</f>
        <v/>
      </c>
      <c r="AE15" s="30" t="str" cm="1">
        <f t="array" ref="AE15">IF(Table2614256789[[#This Row],[7]]="","",Table2614256789[[#This Row],[Weight]:[Weight]]-(Table2614256789[[#This Row],[Weight]:[Weight]]*((_xlfn.XMATCH(Table2614256789[[#This Row],[7]],Table2614256789[[#This Row],[1]:[11]],0))-1)/(COUNTA(Table2614256789[[#This Row],[1]:[11]])-COUNTBLANK(Table2614256789[[#This Row],[1]:[11]])-1)))</f>
        <v/>
      </c>
      <c r="AF15" s="30" t="str" cm="1">
        <f t="array" ref="AF15">IF(Table2614256789[[#This Row],[8]]="","",Table2614256789[[#This Row],[Weight]:[Weight]]-(Table2614256789[[#This Row],[Weight]:[Weight]]*((_xlfn.XMATCH(Table2614256789[[#This Row],[8]],Table2614256789[[#This Row],[1]:[11]],0))-1)/(COUNTA(Table2614256789[[#This Row],[1]:[11]])-COUNTBLANK(Table2614256789[[#This Row],[1]:[11]])-1)))</f>
        <v/>
      </c>
      <c r="AG15" s="30" t="str" cm="1">
        <f t="array" ref="AG15">IF(Table2614256789[[#This Row],[9]]="","",Table2614256789[[#This Row],[Weight]:[Weight]]-(Table2614256789[[#This Row],[Weight]:[Weight]]*((_xlfn.XMATCH(Table2614256789[[#This Row],[9]],Table2614256789[[#This Row],[1]:[11]],0))-1)/(COUNTA(Table2614256789[[#This Row],[1]:[11]])-COUNTBLANK(Table2614256789[[#This Row],[1]:[11]])-1)))</f>
        <v/>
      </c>
      <c r="AH15" s="30" t="str" cm="1">
        <f t="array" ref="AH15">IF(Table2614256789[[#This Row],[10]]="","",Table2614256789[[#This Row],[Weight]:[Weight]]-(Table2614256789[[#This Row],[Weight]:[Weight]]*((_xlfn.XMATCH(Table2614256789[[#This Row],[10]],Table2614256789[[#This Row],[1]:[11]],0))-1)/(COUNTA(Table2614256789[[#This Row],[1]:[11]])-COUNTBLANK(Table2614256789[[#This Row],[1]:[11]])-1)))</f>
        <v/>
      </c>
      <c r="AI15" s="30" t="str" cm="1">
        <f t="array" ref="AI15">IF(Table2614256789[[#This Row],[11]]="","",Table2614256789[[#This Row],[Weight]:[Weight]]-(Table2614256789[[#This Row],[Weight]:[Weight]]*((_xlfn.XMATCH(Table2614256789[[#This Row],[11]],Table2614256789[[#This Row],[1]:[11]],0))-1)/(COUNTA(Table2614256789[[#This Row],[1]:[11]])-COUNTBLANK(Table2614256789[[#This Row],[1]:[11]])-1)))</f>
        <v/>
      </c>
    </row>
    <row r="16" spans="1:35" ht="108" x14ac:dyDescent="0.2">
      <c r="A16" s="20">
        <v>4</v>
      </c>
      <c r="B16" s="90" t="s">
        <v>492</v>
      </c>
      <c r="C16" s="119" t="s">
        <v>215</v>
      </c>
      <c r="D16" s="146"/>
      <c r="E16" s="146"/>
      <c r="F16" s="120" t="s">
        <v>60</v>
      </c>
      <c r="G16" s="148" cm="1">
        <f t="array" ref="G16">_xlfn.IFS(F16="","",F16="No interest",0,F16="Nice to have",1,F16="Useful",2,F16="Important",3,F16="Very important",4,F16="Critical",5,F16="Show stopper",6)</f>
        <v>6</v>
      </c>
      <c r="H16" s="149">
        <f t="shared" si="0"/>
        <v>1.1479591836734693E-3</v>
      </c>
      <c r="I16" s="150" t="s">
        <v>321</v>
      </c>
      <c r="J16" s="25" t="str" cm="1">
        <f t="array" ref="J16">_xlfn.TEXTJOIN(","&amp;CHAR(10),,TEXT(Table2614256789[[#This Row],[12]:[22]],"0,00%"))</f>
        <v>0,00%,
0,00%,
0,00%,
0,00%,
0,00%</v>
      </c>
      <c r="K16" s="26"/>
      <c r="L16" s="27" t="e">
        <f>H16-(H16*((MATCH(Table2614256789[[#This Row],[Evaluators Response (SELECT)]],Table2614256789[[#This Row],[1]:[11]],0)-1)/(COUNTA(Table2614256789[[#This Row],[1]:[11]])-COUNTBLANK(Table2614256789[[#This Row],[1]:[11]])-1)))</f>
        <v>#N/A</v>
      </c>
      <c r="M16" s="28"/>
      <c r="N16" s="29" t="str" cm="1">
        <f t="array" ref="N16">IFERROR(INDEX(_xlfn.UNIQUE(TRIM(_xlfn.TEXTSPLIT(Table2614256789[[#This Row],[Selection Options]:[Selection Options]],","))),,N$11),"")</f>
        <v>100%: Supported as delivered "out of the box"</v>
      </c>
      <c r="O16" s="29" t="str" cm="1">
        <f t="array" ref="O16">IFERROR(INDEX(_xlfn.UNIQUE(TRIM(_xlfn.TEXTSPLIT(Table2614256789[[#This Row],[Selection Options]:[Selection Options]],","))),,O$11),"")</f>
        <v xml:space="preserve">
75%: Supported via modifications (config)</v>
      </c>
      <c r="P16" s="29" t="str" cm="1">
        <f t="array" ref="P16">IFERROR(INDEX(_xlfn.UNIQUE(TRIM(_xlfn.TEXTSPLIT(Table2614256789[[#This Row],[Selection Options]:[Selection Options]],","))),,P$11),"")</f>
        <v xml:space="preserve">
50%: Supported via a third party solution</v>
      </c>
      <c r="Q16" s="29" t="str" cm="1">
        <f t="array" ref="Q16">IFERROR(INDEX(_xlfn.UNIQUE(TRIM(_xlfn.TEXTSPLIT(Table2614256789[[#This Row],[Selection Options]:[Selection Options]],","))),,Q$11),"")</f>
        <v xml:space="preserve">
25%: Supported via customisation (source code changes)</v>
      </c>
      <c r="R16" s="29" t="str" cm="1">
        <f t="array" ref="R16">IFERROR(INDEX(_xlfn.UNIQUE(TRIM(_xlfn.TEXTSPLIT(Table2614256789[[#This Row],[Selection Options]:[Selection Options]],","))),,R$11),"")</f>
        <v xml:space="preserve">
 0%: Not currently supported</v>
      </c>
      <c r="S16" s="29" t="str" cm="1">
        <f t="array" ref="S16">IFERROR(INDEX(_xlfn.UNIQUE(TRIM(_xlfn.TEXTSPLIT(Table2614256789[[#This Row],[Selection Options]:[Selection Options]],","))),,S$11),"")</f>
        <v/>
      </c>
      <c r="T16" s="29" t="str" cm="1">
        <f t="array" ref="T16">IFERROR(INDEX(_xlfn.UNIQUE(TRIM(_xlfn.TEXTSPLIT(Table2614256789[[#This Row],[Selection Options]:[Selection Options]],","))),,T$11),"")</f>
        <v/>
      </c>
      <c r="U16" s="29" t="str" cm="1">
        <f t="array" ref="U16">IFERROR(INDEX(_xlfn.UNIQUE(TRIM(_xlfn.TEXTSPLIT(Table2614256789[[#This Row],[Selection Options]:[Selection Options]],","))),,U$11),"")</f>
        <v/>
      </c>
      <c r="V16" s="29" t="str" cm="1">
        <f t="array" ref="V16">IFERROR(INDEX(_xlfn.UNIQUE(TRIM(_xlfn.TEXTSPLIT(Table2614256789[[#This Row],[Selection Options]:[Selection Options]],","))),,V$11),"")</f>
        <v/>
      </c>
      <c r="W16" s="29" t="str" cm="1">
        <f t="array" ref="W16">IFERROR(INDEX(_xlfn.UNIQUE(TRIM(_xlfn.TEXTSPLIT(Table2614256789[[#This Row],[Selection Options]:[Selection Options]],","))),,W$11),"")</f>
        <v/>
      </c>
      <c r="X16" s="29" t="str" cm="1">
        <f t="array" ref="X16">IFERROR(INDEX(_xlfn.UNIQUE(TRIM(_xlfn.TEXTSPLIT(Table2614256789[[#This Row],[Selection Options]:[Selection Options]],","))),,X$11),"")</f>
        <v/>
      </c>
      <c r="Y16" s="30" cm="1">
        <f t="array" ref="Y16">IF(Table2614256789[[#This Row],[1]]="","",Table2614256789[[#This Row],[Weight]:[Weight]]-(Table2614256789[[#This Row],[Weight]:[Weight]]*((_xlfn.XMATCH(Table2614256789[[#This Row],[1]],Table2614256789[[#This Row],[1]:[11]],0))-1)/(COUNTA(Table2614256789[[#This Row],[1]:[11]])-COUNTBLANK(Table2614256789[[#This Row],[1]:[11]])-1)))</f>
        <v>1.1479591836734693E-3</v>
      </c>
      <c r="Z16" s="30" cm="1">
        <f t="array" ref="Z16">IF(Table2614256789[[#This Row],[2]]="","",Table2614256789[[#This Row],[Weight]:[Weight]]-(Table2614256789[[#This Row],[Weight]:[Weight]]*((_xlfn.XMATCH(Table2614256789[[#This Row],[2]],Table2614256789[[#This Row],[1]:[11]],0))-1)/(COUNTA(Table2614256789[[#This Row],[1]:[11]])-COUNTBLANK(Table2614256789[[#This Row],[1]:[11]])-1)))</f>
        <v>8.6096938775510196E-4</v>
      </c>
      <c r="AA16" s="30" cm="1">
        <f t="array" ref="AA16">IF(Table2614256789[[#This Row],[3]]="","",Table2614256789[[#This Row],[Weight]:[Weight]]-(Table2614256789[[#This Row],[Weight]:[Weight]]*((_xlfn.XMATCH(Table2614256789[[#This Row],[3]],Table2614256789[[#This Row],[1]:[11]],0))-1)/(COUNTA(Table2614256789[[#This Row],[1]:[11]])-COUNTBLANK(Table2614256789[[#This Row],[1]:[11]])-1)))</f>
        <v>5.7397959183673464E-4</v>
      </c>
      <c r="AB16" s="30" cm="1">
        <f t="array" ref="AB16">IF(Table2614256789[[#This Row],[4]]="","",Table2614256789[[#This Row],[Weight]:[Weight]]-(Table2614256789[[#This Row],[Weight]:[Weight]]*((_xlfn.XMATCH(Table2614256789[[#This Row],[4]],Table2614256789[[#This Row],[1]:[11]],0))-1)/(COUNTA(Table2614256789[[#This Row],[1]:[11]])-COUNTBLANK(Table2614256789[[#This Row],[1]:[11]])-1)))</f>
        <v>2.8698979591836732E-4</v>
      </c>
      <c r="AC16" s="30" cm="1">
        <f t="array" ref="AC16">IF(Table2614256789[[#This Row],[5]]="","",Table2614256789[[#This Row],[Weight]:[Weight]]-(Table2614256789[[#This Row],[Weight]:[Weight]]*((_xlfn.XMATCH(Table2614256789[[#This Row],[5]],Table2614256789[[#This Row],[1]:[11]],0))-1)/(COUNTA(Table2614256789[[#This Row],[1]:[11]])-COUNTBLANK(Table2614256789[[#This Row],[1]:[11]])-1)))</f>
        <v>0</v>
      </c>
      <c r="AD16" s="30" t="str" cm="1">
        <f t="array" ref="AD16">IF(Table2614256789[[#This Row],[6]]="","",Table2614256789[[#This Row],[Weight]:[Weight]]-(Table2614256789[[#This Row],[Weight]:[Weight]]*((_xlfn.XMATCH(Table2614256789[[#This Row],[6]],Table2614256789[[#This Row],[1]:[11]],0))-1)/(COUNTA(Table2614256789[[#This Row],[1]:[11]])-COUNTBLANK(Table2614256789[[#This Row],[1]:[11]])-1)))</f>
        <v/>
      </c>
      <c r="AE16" s="30" t="str" cm="1">
        <f t="array" ref="AE16">IF(Table2614256789[[#This Row],[7]]="","",Table2614256789[[#This Row],[Weight]:[Weight]]-(Table2614256789[[#This Row],[Weight]:[Weight]]*((_xlfn.XMATCH(Table2614256789[[#This Row],[7]],Table2614256789[[#This Row],[1]:[11]],0))-1)/(COUNTA(Table2614256789[[#This Row],[1]:[11]])-COUNTBLANK(Table2614256789[[#This Row],[1]:[11]])-1)))</f>
        <v/>
      </c>
      <c r="AF16" s="30" t="str" cm="1">
        <f t="array" ref="AF16">IF(Table2614256789[[#This Row],[8]]="","",Table2614256789[[#This Row],[Weight]:[Weight]]-(Table2614256789[[#This Row],[Weight]:[Weight]]*((_xlfn.XMATCH(Table2614256789[[#This Row],[8]],Table2614256789[[#This Row],[1]:[11]],0))-1)/(COUNTA(Table2614256789[[#This Row],[1]:[11]])-COUNTBLANK(Table2614256789[[#This Row],[1]:[11]])-1)))</f>
        <v/>
      </c>
      <c r="AG16" s="30" t="str" cm="1">
        <f t="array" ref="AG16">IF(Table2614256789[[#This Row],[9]]="","",Table2614256789[[#This Row],[Weight]:[Weight]]-(Table2614256789[[#This Row],[Weight]:[Weight]]*((_xlfn.XMATCH(Table2614256789[[#This Row],[9]],Table2614256789[[#This Row],[1]:[11]],0))-1)/(COUNTA(Table2614256789[[#This Row],[1]:[11]])-COUNTBLANK(Table2614256789[[#This Row],[1]:[11]])-1)))</f>
        <v/>
      </c>
      <c r="AH16" s="30" t="str" cm="1">
        <f t="array" ref="AH16">IF(Table2614256789[[#This Row],[10]]="","",Table2614256789[[#This Row],[Weight]:[Weight]]-(Table2614256789[[#This Row],[Weight]:[Weight]]*((_xlfn.XMATCH(Table2614256789[[#This Row],[10]],Table2614256789[[#This Row],[1]:[11]],0))-1)/(COUNTA(Table2614256789[[#This Row],[1]:[11]])-COUNTBLANK(Table2614256789[[#This Row],[1]:[11]])-1)))</f>
        <v/>
      </c>
      <c r="AI16" s="30" t="str" cm="1">
        <f t="array" ref="AI16">IF(Table2614256789[[#This Row],[11]]="","",Table2614256789[[#This Row],[Weight]:[Weight]]-(Table2614256789[[#This Row],[Weight]:[Weight]]*((_xlfn.XMATCH(Table2614256789[[#This Row],[11]],Table2614256789[[#This Row],[1]:[11]],0))-1)/(COUNTA(Table2614256789[[#This Row],[1]:[11]])-COUNTBLANK(Table2614256789[[#This Row],[1]:[11]])-1)))</f>
        <v/>
      </c>
    </row>
    <row r="17" spans="1:35" ht="108" x14ac:dyDescent="0.2">
      <c r="A17" s="20">
        <v>5</v>
      </c>
      <c r="B17" s="90" t="s">
        <v>493</v>
      </c>
      <c r="C17" s="119" t="s">
        <v>215</v>
      </c>
      <c r="D17" s="146"/>
      <c r="E17" s="146"/>
      <c r="F17" s="120" t="s">
        <v>60</v>
      </c>
      <c r="G17" s="148" cm="1">
        <f t="array" ref="G17">_xlfn.IFS(F17="","",F17="No interest",0,F17="Nice to have",1,F17="Useful",2,F17="Important",3,F17="Very important",4,F17="Critical",5,F17="Show stopper",6)</f>
        <v>6</v>
      </c>
      <c r="H17" s="149">
        <f>(G17/$G$11)*$F$11</f>
        <v>1.1479591836734693E-3</v>
      </c>
      <c r="I17" s="150" t="s">
        <v>321</v>
      </c>
      <c r="J17" s="35" t="str" cm="1">
        <f t="array" ref="J17">_xlfn.TEXTJOIN(","&amp;CHAR(10),,TEXT(Table2614256789[[#This Row],[12]:[22]],"0,00%"))</f>
        <v>0,00%,
0,00%,
0,00%,
0,00%,
0,00%</v>
      </c>
      <c r="K17" s="26"/>
      <c r="L17" s="27" t="e">
        <f>H17-(H17*((MATCH(Table2614256789[[#This Row],[Evaluators Response (SELECT)]],Table2614256789[[#This Row],[1]:[11]],0)-1)/(COUNTA(Table2614256789[[#This Row],[1]:[11]])-COUNTBLANK(Table2614256789[[#This Row],[1]:[11]])-1)))</f>
        <v>#N/A</v>
      </c>
      <c r="M17" s="28"/>
      <c r="N17" s="29" t="str" cm="1">
        <f t="array" ref="N17">IFERROR(INDEX(_xlfn.UNIQUE(TRIM(_xlfn.TEXTSPLIT(Table2614256789[[#This Row],[Selection Options]:[Selection Options]],","))),,N$11),"")</f>
        <v>100%: Supported as delivered "out of the box"</v>
      </c>
      <c r="O17" s="29" t="str" cm="1">
        <f t="array" ref="O17">IFERROR(INDEX(_xlfn.UNIQUE(TRIM(_xlfn.TEXTSPLIT(Table2614256789[[#This Row],[Selection Options]:[Selection Options]],","))),,O$11),"")</f>
        <v xml:space="preserve">
75%: Supported via modifications (config)</v>
      </c>
      <c r="P17" s="29" t="str" cm="1">
        <f t="array" ref="P17">IFERROR(INDEX(_xlfn.UNIQUE(TRIM(_xlfn.TEXTSPLIT(Table2614256789[[#This Row],[Selection Options]:[Selection Options]],","))),,P$11),"")</f>
        <v xml:space="preserve">
50%: Supported via a third party solution</v>
      </c>
      <c r="Q17" s="29" t="str" cm="1">
        <f t="array" ref="Q17">IFERROR(INDEX(_xlfn.UNIQUE(TRIM(_xlfn.TEXTSPLIT(Table2614256789[[#This Row],[Selection Options]:[Selection Options]],","))),,Q$11),"")</f>
        <v xml:space="preserve">
25%: Supported via customisation (source code changes)</v>
      </c>
      <c r="R17" s="29" t="str" cm="1">
        <f t="array" ref="R17">IFERROR(INDEX(_xlfn.UNIQUE(TRIM(_xlfn.TEXTSPLIT(Table2614256789[[#This Row],[Selection Options]:[Selection Options]],","))),,R$11),"")</f>
        <v xml:space="preserve">
 0%: Not currently supported</v>
      </c>
      <c r="S17" s="29" t="str" cm="1">
        <f t="array" ref="S17">IFERROR(INDEX(_xlfn.UNIQUE(TRIM(_xlfn.TEXTSPLIT(Table2614256789[[#This Row],[Selection Options]:[Selection Options]],","))),,S$11),"")</f>
        <v/>
      </c>
      <c r="T17" s="29" t="str" cm="1">
        <f t="array" ref="T17">IFERROR(INDEX(_xlfn.UNIQUE(TRIM(_xlfn.TEXTSPLIT(Table2614256789[[#This Row],[Selection Options]:[Selection Options]],","))),,T$11),"")</f>
        <v/>
      </c>
      <c r="U17" s="29" t="str" cm="1">
        <f t="array" ref="U17">IFERROR(INDEX(_xlfn.UNIQUE(TRIM(_xlfn.TEXTSPLIT(Table2614256789[[#This Row],[Selection Options]:[Selection Options]],","))),,U$11),"")</f>
        <v/>
      </c>
      <c r="V17" s="29" t="str" cm="1">
        <f t="array" ref="V17">IFERROR(INDEX(_xlfn.UNIQUE(TRIM(_xlfn.TEXTSPLIT(Table2614256789[[#This Row],[Selection Options]:[Selection Options]],","))),,V$11),"")</f>
        <v/>
      </c>
      <c r="W17" s="29" t="str" cm="1">
        <f t="array" ref="W17">IFERROR(INDEX(_xlfn.UNIQUE(TRIM(_xlfn.TEXTSPLIT(Table2614256789[[#This Row],[Selection Options]:[Selection Options]],","))),,W$11),"")</f>
        <v/>
      </c>
      <c r="X17" s="29" t="str" cm="1">
        <f t="array" ref="X17">IFERROR(INDEX(_xlfn.UNIQUE(TRIM(_xlfn.TEXTSPLIT(Table2614256789[[#This Row],[Selection Options]:[Selection Options]],","))),,X$11),"")</f>
        <v/>
      </c>
      <c r="Y17" s="30" cm="1">
        <f t="array" ref="Y17">IF(Table2614256789[[#This Row],[1]]="","",Table2614256789[[#This Row],[Weight]:[Weight]]-(Table2614256789[[#This Row],[Weight]:[Weight]]*((_xlfn.XMATCH(Table2614256789[[#This Row],[1]],Table2614256789[[#This Row],[1]:[11]],0))-1)/(COUNTA(Table2614256789[[#This Row],[1]:[11]])-COUNTBLANK(Table2614256789[[#This Row],[1]:[11]])-1)))</f>
        <v>1.1479591836734693E-3</v>
      </c>
      <c r="Z17" s="30" cm="1">
        <f t="array" ref="Z17">IF(Table2614256789[[#This Row],[2]]="","",Table2614256789[[#This Row],[Weight]:[Weight]]-(Table2614256789[[#This Row],[Weight]:[Weight]]*((_xlfn.XMATCH(Table2614256789[[#This Row],[2]],Table2614256789[[#This Row],[1]:[11]],0))-1)/(COUNTA(Table2614256789[[#This Row],[1]:[11]])-COUNTBLANK(Table2614256789[[#This Row],[1]:[11]])-1)))</f>
        <v>8.6096938775510196E-4</v>
      </c>
      <c r="AA17" s="30" cm="1">
        <f t="array" ref="AA17">IF(Table2614256789[[#This Row],[3]]="","",Table2614256789[[#This Row],[Weight]:[Weight]]-(Table2614256789[[#This Row],[Weight]:[Weight]]*((_xlfn.XMATCH(Table2614256789[[#This Row],[3]],Table2614256789[[#This Row],[1]:[11]],0))-1)/(COUNTA(Table2614256789[[#This Row],[1]:[11]])-COUNTBLANK(Table2614256789[[#This Row],[1]:[11]])-1)))</f>
        <v>5.7397959183673464E-4</v>
      </c>
      <c r="AB17" s="30" cm="1">
        <f t="array" ref="AB17">IF(Table2614256789[[#This Row],[4]]="","",Table2614256789[[#This Row],[Weight]:[Weight]]-(Table2614256789[[#This Row],[Weight]:[Weight]]*((_xlfn.XMATCH(Table2614256789[[#This Row],[4]],Table2614256789[[#This Row],[1]:[11]],0))-1)/(COUNTA(Table2614256789[[#This Row],[1]:[11]])-COUNTBLANK(Table2614256789[[#This Row],[1]:[11]])-1)))</f>
        <v>2.8698979591836732E-4</v>
      </c>
      <c r="AC17" s="30" cm="1">
        <f t="array" ref="AC17">IF(Table2614256789[[#This Row],[5]]="","",Table2614256789[[#This Row],[Weight]:[Weight]]-(Table2614256789[[#This Row],[Weight]:[Weight]]*((_xlfn.XMATCH(Table2614256789[[#This Row],[5]],Table2614256789[[#This Row],[1]:[11]],0))-1)/(COUNTA(Table2614256789[[#This Row],[1]:[11]])-COUNTBLANK(Table2614256789[[#This Row],[1]:[11]])-1)))</f>
        <v>0</v>
      </c>
      <c r="AD17" s="30" t="str" cm="1">
        <f t="array" ref="AD17">IF(Table2614256789[[#This Row],[6]]="","",Table2614256789[[#This Row],[Weight]:[Weight]]-(Table2614256789[[#This Row],[Weight]:[Weight]]*((_xlfn.XMATCH(Table2614256789[[#This Row],[6]],Table2614256789[[#This Row],[1]:[11]],0))-1)/(COUNTA(Table2614256789[[#This Row],[1]:[11]])-COUNTBLANK(Table2614256789[[#This Row],[1]:[11]])-1)))</f>
        <v/>
      </c>
      <c r="AE17" s="30" t="str" cm="1">
        <f t="array" ref="AE17">IF(Table2614256789[[#This Row],[7]]="","",Table2614256789[[#This Row],[Weight]:[Weight]]-(Table2614256789[[#This Row],[Weight]:[Weight]]*((_xlfn.XMATCH(Table2614256789[[#This Row],[7]],Table2614256789[[#This Row],[1]:[11]],0))-1)/(COUNTA(Table2614256789[[#This Row],[1]:[11]])-COUNTBLANK(Table2614256789[[#This Row],[1]:[11]])-1)))</f>
        <v/>
      </c>
      <c r="AF17" s="30" t="str" cm="1">
        <f t="array" ref="AF17">IF(Table2614256789[[#This Row],[8]]="","",Table2614256789[[#This Row],[Weight]:[Weight]]-(Table2614256789[[#This Row],[Weight]:[Weight]]*((_xlfn.XMATCH(Table2614256789[[#This Row],[8]],Table2614256789[[#This Row],[1]:[11]],0))-1)/(COUNTA(Table2614256789[[#This Row],[1]:[11]])-COUNTBLANK(Table2614256789[[#This Row],[1]:[11]])-1)))</f>
        <v/>
      </c>
      <c r="AG17" s="30" t="str" cm="1">
        <f t="array" ref="AG17">IF(Table2614256789[[#This Row],[9]]="","",Table2614256789[[#This Row],[Weight]:[Weight]]-(Table2614256789[[#This Row],[Weight]:[Weight]]*((_xlfn.XMATCH(Table2614256789[[#This Row],[9]],Table2614256789[[#This Row],[1]:[11]],0))-1)/(COUNTA(Table2614256789[[#This Row],[1]:[11]])-COUNTBLANK(Table2614256789[[#This Row],[1]:[11]])-1)))</f>
        <v/>
      </c>
      <c r="AH17" s="30" t="str" cm="1">
        <f t="array" ref="AH17">IF(Table2614256789[[#This Row],[10]]="","",Table2614256789[[#This Row],[Weight]:[Weight]]-(Table2614256789[[#This Row],[Weight]:[Weight]]*((_xlfn.XMATCH(Table2614256789[[#This Row],[10]],Table2614256789[[#This Row],[1]:[11]],0))-1)/(COUNTA(Table2614256789[[#This Row],[1]:[11]])-COUNTBLANK(Table2614256789[[#This Row],[1]:[11]])-1)))</f>
        <v/>
      </c>
      <c r="AI17" s="30" t="str" cm="1">
        <f t="array" ref="AI17">IF(Table2614256789[[#This Row],[11]]="","",Table2614256789[[#This Row],[Weight]:[Weight]]-(Table2614256789[[#This Row],[Weight]:[Weight]]*((_xlfn.XMATCH(Table2614256789[[#This Row],[11]],Table2614256789[[#This Row],[1]:[11]],0))-1)/(COUNTA(Table2614256789[[#This Row],[1]:[11]])-COUNTBLANK(Table2614256789[[#This Row],[1]:[11]])-1)))</f>
        <v/>
      </c>
    </row>
    <row r="18" spans="1:35" ht="108" x14ac:dyDescent="0.2">
      <c r="A18" s="20">
        <v>6</v>
      </c>
      <c r="B18" s="119" t="s">
        <v>494</v>
      </c>
      <c r="C18" s="119" t="s">
        <v>215</v>
      </c>
      <c r="D18" s="147"/>
      <c r="E18" s="147"/>
      <c r="F18" s="121" t="s">
        <v>60</v>
      </c>
      <c r="G18" s="151" cm="1">
        <f t="array" ref="G18">_xlfn.IFS(F18="","",F18="No interest",0,F18="Nice to have",1,F18="Useful",2,F18="Important",3,F18="Very important",4,F18="Critical",5,F18="Show stopper",6)</f>
        <v>6</v>
      </c>
      <c r="H18" s="152">
        <f t="shared" ref="H18:H46" si="1">(G18/$G$11)*$F$11</f>
        <v>1.1479591836734693E-3</v>
      </c>
      <c r="I18" s="150" t="s">
        <v>321</v>
      </c>
      <c r="J18" s="35" t="str" cm="1">
        <f t="array" ref="J18">_xlfn.TEXTJOIN(","&amp;CHAR(10),,TEXT(Table2614256789[[#This Row],[12]:[22]],"0,00%"))</f>
        <v>0,00%,
0,00%,
0,00%,
0,00%,
0,00%</v>
      </c>
      <c r="K18" s="26"/>
      <c r="L18" s="37" t="e">
        <f>H18-(H18*((MATCH(Table2614256789[[#This Row],[Evaluators Response (SELECT)]],Table2614256789[[#This Row],[1]:[11]],0)-1)/(COUNTA(Table2614256789[[#This Row],[1]:[11]])-COUNTBLANK(Table2614256789[[#This Row],[1]:[11]])-1)))</f>
        <v>#N/A</v>
      </c>
      <c r="M18" s="38"/>
      <c r="N18" s="29" t="str" cm="1">
        <f t="array" ref="N18">IFERROR(INDEX(_xlfn.UNIQUE(TRIM(_xlfn.TEXTSPLIT(Table2614256789[[#This Row],[Selection Options]:[Selection Options]],","))),,N$11),"")</f>
        <v>100%: Supported as delivered "out of the box"</v>
      </c>
      <c r="O18" s="29" t="str" cm="1">
        <f t="array" ref="O18">IFERROR(INDEX(_xlfn.UNIQUE(TRIM(_xlfn.TEXTSPLIT(Table2614256789[[#This Row],[Selection Options]:[Selection Options]],","))),,O$11),"")</f>
        <v xml:space="preserve">
75%: Supported via modifications (config)</v>
      </c>
      <c r="P18" s="29" t="str" cm="1">
        <f t="array" ref="P18">IFERROR(INDEX(_xlfn.UNIQUE(TRIM(_xlfn.TEXTSPLIT(Table2614256789[[#This Row],[Selection Options]:[Selection Options]],","))),,P$11),"")</f>
        <v xml:space="preserve">
50%: Supported via a third party solution</v>
      </c>
      <c r="Q18" s="29" t="str" cm="1">
        <f t="array" ref="Q18">IFERROR(INDEX(_xlfn.UNIQUE(TRIM(_xlfn.TEXTSPLIT(Table2614256789[[#This Row],[Selection Options]:[Selection Options]],","))),,Q$11),"")</f>
        <v xml:space="preserve">
25%: Supported via customisation (source code changes)</v>
      </c>
      <c r="R18" s="29" t="str" cm="1">
        <f t="array" ref="R18">IFERROR(INDEX(_xlfn.UNIQUE(TRIM(_xlfn.TEXTSPLIT(Table2614256789[[#This Row],[Selection Options]:[Selection Options]],","))),,R$11),"")</f>
        <v xml:space="preserve">
 0%: Not currently supported</v>
      </c>
      <c r="S18" s="29" t="str" cm="1">
        <f t="array" ref="S18">IFERROR(INDEX(_xlfn.UNIQUE(TRIM(_xlfn.TEXTSPLIT(Table2614256789[[#This Row],[Selection Options]:[Selection Options]],","))),,S$11),"")</f>
        <v/>
      </c>
      <c r="T18" s="29" t="str" cm="1">
        <f t="array" ref="T18">IFERROR(INDEX(_xlfn.UNIQUE(TRIM(_xlfn.TEXTSPLIT(Table2614256789[[#This Row],[Selection Options]:[Selection Options]],","))),,T$11),"")</f>
        <v/>
      </c>
      <c r="U18" s="29" t="str" cm="1">
        <f t="array" ref="U18">IFERROR(INDEX(_xlfn.UNIQUE(TRIM(_xlfn.TEXTSPLIT(Table2614256789[[#This Row],[Selection Options]:[Selection Options]],","))),,U$11),"")</f>
        <v/>
      </c>
      <c r="V18" s="29" t="str" cm="1">
        <f t="array" ref="V18">IFERROR(INDEX(_xlfn.UNIQUE(TRIM(_xlfn.TEXTSPLIT(Table2614256789[[#This Row],[Selection Options]:[Selection Options]],","))),,V$11),"")</f>
        <v/>
      </c>
      <c r="W18" s="29" t="str" cm="1">
        <f t="array" ref="W18">IFERROR(INDEX(_xlfn.UNIQUE(TRIM(_xlfn.TEXTSPLIT(Table2614256789[[#This Row],[Selection Options]:[Selection Options]],","))),,W$11),"")</f>
        <v/>
      </c>
      <c r="X18" s="29" t="str" cm="1">
        <f t="array" ref="X18">IFERROR(INDEX(_xlfn.UNIQUE(TRIM(_xlfn.TEXTSPLIT(Table2614256789[[#This Row],[Selection Options]:[Selection Options]],","))),,X$11),"")</f>
        <v/>
      </c>
      <c r="Y18" s="30" cm="1">
        <f t="array" ref="Y18">IF(Table2614256789[[#This Row],[1]]="","",Table2614256789[[#This Row],[Weight]:[Weight]]-(Table2614256789[[#This Row],[Weight]:[Weight]]*((_xlfn.XMATCH(Table2614256789[[#This Row],[1]],Table2614256789[[#This Row],[1]:[11]],0))-1)/(COUNTA(Table2614256789[[#This Row],[1]:[11]])-COUNTBLANK(Table2614256789[[#This Row],[1]:[11]])-1)))</f>
        <v>1.1479591836734693E-3</v>
      </c>
      <c r="Z18" s="30" cm="1">
        <f t="array" ref="Z18">IF(Table2614256789[[#This Row],[2]]="","",Table2614256789[[#This Row],[Weight]:[Weight]]-(Table2614256789[[#This Row],[Weight]:[Weight]]*((_xlfn.XMATCH(Table2614256789[[#This Row],[2]],Table2614256789[[#This Row],[1]:[11]],0))-1)/(COUNTA(Table2614256789[[#This Row],[1]:[11]])-COUNTBLANK(Table2614256789[[#This Row],[1]:[11]])-1)))</f>
        <v>8.6096938775510196E-4</v>
      </c>
      <c r="AA18" s="30" cm="1">
        <f t="array" ref="AA18">IF(Table2614256789[[#This Row],[3]]="","",Table2614256789[[#This Row],[Weight]:[Weight]]-(Table2614256789[[#This Row],[Weight]:[Weight]]*((_xlfn.XMATCH(Table2614256789[[#This Row],[3]],Table2614256789[[#This Row],[1]:[11]],0))-1)/(COUNTA(Table2614256789[[#This Row],[1]:[11]])-COUNTBLANK(Table2614256789[[#This Row],[1]:[11]])-1)))</f>
        <v>5.7397959183673464E-4</v>
      </c>
      <c r="AB18" s="30" cm="1">
        <f t="array" ref="AB18">IF(Table2614256789[[#This Row],[4]]="","",Table2614256789[[#This Row],[Weight]:[Weight]]-(Table2614256789[[#This Row],[Weight]:[Weight]]*((_xlfn.XMATCH(Table2614256789[[#This Row],[4]],Table2614256789[[#This Row],[1]:[11]],0))-1)/(COUNTA(Table2614256789[[#This Row],[1]:[11]])-COUNTBLANK(Table2614256789[[#This Row],[1]:[11]])-1)))</f>
        <v>2.8698979591836732E-4</v>
      </c>
      <c r="AC18" s="30" cm="1">
        <f t="array" ref="AC18">IF(Table2614256789[[#This Row],[5]]="","",Table2614256789[[#This Row],[Weight]:[Weight]]-(Table2614256789[[#This Row],[Weight]:[Weight]]*((_xlfn.XMATCH(Table2614256789[[#This Row],[5]],Table2614256789[[#This Row],[1]:[11]],0))-1)/(COUNTA(Table2614256789[[#This Row],[1]:[11]])-COUNTBLANK(Table2614256789[[#This Row],[1]:[11]])-1)))</f>
        <v>0</v>
      </c>
      <c r="AD18" s="30" t="str" cm="1">
        <f t="array" ref="AD18">IF(Table2614256789[[#This Row],[6]]="","",Table2614256789[[#This Row],[Weight]:[Weight]]-(Table2614256789[[#This Row],[Weight]:[Weight]]*((_xlfn.XMATCH(Table2614256789[[#This Row],[6]],Table2614256789[[#This Row],[1]:[11]],0))-1)/(COUNTA(Table2614256789[[#This Row],[1]:[11]])-COUNTBLANK(Table2614256789[[#This Row],[1]:[11]])-1)))</f>
        <v/>
      </c>
      <c r="AE18" s="30" t="str" cm="1">
        <f t="array" ref="AE18">IF(Table2614256789[[#This Row],[7]]="","",Table2614256789[[#This Row],[Weight]:[Weight]]-(Table2614256789[[#This Row],[Weight]:[Weight]]*((_xlfn.XMATCH(Table2614256789[[#This Row],[7]],Table2614256789[[#This Row],[1]:[11]],0))-1)/(COUNTA(Table2614256789[[#This Row],[1]:[11]])-COUNTBLANK(Table2614256789[[#This Row],[1]:[11]])-1)))</f>
        <v/>
      </c>
      <c r="AF18" s="30" t="str" cm="1">
        <f t="array" ref="AF18">IF(Table2614256789[[#This Row],[8]]="","",Table2614256789[[#This Row],[Weight]:[Weight]]-(Table2614256789[[#This Row],[Weight]:[Weight]]*((_xlfn.XMATCH(Table2614256789[[#This Row],[8]],Table2614256789[[#This Row],[1]:[11]],0))-1)/(COUNTA(Table2614256789[[#This Row],[1]:[11]])-COUNTBLANK(Table2614256789[[#This Row],[1]:[11]])-1)))</f>
        <v/>
      </c>
      <c r="AG18" s="30" t="str" cm="1">
        <f t="array" ref="AG18">IF(Table2614256789[[#This Row],[9]]="","",Table2614256789[[#This Row],[Weight]:[Weight]]-(Table2614256789[[#This Row],[Weight]:[Weight]]*((_xlfn.XMATCH(Table2614256789[[#This Row],[9]],Table2614256789[[#This Row],[1]:[11]],0))-1)/(COUNTA(Table2614256789[[#This Row],[1]:[11]])-COUNTBLANK(Table2614256789[[#This Row],[1]:[11]])-1)))</f>
        <v/>
      </c>
      <c r="AH18" s="30" t="str" cm="1">
        <f t="array" ref="AH18">IF(Table2614256789[[#This Row],[10]]="","",Table2614256789[[#This Row],[Weight]:[Weight]]-(Table2614256789[[#This Row],[Weight]:[Weight]]*((_xlfn.XMATCH(Table2614256789[[#This Row],[10]],Table2614256789[[#This Row],[1]:[11]],0))-1)/(COUNTA(Table2614256789[[#This Row],[1]:[11]])-COUNTBLANK(Table2614256789[[#This Row],[1]:[11]])-1)))</f>
        <v/>
      </c>
      <c r="AI18" s="30" t="str" cm="1">
        <f t="array" ref="AI18">IF(Table2614256789[[#This Row],[11]]="","",Table2614256789[[#This Row],[Weight]:[Weight]]-(Table2614256789[[#This Row],[Weight]:[Weight]]*((_xlfn.XMATCH(Table2614256789[[#This Row],[11]],Table2614256789[[#This Row],[1]:[11]],0))-1)/(COUNTA(Table2614256789[[#This Row],[1]:[11]])-COUNTBLANK(Table2614256789[[#This Row],[1]:[11]])-1)))</f>
        <v/>
      </c>
    </row>
    <row r="19" spans="1:35" ht="108" x14ac:dyDescent="0.2">
      <c r="A19" s="20">
        <v>7</v>
      </c>
      <c r="B19" s="119" t="s">
        <v>495</v>
      </c>
      <c r="C19" s="119" t="s">
        <v>215</v>
      </c>
      <c r="D19" s="147"/>
      <c r="E19" s="147"/>
      <c r="F19" s="121" t="s">
        <v>60</v>
      </c>
      <c r="G19" s="151" cm="1">
        <f t="array" ref="G19">_xlfn.IFS(F19="","",F19="No interest",0,F19="Nice to have",1,F19="Useful",2,F19="Important",3,F19="Very important",4,F19="Critical",5,F19="Show stopper",6)</f>
        <v>6</v>
      </c>
      <c r="H19" s="152">
        <f t="shared" si="1"/>
        <v>1.1479591836734693E-3</v>
      </c>
      <c r="I19" s="150" t="s">
        <v>321</v>
      </c>
      <c r="J19" s="35" t="str" cm="1">
        <f t="array" ref="J19">_xlfn.TEXTJOIN(","&amp;CHAR(10),,TEXT(Table2614256789[[#This Row],[12]:[22]],"0,00%"))</f>
        <v>0,00%,
0,00%,
0,00%,
0,00%,
0,00%</v>
      </c>
      <c r="K19" s="26"/>
      <c r="L19" s="37" t="e">
        <f>H19-(H19*((MATCH(Table2614256789[[#This Row],[Evaluators Response (SELECT)]],Table2614256789[[#This Row],[1]:[11]],0)-1)/(COUNTA(Table2614256789[[#This Row],[1]:[11]])-COUNTBLANK(Table2614256789[[#This Row],[1]:[11]])-1)))</f>
        <v>#N/A</v>
      </c>
      <c r="M19" s="38"/>
      <c r="N19" s="29" t="str" cm="1">
        <f t="array" ref="N19">IFERROR(INDEX(_xlfn.UNIQUE(TRIM(_xlfn.TEXTSPLIT(Table2614256789[[#This Row],[Selection Options]:[Selection Options]],","))),,N$11),"")</f>
        <v>100%: Supported as delivered "out of the box"</v>
      </c>
      <c r="O19" s="29" t="str" cm="1">
        <f t="array" ref="O19">IFERROR(INDEX(_xlfn.UNIQUE(TRIM(_xlfn.TEXTSPLIT(Table2614256789[[#This Row],[Selection Options]:[Selection Options]],","))),,O$11),"")</f>
        <v xml:space="preserve">
75%: Supported via modifications (config)</v>
      </c>
      <c r="P19" s="29" t="str" cm="1">
        <f t="array" ref="P19">IFERROR(INDEX(_xlfn.UNIQUE(TRIM(_xlfn.TEXTSPLIT(Table2614256789[[#This Row],[Selection Options]:[Selection Options]],","))),,P$11),"")</f>
        <v xml:space="preserve">
50%: Supported via a third party solution</v>
      </c>
      <c r="Q19" s="29" t="str" cm="1">
        <f t="array" ref="Q19">IFERROR(INDEX(_xlfn.UNIQUE(TRIM(_xlfn.TEXTSPLIT(Table2614256789[[#This Row],[Selection Options]:[Selection Options]],","))),,Q$11),"")</f>
        <v xml:space="preserve">
25%: Supported via customisation (source code changes)</v>
      </c>
      <c r="R19" s="29" t="str" cm="1">
        <f t="array" ref="R19">IFERROR(INDEX(_xlfn.UNIQUE(TRIM(_xlfn.TEXTSPLIT(Table2614256789[[#This Row],[Selection Options]:[Selection Options]],","))),,R$11),"")</f>
        <v xml:space="preserve">
 0%: Not currently supported</v>
      </c>
      <c r="S19" s="29" t="str" cm="1">
        <f t="array" ref="S19">IFERROR(INDEX(_xlfn.UNIQUE(TRIM(_xlfn.TEXTSPLIT(Table2614256789[[#This Row],[Selection Options]:[Selection Options]],","))),,S$11),"")</f>
        <v/>
      </c>
      <c r="T19" s="29" t="str" cm="1">
        <f t="array" ref="T19">IFERROR(INDEX(_xlfn.UNIQUE(TRIM(_xlfn.TEXTSPLIT(Table2614256789[[#This Row],[Selection Options]:[Selection Options]],","))),,T$11),"")</f>
        <v/>
      </c>
      <c r="U19" s="29" t="str" cm="1">
        <f t="array" ref="U19">IFERROR(INDEX(_xlfn.UNIQUE(TRIM(_xlfn.TEXTSPLIT(Table2614256789[[#This Row],[Selection Options]:[Selection Options]],","))),,U$11),"")</f>
        <v/>
      </c>
      <c r="V19" s="29" t="str" cm="1">
        <f t="array" ref="V19">IFERROR(INDEX(_xlfn.UNIQUE(TRIM(_xlfn.TEXTSPLIT(Table2614256789[[#This Row],[Selection Options]:[Selection Options]],","))),,V$11),"")</f>
        <v/>
      </c>
      <c r="W19" s="29" t="str" cm="1">
        <f t="array" ref="W19">IFERROR(INDEX(_xlfn.UNIQUE(TRIM(_xlfn.TEXTSPLIT(Table2614256789[[#This Row],[Selection Options]:[Selection Options]],","))),,W$11),"")</f>
        <v/>
      </c>
      <c r="X19" s="29" t="str" cm="1">
        <f t="array" ref="X19">IFERROR(INDEX(_xlfn.UNIQUE(TRIM(_xlfn.TEXTSPLIT(Table2614256789[[#This Row],[Selection Options]:[Selection Options]],","))),,X$11),"")</f>
        <v/>
      </c>
      <c r="Y19" s="30" cm="1">
        <f t="array" ref="Y19">IF(Table2614256789[[#This Row],[1]]="","",Table2614256789[[#This Row],[Weight]:[Weight]]-(Table2614256789[[#This Row],[Weight]:[Weight]]*((_xlfn.XMATCH(Table2614256789[[#This Row],[1]],Table2614256789[[#This Row],[1]:[11]],0))-1)/(COUNTA(Table2614256789[[#This Row],[1]:[11]])-COUNTBLANK(Table2614256789[[#This Row],[1]:[11]])-1)))</f>
        <v>1.1479591836734693E-3</v>
      </c>
      <c r="Z19" s="30" cm="1">
        <f t="array" ref="Z19">IF(Table2614256789[[#This Row],[2]]="","",Table2614256789[[#This Row],[Weight]:[Weight]]-(Table2614256789[[#This Row],[Weight]:[Weight]]*((_xlfn.XMATCH(Table2614256789[[#This Row],[2]],Table2614256789[[#This Row],[1]:[11]],0))-1)/(COUNTA(Table2614256789[[#This Row],[1]:[11]])-COUNTBLANK(Table2614256789[[#This Row],[1]:[11]])-1)))</f>
        <v>8.6096938775510196E-4</v>
      </c>
      <c r="AA19" s="30" cm="1">
        <f t="array" ref="AA19">IF(Table2614256789[[#This Row],[3]]="","",Table2614256789[[#This Row],[Weight]:[Weight]]-(Table2614256789[[#This Row],[Weight]:[Weight]]*((_xlfn.XMATCH(Table2614256789[[#This Row],[3]],Table2614256789[[#This Row],[1]:[11]],0))-1)/(COUNTA(Table2614256789[[#This Row],[1]:[11]])-COUNTBLANK(Table2614256789[[#This Row],[1]:[11]])-1)))</f>
        <v>5.7397959183673464E-4</v>
      </c>
      <c r="AB19" s="30" cm="1">
        <f t="array" ref="AB19">IF(Table2614256789[[#This Row],[4]]="","",Table2614256789[[#This Row],[Weight]:[Weight]]-(Table2614256789[[#This Row],[Weight]:[Weight]]*((_xlfn.XMATCH(Table2614256789[[#This Row],[4]],Table2614256789[[#This Row],[1]:[11]],0))-1)/(COUNTA(Table2614256789[[#This Row],[1]:[11]])-COUNTBLANK(Table2614256789[[#This Row],[1]:[11]])-1)))</f>
        <v>2.8698979591836732E-4</v>
      </c>
      <c r="AC19" s="30" cm="1">
        <f t="array" ref="AC19">IF(Table2614256789[[#This Row],[5]]="","",Table2614256789[[#This Row],[Weight]:[Weight]]-(Table2614256789[[#This Row],[Weight]:[Weight]]*((_xlfn.XMATCH(Table2614256789[[#This Row],[5]],Table2614256789[[#This Row],[1]:[11]],0))-1)/(COUNTA(Table2614256789[[#This Row],[1]:[11]])-COUNTBLANK(Table2614256789[[#This Row],[1]:[11]])-1)))</f>
        <v>0</v>
      </c>
      <c r="AD19" s="30" t="str" cm="1">
        <f t="array" ref="AD19">IF(Table2614256789[[#This Row],[6]]="","",Table2614256789[[#This Row],[Weight]:[Weight]]-(Table2614256789[[#This Row],[Weight]:[Weight]]*((_xlfn.XMATCH(Table2614256789[[#This Row],[6]],Table2614256789[[#This Row],[1]:[11]],0))-1)/(COUNTA(Table2614256789[[#This Row],[1]:[11]])-COUNTBLANK(Table2614256789[[#This Row],[1]:[11]])-1)))</f>
        <v/>
      </c>
      <c r="AE19" s="30" t="str" cm="1">
        <f t="array" ref="AE19">IF(Table2614256789[[#This Row],[7]]="","",Table2614256789[[#This Row],[Weight]:[Weight]]-(Table2614256789[[#This Row],[Weight]:[Weight]]*((_xlfn.XMATCH(Table2614256789[[#This Row],[7]],Table2614256789[[#This Row],[1]:[11]],0))-1)/(COUNTA(Table2614256789[[#This Row],[1]:[11]])-COUNTBLANK(Table2614256789[[#This Row],[1]:[11]])-1)))</f>
        <v/>
      </c>
      <c r="AF19" s="30" t="str" cm="1">
        <f t="array" ref="AF19">IF(Table2614256789[[#This Row],[8]]="","",Table2614256789[[#This Row],[Weight]:[Weight]]-(Table2614256789[[#This Row],[Weight]:[Weight]]*((_xlfn.XMATCH(Table2614256789[[#This Row],[8]],Table2614256789[[#This Row],[1]:[11]],0))-1)/(COUNTA(Table2614256789[[#This Row],[1]:[11]])-COUNTBLANK(Table2614256789[[#This Row],[1]:[11]])-1)))</f>
        <v/>
      </c>
      <c r="AG19" s="30" t="str" cm="1">
        <f t="array" ref="AG19">IF(Table2614256789[[#This Row],[9]]="","",Table2614256789[[#This Row],[Weight]:[Weight]]-(Table2614256789[[#This Row],[Weight]:[Weight]]*((_xlfn.XMATCH(Table2614256789[[#This Row],[9]],Table2614256789[[#This Row],[1]:[11]],0))-1)/(COUNTA(Table2614256789[[#This Row],[1]:[11]])-COUNTBLANK(Table2614256789[[#This Row],[1]:[11]])-1)))</f>
        <v/>
      </c>
      <c r="AH19" s="30" t="str" cm="1">
        <f t="array" ref="AH19">IF(Table2614256789[[#This Row],[10]]="","",Table2614256789[[#This Row],[Weight]:[Weight]]-(Table2614256789[[#This Row],[Weight]:[Weight]]*((_xlfn.XMATCH(Table2614256789[[#This Row],[10]],Table2614256789[[#This Row],[1]:[11]],0))-1)/(COUNTA(Table2614256789[[#This Row],[1]:[11]])-COUNTBLANK(Table2614256789[[#This Row],[1]:[11]])-1)))</f>
        <v/>
      </c>
      <c r="AI19" s="30" t="str" cm="1">
        <f t="array" ref="AI19">IF(Table2614256789[[#This Row],[11]]="","",Table2614256789[[#This Row],[Weight]:[Weight]]-(Table2614256789[[#This Row],[Weight]:[Weight]]*((_xlfn.XMATCH(Table2614256789[[#This Row],[11]],Table2614256789[[#This Row],[1]:[11]],0))-1)/(COUNTA(Table2614256789[[#This Row],[1]:[11]])-COUNTBLANK(Table2614256789[[#This Row],[1]:[11]])-1)))</f>
        <v/>
      </c>
    </row>
    <row r="20" spans="1:35" ht="108" x14ac:dyDescent="0.2">
      <c r="A20" s="20">
        <v>8</v>
      </c>
      <c r="B20" s="119" t="s">
        <v>496</v>
      </c>
      <c r="C20" s="119" t="s">
        <v>215</v>
      </c>
      <c r="D20" s="147"/>
      <c r="E20" s="147"/>
      <c r="F20" s="121" t="s">
        <v>60</v>
      </c>
      <c r="G20" s="151" cm="1">
        <f t="array" ref="G20">_xlfn.IFS(F20="","",F20="No interest",0,F20="Nice to have",1,F20="Useful",2,F20="Important",3,F20="Very important",4,F20="Critical",5,F20="Show stopper",6)</f>
        <v>6</v>
      </c>
      <c r="H20" s="152">
        <f t="shared" si="1"/>
        <v>1.1479591836734693E-3</v>
      </c>
      <c r="I20" s="150" t="s">
        <v>321</v>
      </c>
      <c r="J20" s="35" t="str" cm="1">
        <f t="array" ref="J20">_xlfn.TEXTJOIN(","&amp;CHAR(10),,TEXT(Table2614256789[[#This Row],[12]:[22]],"0,00%"))</f>
        <v>0,00%,
0,00%,
0,00%,
0,00%,
0,00%</v>
      </c>
      <c r="K20" s="26"/>
      <c r="L20" s="37" t="e">
        <f>H20-(H20*((MATCH(Table2614256789[[#This Row],[Evaluators Response (SELECT)]],Table2614256789[[#This Row],[1]:[11]],0)-1)/(COUNTA(Table2614256789[[#This Row],[1]:[11]])-COUNTBLANK(Table2614256789[[#This Row],[1]:[11]])-1)))</f>
        <v>#N/A</v>
      </c>
      <c r="M20" s="38"/>
      <c r="N20" s="29" t="str" cm="1">
        <f t="array" ref="N20">IFERROR(INDEX(_xlfn.UNIQUE(TRIM(_xlfn.TEXTSPLIT(Table2614256789[[#This Row],[Selection Options]:[Selection Options]],","))),,N$11),"")</f>
        <v>100%: Supported as delivered "out of the box"</v>
      </c>
      <c r="O20" s="29" t="str" cm="1">
        <f t="array" ref="O20">IFERROR(INDEX(_xlfn.UNIQUE(TRIM(_xlfn.TEXTSPLIT(Table2614256789[[#This Row],[Selection Options]:[Selection Options]],","))),,O$11),"")</f>
        <v xml:space="preserve">
75%: Supported via modifications (config)</v>
      </c>
      <c r="P20" s="29" t="str" cm="1">
        <f t="array" ref="P20">IFERROR(INDEX(_xlfn.UNIQUE(TRIM(_xlfn.TEXTSPLIT(Table2614256789[[#This Row],[Selection Options]:[Selection Options]],","))),,P$11),"")</f>
        <v xml:space="preserve">
50%: Supported via a third party solution</v>
      </c>
      <c r="Q20" s="29" t="str" cm="1">
        <f t="array" ref="Q20">IFERROR(INDEX(_xlfn.UNIQUE(TRIM(_xlfn.TEXTSPLIT(Table2614256789[[#This Row],[Selection Options]:[Selection Options]],","))),,Q$11),"")</f>
        <v xml:space="preserve">
25%: Supported via customisation (source code changes)</v>
      </c>
      <c r="R20" s="29" t="str" cm="1">
        <f t="array" ref="R20">IFERROR(INDEX(_xlfn.UNIQUE(TRIM(_xlfn.TEXTSPLIT(Table2614256789[[#This Row],[Selection Options]:[Selection Options]],","))),,R$11),"")</f>
        <v xml:space="preserve">
 0%: Not currently supported</v>
      </c>
      <c r="S20" s="29" t="str" cm="1">
        <f t="array" ref="S20">IFERROR(INDEX(_xlfn.UNIQUE(TRIM(_xlfn.TEXTSPLIT(Table2614256789[[#This Row],[Selection Options]:[Selection Options]],","))),,S$11),"")</f>
        <v/>
      </c>
      <c r="T20" s="29" t="str" cm="1">
        <f t="array" ref="T20">IFERROR(INDEX(_xlfn.UNIQUE(TRIM(_xlfn.TEXTSPLIT(Table2614256789[[#This Row],[Selection Options]:[Selection Options]],","))),,T$11),"")</f>
        <v/>
      </c>
      <c r="U20" s="29" t="str" cm="1">
        <f t="array" ref="U20">IFERROR(INDEX(_xlfn.UNIQUE(TRIM(_xlfn.TEXTSPLIT(Table2614256789[[#This Row],[Selection Options]:[Selection Options]],","))),,U$11),"")</f>
        <v/>
      </c>
      <c r="V20" s="29" t="str" cm="1">
        <f t="array" ref="V20">IFERROR(INDEX(_xlfn.UNIQUE(TRIM(_xlfn.TEXTSPLIT(Table2614256789[[#This Row],[Selection Options]:[Selection Options]],","))),,V$11),"")</f>
        <v/>
      </c>
      <c r="W20" s="29" t="str" cm="1">
        <f t="array" ref="W20">IFERROR(INDEX(_xlfn.UNIQUE(TRIM(_xlfn.TEXTSPLIT(Table2614256789[[#This Row],[Selection Options]:[Selection Options]],","))),,W$11),"")</f>
        <v/>
      </c>
      <c r="X20" s="29" t="str" cm="1">
        <f t="array" ref="X20">IFERROR(INDEX(_xlfn.UNIQUE(TRIM(_xlfn.TEXTSPLIT(Table2614256789[[#This Row],[Selection Options]:[Selection Options]],","))),,X$11),"")</f>
        <v/>
      </c>
      <c r="Y20" s="30" cm="1">
        <f t="array" ref="Y20">IF(Table2614256789[[#This Row],[1]]="","",Table2614256789[[#This Row],[Weight]:[Weight]]-(Table2614256789[[#This Row],[Weight]:[Weight]]*((_xlfn.XMATCH(Table2614256789[[#This Row],[1]],Table2614256789[[#This Row],[1]:[11]],0))-1)/(COUNTA(Table2614256789[[#This Row],[1]:[11]])-COUNTBLANK(Table2614256789[[#This Row],[1]:[11]])-1)))</f>
        <v>1.1479591836734693E-3</v>
      </c>
      <c r="Z20" s="30" cm="1">
        <f t="array" ref="Z20">IF(Table2614256789[[#This Row],[2]]="","",Table2614256789[[#This Row],[Weight]:[Weight]]-(Table2614256789[[#This Row],[Weight]:[Weight]]*((_xlfn.XMATCH(Table2614256789[[#This Row],[2]],Table2614256789[[#This Row],[1]:[11]],0))-1)/(COUNTA(Table2614256789[[#This Row],[1]:[11]])-COUNTBLANK(Table2614256789[[#This Row],[1]:[11]])-1)))</f>
        <v>8.6096938775510196E-4</v>
      </c>
      <c r="AA20" s="30" cm="1">
        <f t="array" ref="AA20">IF(Table2614256789[[#This Row],[3]]="","",Table2614256789[[#This Row],[Weight]:[Weight]]-(Table2614256789[[#This Row],[Weight]:[Weight]]*((_xlfn.XMATCH(Table2614256789[[#This Row],[3]],Table2614256789[[#This Row],[1]:[11]],0))-1)/(COUNTA(Table2614256789[[#This Row],[1]:[11]])-COUNTBLANK(Table2614256789[[#This Row],[1]:[11]])-1)))</f>
        <v>5.7397959183673464E-4</v>
      </c>
      <c r="AB20" s="30" cm="1">
        <f t="array" ref="AB20">IF(Table2614256789[[#This Row],[4]]="","",Table2614256789[[#This Row],[Weight]:[Weight]]-(Table2614256789[[#This Row],[Weight]:[Weight]]*((_xlfn.XMATCH(Table2614256789[[#This Row],[4]],Table2614256789[[#This Row],[1]:[11]],0))-1)/(COUNTA(Table2614256789[[#This Row],[1]:[11]])-COUNTBLANK(Table2614256789[[#This Row],[1]:[11]])-1)))</f>
        <v>2.8698979591836732E-4</v>
      </c>
      <c r="AC20" s="30" cm="1">
        <f t="array" ref="AC20">IF(Table2614256789[[#This Row],[5]]="","",Table2614256789[[#This Row],[Weight]:[Weight]]-(Table2614256789[[#This Row],[Weight]:[Weight]]*((_xlfn.XMATCH(Table2614256789[[#This Row],[5]],Table2614256789[[#This Row],[1]:[11]],0))-1)/(COUNTA(Table2614256789[[#This Row],[1]:[11]])-COUNTBLANK(Table2614256789[[#This Row],[1]:[11]])-1)))</f>
        <v>0</v>
      </c>
      <c r="AD20" s="30" t="str" cm="1">
        <f t="array" ref="AD20">IF(Table2614256789[[#This Row],[6]]="","",Table2614256789[[#This Row],[Weight]:[Weight]]-(Table2614256789[[#This Row],[Weight]:[Weight]]*((_xlfn.XMATCH(Table2614256789[[#This Row],[6]],Table2614256789[[#This Row],[1]:[11]],0))-1)/(COUNTA(Table2614256789[[#This Row],[1]:[11]])-COUNTBLANK(Table2614256789[[#This Row],[1]:[11]])-1)))</f>
        <v/>
      </c>
      <c r="AE20" s="30" t="str" cm="1">
        <f t="array" ref="AE20">IF(Table2614256789[[#This Row],[7]]="","",Table2614256789[[#This Row],[Weight]:[Weight]]-(Table2614256789[[#This Row],[Weight]:[Weight]]*((_xlfn.XMATCH(Table2614256789[[#This Row],[7]],Table2614256789[[#This Row],[1]:[11]],0))-1)/(COUNTA(Table2614256789[[#This Row],[1]:[11]])-COUNTBLANK(Table2614256789[[#This Row],[1]:[11]])-1)))</f>
        <v/>
      </c>
      <c r="AF20" s="30" t="str" cm="1">
        <f t="array" ref="AF20">IF(Table2614256789[[#This Row],[8]]="","",Table2614256789[[#This Row],[Weight]:[Weight]]-(Table2614256789[[#This Row],[Weight]:[Weight]]*((_xlfn.XMATCH(Table2614256789[[#This Row],[8]],Table2614256789[[#This Row],[1]:[11]],0))-1)/(COUNTA(Table2614256789[[#This Row],[1]:[11]])-COUNTBLANK(Table2614256789[[#This Row],[1]:[11]])-1)))</f>
        <v/>
      </c>
      <c r="AG20" s="30" t="str" cm="1">
        <f t="array" ref="AG20">IF(Table2614256789[[#This Row],[9]]="","",Table2614256789[[#This Row],[Weight]:[Weight]]-(Table2614256789[[#This Row],[Weight]:[Weight]]*((_xlfn.XMATCH(Table2614256789[[#This Row],[9]],Table2614256789[[#This Row],[1]:[11]],0))-1)/(COUNTA(Table2614256789[[#This Row],[1]:[11]])-COUNTBLANK(Table2614256789[[#This Row],[1]:[11]])-1)))</f>
        <v/>
      </c>
      <c r="AH20" s="30" t="str" cm="1">
        <f t="array" ref="AH20">IF(Table2614256789[[#This Row],[10]]="","",Table2614256789[[#This Row],[Weight]:[Weight]]-(Table2614256789[[#This Row],[Weight]:[Weight]]*((_xlfn.XMATCH(Table2614256789[[#This Row],[10]],Table2614256789[[#This Row],[1]:[11]],0))-1)/(COUNTA(Table2614256789[[#This Row],[1]:[11]])-COUNTBLANK(Table2614256789[[#This Row],[1]:[11]])-1)))</f>
        <v/>
      </c>
      <c r="AI20" s="30" t="str" cm="1">
        <f t="array" ref="AI20">IF(Table2614256789[[#This Row],[11]]="","",Table2614256789[[#This Row],[Weight]:[Weight]]-(Table2614256789[[#This Row],[Weight]:[Weight]]*((_xlfn.XMATCH(Table2614256789[[#This Row],[11]],Table2614256789[[#This Row],[1]:[11]],0))-1)/(COUNTA(Table2614256789[[#This Row],[1]:[11]])-COUNTBLANK(Table2614256789[[#This Row],[1]:[11]])-1)))</f>
        <v/>
      </c>
    </row>
    <row r="21" spans="1:35" ht="108" x14ac:dyDescent="0.2">
      <c r="A21" s="20">
        <v>9</v>
      </c>
      <c r="B21" s="119" t="s">
        <v>497</v>
      </c>
      <c r="C21" s="119" t="s">
        <v>215</v>
      </c>
      <c r="D21" s="146"/>
      <c r="E21" s="146"/>
      <c r="F21" s="121" t="s">
        <v>188</v>
      </c>
      <c r="G21" s="148" cm="1">
        <f t="array" ref="G21">_xlfn.IFS(F21="","",F21="No interest",0,F21="Nice to have",1,F21="Useful",2,F21="Important",3,F21="Very important",4,F21="Critical",5,F21="Show stopper",6)</f>
        <v>5</v>
      </c>
      <c r="H21" s="149">
        <f t="shared" si="1"/>
        <v>9.5663265306122447E-4</v>
      </c>
      <c r="I21" s="150" t="s">
        <v>321</v>
      </c>
      <c r="J21" s="35" t="str" cm="1">
        <f t="array" ref="J21">_xlfn.TEXTJOIN(","&amp;CHAR(10),,TEXT(Table2614256789[[#This Row],[12]:[22]],"0,00%"))</f>
        <v>0,00%,
0,00%,
0,00%,
0,00%,
0,00%</v>
      </c>
      <c r="K21" s="26"/>
      <c r="L21" s="27" t="e">
        <f>H21-(H21*((MATCH(Table2614256789[[#This Row],[Evaluators Response (SELECT)]],Table2614256789[[#This Row],[1]:[11]],0)-1)/(COUNTA(Table2614256789[[#This Row],[1]:[11]])-COUNTBLANK(Table2614256789[[#This Row],[1]:[11]])-1)))</f>
        <v>#N/A</v>
      </c>
      <c r="M21" s="28"/>
      <c r="N21" s="29" t="str" cm="1">
        <f t="array" ref="N21">IFERROR(INDEX(_xlfn.UNIQUE(TRIM(_xlfn.TEXTSPLIT(Table2614256789[[#This Row],[Selection Options]:[Selection Options]],","))),,N$11),"")</f>
        <v>100%: Supported as delivered "out of the box"</v>
      </c>
      <c r="O21" s="29" t="str" cm="1">
        <f t="array" ref="O21">IFERROR(INDEX(_xlfn.UNIQUE(TRIM(_xlfn.TEXTSPLIT(Table2614256789[[#This Row],[Selection Options]:[Selection Options]],","))),,O$11),"")</f>
        <v xml:space="preserve">
75%: Supported via modifications (config)</v>
      </c>
      <c r="P21" s="29" t="str" cm="1">
        <f t="array" ref="P21">IFERROR(INDEX(_xlfn.UNIQUE(TRIM(_xlfn.TEXTSPLIT(Table2614256789[[#This Row],[Selection Options]:[Selection Options]],","))),,P$11),"")</f>
        <v xml:space="preserve">
50%: Supported via a third party solution</v>
      </c>
      <c r="Q21" s="29" t="str" cm="1">
        <f t="array" ref="Q21">IFERROR(INDEX(_xlfn.UNIQUE(TRIM(_xlfn.TEXTSPLIT(Table2614256789[[#This Row],[Selection Options]:[Selection Options]],","))),,Q$11),"")</f>
        <v xml:space="preserve">
25%: Supported via customisation (source code changes)</v>
      </c>
      <c r="R21" s="29" t="str" cm="1">
        <f t="array" ref="R21">IFERROR(INDEX(_xlfn.UNIQUE(TRIM(_xlfn.TEXTSPLIT(Table2614256789[[#This Row],[Selection Options]:[Selection Options]],","))),,R$11),"")</f>
        <v xml:space="preserve">
 0%: Not currently supported</v>
      </c>
      <c r="S21" s="29" t="str" cm="1">
        <f t="array" ref="S21">IFERROR(INDEX(_xlfn.UNIQUE(TRIM(_xlfn.TEXTSPLIT(Table2614256789[[#This Row],[Selection Options]:[Selection Options]],","))),,S$11),"")</f>
        <v/>
      </c>
      <c r="T21" s="29" t="str" cm="1">
        <f t="array" ref="T21">IFERROR(INDEX(_xlfn.UNIQUE(TRIM(_xlfn.TEXTSPLIT(Table2614256789[[#This Row],[Selection Options]:[Selection Options]],","))),,T$11),"")</f>
        <v/>
      </c>
      <c r="U21" s="29" t="str" cm="1">
        <f t="array" ref="U21">IFERROR(INDEX(_xlfn.UNIQUE(TRIM(_xlfn.TEXTSPLIT(Table2614256789[[#This Row],[Selection Options]:[Selection Options]],","))),,U$11),"")</f>
        <v/>
      </c>
      <c r="V21" s="29" t="str" cm="1">
        <f t="array" ref="V21">IFERROR(INDEX(_xlfn.UNIQUE(TRIM(_xlfn.TEXTSPLIT(Table2614256789[[#This Row],[Selection Options]:[Selection Options]],","))),,V$11),"")</f>
        <v/>
      </c>
      <c r="W21" s="29" t="str" cm="1">
        <f t="array" ref="W21">IFERROR(INDEX(_xlfn.UNIQUE(TRIM(_xlfn.TEXTSPLIT(Table2614256789[[#This Row],[Selection Options]:[Selection Options]],","))),,W$11),"")</f>
        <v/>
      </c>
      <c r="X21" s="29" t="str" cm="1">
        <f t="array" ref="X21">IFERROR(INDEX(_xlfn.UNIQUE(TRIM(_xlfn.TEXTSPLIT(Table2614256789[[#This Row],[Selection Options]:[Selection Options]],","))),,X$11),"")</f>
        <v/>
      </c>
      <c r="Y21" s="30" cm="1">
        <f t="array" ref="Y21">IF(Table2614256789[[#This Row],[1]]="","",Table2614256789[[#This Row],[Weight]:[Weight]]-(Table2614256789[[#This Row],[Weight]:[Weight]]*((_xlfn.XMATCH(Table2614256789[[#This Row],[1]],Table2614256789[[#This Row],[1]:[11]],0))-1)/(COUNTA(Table2614256789[[#This Row],[1]:[11]])-COUNTBLANK(Table2614256789[[#This Row],[1]:[11]])-1)))</f>
        <v>9.5663265306122447E-4</v>
      </c>
      <c r="Z21" s="30" cm="1">
        <f t="array" ref="Z21">IF(Table2614256789[[#This Row],[2]]="","",Table2614256789[[#This Row],[Weight]:[Weight]]-(Table2614256789[[#This Row],[Weight]:[Weight]]*((_xlfn.XMATCH(Table2614256789[[#This Row],[2]],Table2614256789[[#This Row],[1]:[11]],0))-1)/(COUNTA(Table2614256789[[#This Row],[1]:[11]])-COUNTBLANK(Table2614256789[[#This Row],[1]:[11]])-1)))</f>
        <v>7.174744897959183E-4</v>
      </c>
      <c r="AA21" s="30" cm="1">
        <f t="array" ref="AA21">IF(Table2614256789[[#This Row],[3]]="","",Table2614256789[[#This Row],[Weight]:[Weight]]-(Table2614256789[[#This Row],[Weight]:[Weight]]*((_xlfn.XMATCH(Table2614256789[[#This Row],[3]],Table2614256789[[#This Row],[1]:[11]],0))-1)/(COUNTA(Table2614256789[[#This Row],[1]:[11]])-COUNTBLANK(Table2614256789[[#This Row],[1]:[11]])-1)))</f>
        <v>4.7831632653061223E-4</v>
      </c>
      <c r="AB21" s="30" cm="1">
        <f t="array" ref="AB21">IF(Table2614256789[[#This Row],[4]]="","",Table2614256789[[#This Row],[Weight]:[Weight]]-(Table2614256789[[#This Row],[Weight]:[Weight]]*((_xlfn.XMATCH(Table2614256789[[#This Row],[4]],Table2614256789[[#This Row],[1]:[11]],0))-1)/(COUNTA(Table2614256789[[#This Row],[1]:[11]])-COUNTBLANK(Table2614256789[[#This Row],[1]:[11]])-1)))</f>
        <v>2.3915816326530617E-4</v>
      </c>
      <c r="AC21" s="30" cm="1">
        <f t="array" ref="AC21">IF(Table2614256789[[#This Row],[5]]="","",Table2614256789[[#This Row],[Weight]:[Weight]]-(Table2614256789[[#This Row],[Weight]:[Weight]]*((_xlfn.XMATCH(Table2614256789[[#This Row],[5]],Table2614256789[[#This Row],[1]:[11]],0))-1)/(COUNTA(Table2614256789[[#This Row],[1]:[11]])-COUNTBLANK(Table2614256789[[#This Row],[1]:[11]])-1)))</f>
        <v>0</v>
      </c>
      <c r="AD21" s="30" t="str" cm="1">
        <f t="array" ref="AD21">IF(Table2614256789[[#This Row],[6]]="","",Table2614256789[[#This Row],[Weight]:[Weight]]-(Table2614256789[[#This Row],[Weight]:[Weight]]*((_xlfn.XMATCH(Table2614256789[[#This Row],[6]],Table2614256789[[#This Row],[1]:[11]],0))-1)/(COUNTA(Table2614256789[[#This Row],[1]:[11]])-COUNTBLANK(Table2614256789[[#This Row],[1]:[11]])-1)))</f>
        <v/>
      </c>
      <c r="AE21" s="30" t="str" cm="1">
        <f t="array" ref="AE21">IF(Table2614256789[[#This Row],[7]]="","",Table2614256789[[#This Row],[Weight]:[Weight]]-(Table2614256789[[#This Row],[Weight]:[Weight]]*((_xlfn.XMATCH(Table2614256789[[#This Row],[7]],Table2614256789[[#This Row],[1]:[11]],0))-1)/(COUNTA(Table2614256789[[#This Row],[1]:[11]])-COUNTBLANK(Table2614256789[[#This Row],[1]:[11]])-1)))</f>
        <v/>
      </c>
      <c r="AF21" s="30" t="str" cm="1">
        <f t="array" ref="AF21">IF(Table2614256789[[#This Row],[8]]="","",Table2614256789[[#This Row],[Weight]:[Weight]]-(Table2614256789[[#This Row],[Weight]:[Weight]]*((_xlfn.XMATCH(Table2614256789[[#This Row],[8]],Table2614256789[[#This Row],[1]:[11]],0))-1)/(COUNTA(Table2614256789[[#This Row],[1]:[11]])-COUNTBLANK(Table2614256789[[#This Row],[1]:[11]])-1)))</f>
        <v/>
      </c>
      <c r="AG21" s="30" t="str" cm="1">
        <f t="array" ref="AG21">IF(Table2614256789[[#This Row],[9]]="","",Table2614256789[[#This Row],[Weight]:[Weight]]-(Table2614256789[[#This Row],[Weight]:[Weight]]*((_xlfn.XMATCH(Table2614256789[[#This Row],[9]],Table2614256789[[#This Row],[1]:[11]],0))-1)/(COUNTA(Table2614256789[[#This Row],[1]:[11]])-COUNTBLANK(Table2614256789[[#This Row],[1]:[11]])-1)))</f>
        <v/>
      </c>
      <c r="AH21" s="30" t="str" cm="1">
        <f t="array" ref="AH21">IF(Table2614256789[[#This Row],[10]]="","",Table2614256789[[#This Row],[Weight]:[Weight]]-(Table2614256789[[#This Row],[Weight]:[Weight]]*((_xlfn.XMATCH(Table2614256789[[#This Row],[10]],Table2614256789[[#This Row],[1]:[11]],0))-1)/(COUNTA(Table2614256789[[#This Row],[1]:[11]])-COUNTBLANK(Table2614256789[[#This Row],[1]:[11]])-1)))</f>
        <v/>
      </c>
      <c r="AI21" s="30" t="str" cm="1">
        <f t="array" ref="AI21">IF(Table2614256789[[#This Row],[11]]="","",Table2614256789[[#This Row],[Weight]:[Weight]]-(Table2614256789[[#This Row],[Weight]:[Weight]]*((_xlfn.XMATCH(Table2614256789[[#This Row],[11]],Table2614256789[[#This Row],[1]:[11]],0))-1)/(COUNTA(Table2614256789[[#This Row],[1]:[11]])-COUNTBLANK(Table2614256789[[#This Row],[1]:[11]])-1)))</f>
        <v/>
      </c>
    </row>
    <row r="22" spans="1:35" ht="108" x14ac:dyDescent="0.2">
      <c r="A22" s="20">
        <v>10</v>
      </c>
      <c r="B22" s="90" t="s">
        <v>498</v>
      </c>
      <c r="C22" s="119" t="s">
        <v>215</v>
      </c>
      <c r="D22" s="146"/>
      <c r="E22" s="146"/>
      <c r="F22" s="120" t="s">
        <v>60</v>
      </c>
      <c r="G22" s="148" cm="1">
        <f t="array" ref="G22">_xlfn.IFS(F22="","",F22="No interest",0,F22="Nice to have",1,F22="Useful",2,F22="Important",3,F22="Very important",4,F22="Critical",5,F22="Show stopper",6)</f>
        <v>6</v>
      </c>
      <c r="H22" s="149">
        <f t="shared" si="1"/>
        <v>1.1479591836734693E-3</v>
      </c>
      <c r="I22" s="150" t="s">
        <v>321</v>
      </c>
      <c r="J22" s="35" t="str" cm="1">
        <f t="array" ref="J22">_xlfn.TEXTJOIN(","&amp;CHAR(10),,TEXT(Table2614256789[[#This Row],[12]:[22]],"0,00%"))</f>
        <v>0,00%,
0,00%,
0,00%,
0,00%,
0,00%</v>
      </c>
      <c r="K22" s="26"/>
      <c r="L22" s="27" t="e">
        <f>H22-(H22*((MATCH(Table2614256789[[#This Row],[Evaluators Response (SELECT)]],Table2614256789[[#This Row],[1]:[11]],0)-1)/(COUNTA(Table2614256789[[#This Row],[1]:[11]])-COUNTBLANK(Table2614256789[[#This Row],[1]:[11]])-1)))</f>
        <v>#N/A</v>
      </c>
      <c r="M22" s="28"/>
      <c r="N22" s="29" t="str" cm="1">
        <f t="array" ref="N22">IFERROR(INDEX(_xlfn.UNIQUE(TRIM(_xlfn.TEXTSPLIT(Table2614256789[[#This Row],[Selection Options]:[Selection Options]],","))),,N$11),"")</f>
        <v>100%: Supported as delivered "out of the box"</v>
      </c>
      <c r="O22" s="29" t="str" cm="1">
        <f t="array" ref="O22">IFERROR(INDEX(_xlfn.UNIQUE(TRIM(_xlfn.TEXTSPLIT(Table2614256789[[#This Row],[Selection Options]:[Selection Options]],","))),,O$11),"")</f>
        <v xml:space="preserve">
75%: Supported via modifications (config)</v>
      </c>
      <c r="P22" s="29" t="str" cm="1">
        <f t="array" ref="P22">IFERROR(INDEX(_xlfn.UNIQUE(TRIM(_xlfn.TEXTSPLIT(Table2614256789[[#This Row],[Selection Options]:[Selection Options]],","))),,P$11),"")</f>
        <v xml:space="preserve">
50%: Supported via a third party solution</v>
      </c>
      <c r="Q22" s="29" t="str" cm="1">
        <f t="array" ref="Q22">IFERROR(INDEX(_xlfn.UNIQUE(TRIM(_xlfn.TEXTSPLIT(Table2614256789[[#This Row],[Selection Options]:[Selection Options]],","))),,Q$11),"")</f>
        <v xml:space="preserve">
25%: Supported via customisation (source code changes)</v>
      </c>
      <c r="R22" s="29" t="str" cm="1">
        <f t="array" ref="R22">IFERROR(INDEX(_xlfn.UNIQUE(TRIM(_xlfn.TEXTSPLIT(Table2614256789[[#This Row],[Selection Options]:[Selection Options]],","))),,R$11),"")</f>
        <v xml:space="preserve">
 0%: Not currently supported</v>
      </c>
      <c r="S22" s="29" t="str" cm="1">
        <f t="array" ref="S22">IFERROR(INDEX(_xlfn.UNIQUE(TRIM(_xlfn.TEXTSPLIT(Table2614256789[[#This Row],[Selection Options]:[Selection Options]],","))),,S$11),"")</f>
        <v/>
      </c>
      <c r="T22" s="29" t="str" cm="1">
        <f t="array" ref="T22">IFERROR(INDEX(_xlfn.UNIQUE(TRIM(_xlfn.TEXTSPLIT(Table2614256789[[#This Row],[Selection Options]:[Selection Options]],","))),,T$11),"")</f>
        <v/>
      </c>
      <c r="U22" s="29" t="str" cm="1">
        <f t="array" ref="U22">IFERROR(INDEX(_xlfn.UNIQUE(TRIM(_xlfn.TEXTSPLIT(Table2614256789[[#This Row],[Selection Options]:[Selection Options]],","))),,U$11),"")</f>
        <v/>
      </c>
      <c r="V22" s="29" t="str" cm="1">
        <f t="array" ref="V22">IFERROR(INDEX(_xlfn.UNIQUE(TRIM(_xlfn.TEXTSPLIT(Table2614256789[[#This Row],[Selection Options]:[Selection Options]],","))),,V$11),"")</f>
        <v/>
      </c>
      <c r="W22" s="29" t="str" cm="1">
        <f t="array" ref="W22">IFERROR(INDEX(_xlfn.UNIQUE(TRIM(_xlfn.TEXTSPLIT(Table2614256789[[#This Row],[Selection Options]:[Selection Options]],","))),,W$11),"")</f>
        <v/>
      </c>
      <c r="X22" s="29" t="str" cm="1">
        <f t="array" ref="X22">IFERROR(INDEX(_xlfn.UNIQUE(TRIM(_xlfn.TEXTSPLIT(Table2614256789[[#This Row],[Selection Options]:[Selection Options]],","))),,X$11),"")</f>
        <v/>
      </c>
      <c r="Y22" s="30" cm="1">
        <f t="array" ref="Y22">IF(Table2614256789[[#This Row],[1]]="","",Table2614256789[[#This Row],[Weight]:[Weight]]-(Table2614256789[[#This Row],[Weight]:[Weight]]*((_xlfn.XMATCH(Table2614256789[[#This Row],[1]],Table2614256789[[#This Row],[1]:[11]],0))-1)/(COUNTA(Table2614256789[[#This Row],[1]:[11]])-COUNTBLANK(Table2614256789[[#This Row],[1]:[11]])-1)))</f>
        <v>1.1479591836734693E-3</v>
      </c>
      <c r="Z22" s="30" cm="1">
        <f t="array" ref="Z22">IF(Table2614256789[[#This Row],[2]]="","",Table2614256789[[#This Row],[Weight]:[Weight]]-(Table2614256789[[#This Row],[Weight]:[Weight]]*((_xlfn.XMATCH(Table2614256789[[#This Row],[2]],Table2614256789[[#This Row],[1]:[11]],0))-1)/(COUNTA(Table2614256789[[#This Row],[1]:[11]])-COUNTBLANK(Table2614256789[[#This Row],[1]:[11]])-1)))</f>
        <v>8.6096938775510196E-4</v>
      </c>
      <c r="AA22" s="30" cm="1">
        <f t="array" ref="AA22">IF(Table2614256789[[#This Row],[3]]="","",Table2614256789[[#This Row],[Weight]:[Weight]]-(Table2614256789[[#This Row],[Weight]:[Weight]]*((_xlfn.XMATCH(Table2614256789[[#This Row],[3]],Table2614256789[[#This Row],[1]:[11]],0))-1)/(COUNTA(Table2614256789[[#This Row],[1]:[11]])-COUNTBLANK(Table2614256789[[#This Row],[1]:[11]])-1)))</f>
        <v>5.7397959183673464E-4</v>
      </c>
      <c r="AB22" s="30" cm="1">
        <f t="array" ref="AB22">IF(Table2614256789[[#This Row],[4]]="","",Table2614256789[[#This Row],[Weight]:[Weight]]-(Table2614256789[[#This Row],[Weight]:[Weight]]*((_xlfn.XMATCH(Table2614256789[[#This Row],[4]],Table2614256789[[#This Row],[1]:[11]],0))-1)/(COUNTA(Table2614256789[[#This Row],[1]:[11]])-COUNTBLANK(Table2614256789[[#This Row],[1]:[11]])-1)))</f>
        <v>2.8698979591836732E-4</v>
      </c>
      <c r="AC22" s="30" cm="1">
        <f t="array" ref="AC22">IF(Table2614256789[[#This Row],[5]]="","",Table2614256789[[#This Row],[Weight]:[Weight]]-(Table2614256789[[#This Row],[Weight]:[Weight]]*((_xlfn.XMATCH(Table2614256789[[#This Row],[5]],Table2614256789[[#This Row],[1]:[11]],0))-1)/(COUNTA(Table2614256789[[#This Row],[1]:[11]])-COUNTBLANK(Table2614256789[[#This Row],[1]:[11]])-1)))</f>
        <v>0</v>
      </c>
      <c r="AD22" s="30" t="str" cm="1">
        <f t="array" ref="AD22">IF(Table2614256789[[#This Row],[6]]="","",Table2614256789[[#This Row],[Weight]:[Weight]]-(Table2614256789[[#This Row],[Weight]:[Weight]]*((_xlfn.XMATCH(Table2614256789[[#This Row],[6]],Table2614256789[[#This Row],[1]:[11]],0))-1)/(COUNTA(Table2614256789[[#This Row],[1]:[11]])-COUNTBLANK(Table2614256789[[#This Row],[1]:[11]])-1)))</f>
        <v/>
      </c>
      <c r="AE22" s="30" t="str" cm="1">
        <f t="array" ref="AE22">IF(Table2614256789[[#This Row],[7]]="","",Table2614256789[[#This Row],[Weight]:[Weight]]-(Table2614256789[[#This Row],[Weight]:[Weight]]*((_xlfn.XMATCH(Table2614256789[[#This Row],[7]],Table2614256789[[#This Row],[1]:[11]],0))-1)/(COUNTA(Table2614256789[[#This Row],[1]:[11]])-COUNTBLANK(Table2614256789[[#This Row],[1]:[11]])-1)))</f>
        <v/>
      </c>
      <c r="AF22" s="30" t="str" cm="1">
        <f t="array" ref="AF22">IF(Table2614256789[[#This Row],[8]]="","",Table2614256789[[#This Row],[Weight]:[Weight]]-(Table2614256789[[#This Row],[Weight]:[Weight]]*((_xlfn.XMATCH(Table2614256789[[#This Row],[8]],Table2614256789[[#This Row],[1]:[11]],0))-1)/(COUNTA(Table2614256789[[#This Row],[1]:[11]])-COUNTBLANK(Table2614256789[[#This Row],[1]:[11]])-1)))</f>
        <v/>
      </c>
      <c r="AG22" s="30" t="str" cm="1">
        <f t="array" ref="AG22">IF(Table2614256789[[#This Row],[9]]="","",Table2614256789[[#This Row],[Weight]:[Weight]]-(Table2614256789[[#This Row],[Weight]:[Weight]]*((_xlfn.XMATCH(Table2614256789[[#This Row],[9]],Table2614256789[[#This Row],[1]:[11]],0))-1)/(COUNTA(Table2614256789[[#This Row],[1]:[11]])-COUNTBLANK(Table2614256789[[#This Row],[1]:[11]])-1)))</f>
        <v/>
      </c>
      <c r="AH22" s="30" t="str" cm="1">
        <f t="array" ref="AH22">IF(Table2614256789[[#This Row],[10]]="","",Table2614256789[[#This Row],[Weight]:[Weight]]-(Table2614256789[[#This Row],[Weight]:[Weight]]*((_xlfn.XMATCH(Table2614256789[[#This Row],[10]],Table2614256789[[#This Row],[1]:[11]],0))-1)/(COUNTA(Table2614256789[[#This Row],[1]:[11]])-COUNTBLANK(Table2614256789[[#This Row],[1]:[11]])-1)))</f>
        <v/>
      </c>
      <c r="AI22" s="30" t="str" cm="1">
        <f t="array" ref="AI22">IF(Table2614256789[[#This Row],[11]]="","",Table2614256789[[#This Row],[Weight]:[Weight]]-(Table2614256789[[#This Row],[Weight]:[Weight]]*((_xlfn.XMATCH(Table2614256789[[#This Row],[11]],Table2614256789[[#This Row],[1]:[11]],0))-1)/(COUNTA(Table2614256789[[#This Row],[1]:[11]])-COUNTBLANK(Table2614256789[[#This Row],[1]:[11]])-1)))</f>
        <v/>
      </c>
    </row>
    <row r="23" spans="1:35" ht="108" x14ac:dyDescent="0.2">
      <c r="A23" s="20">
        <v>11</v>
      </c>
      <c r="B23" s="90" t="s">
        <v>499</v>
      </c>
      <c r="C23" s="119" t="s">
        <v>215</v>
      </c>
      <c r="D23" s="146"/>
      <c r="E23" s="146"/>
      <c r="F23" s="120" t="s">
        <v>60</v>
      </c>
      <c r="G23" s="148" cm="1">
        <f t="array" ref="G23">_xlfn.IFS(F23="","",F23="No interest",0,F23="Nice to have",1,F23="Useful",2,F23="Important",3,F23="Very important",4,F23="Critical",5,F23="Show stopper",6)</f>
        <v>6</v>
      </c>
      <c r="H23" s="149">
        <f t="shared" si="1"/>
        <v>1.1479591836734693E-3</v>
      </c>
      <c r="I23" s="150" t="s">
        <v>321</v>
      </c>
      <c r="J23" s="35" t="str" cm="1">
        <f t="array" ref="J23">_xlfn.TEXTJOIN(","&amp;CHAR(10),,TEXT(Table2614256789[[#This Row],[12]:[22]],"0,00%"))</f>
        <v>0,00%,
0,00%,
0,00%,
0,00%,
0,00%</v>
      </c>
      <c r="K23" s="26"/>
      <c r="L23" s="27" t="e">
        <f>H23-(H23*((MATCH(Table2614256789[[#This Row],[Evaluators Response (SELECT)]],Table2614256789[[#This Row],[1]:[11]],0)-1)/(COUNTA(Table2614256789[[#This Row],[1]:[11]])-COUNTBLANK(Table2614256789[[#This Row],[1]:[11]])-1)))</f>
        <v>#N/A</v>
      </c>
      <c r="M23" s="28"/>
      <c r="N23" s="29" t="str" cm="1">
        <f t="array" ref="N23">IFERROR(INDEX(_xlfn.UNIQUE(TRIM(_xlfn.TEXTSPLIT(Table2614256789[[#This Row],[Selection Options]:[Selection Options]],","))),,N$11),"")</f>
        <v>100%: Supported as delivered "out of the box"</v>
      </c>
      <c r="O23" s="29" t="str" cm="1">
        <f t="array" ref="O23">IFERROR(INDEX(_xlfn.UNIQUE(TRIM(_xlfn.TEXTSPLIT(Table2614256789[[#This Row],[Selection Options]:[Selection Options]],","))),,O$11),"")</f>
        <v xml:space="preserve">
75%: Supported via modifications (config)</v>
      </c>
      <c r="P23" s="29" t="str" cm="1">
        <f t="array" ref="P23">IFERROR(INDEX(_xlfn.UNIQUE(TRIM(_xlfn.TEXTSPLIT(Table2614256789[[#This Row],[Selection Options]:[Selection Options]],","))),,P$11),"")</f>
        <v xml:space="preserve">
50%: Supported via a third party solution</v>
      </c>
      <c r="Q23" s="29" t="str" cm="1">
        <f t="array" ref="Q23">IFERROR(INDEX(_xlfn.UNIQUE(TRIM(_xlfn.TEXTSPLIT(Table2614256789[[#This Row],[Selection Options]:[Selection Options]],","))),,Q$11),"")</f>
        <v xml:space="preserve">
25%: Supported via customisation (source code changes)</v>
      </c>
      <c r="R23" s="29" t="str" cm="1">
        <f t="array" ref="R23">IFERROR(INDEX(_xlfn.UNIQUE(TRIM(_xlfn.TEXTSPLIT(Table2614256789[[#This Row],[Selection Options]:[Selection Options]],","))),,R$11),"")</f>
        <v xml:space="preserve">
 0%: Not currently supported</v>
      </c>
      <c r="S23" s="29" t="str" cm="1">
        <f t="array" ref="S23">IFERROR(INDEX(_xlfn.UNIQUE(TRIM(_xlfn.TEXTSPLIT(Table2614256789[[#This Row],[Selection Options]:[Selection Options]],","))),,S$11),"")</f>
        <v/>
      </c>
      <c r="T23" s="29" t="str" cm="1">
        <f t="array" ref="T23">IFERROR(INDEX(_xlfn.UNIQUE(TRIM(_xlfn.TEXTSPLIT(Table2614256789[[#This Row],[Selection Options]:[Selection Options]],","))),,T$11),"")</f>
        <v/>
      </c>
      <c r="U23" s="29" t="str" cm="1">
        <f t="array" ref="U23">IFERROR(INDEX(_xlfn.UNIQUE(TRIM(_xlfn.TEXTSPLIT(Table2614256789[[#This Row],[Selection Options]:[Selection Options]],","))),,U$11),"")</f>
        <v/>
      </c>
      <c r="V23" s="29" t="str" cm="1">
        <f t="array" ref="V23">IFERROR(INDEX(_xlfn.UNIQUE(TRIM(_xlfn.TEXTSPLIT(Table2614256789[[#This Row],[Selection Options]:[Selection Options]],","))),,V$11),"")</f>
        <v/>
      </c>
      <c r="W23" s="29" t="str" cm="1">
        <f t="array" ref="W23">IFERROR(INDEX(_xlfn.UNIQUE(TRIM(_xlfn.TEXTSPLIT(Table2614256789[[#This Row],[Selection Options]:[Selection Options]],","))),,W$11),"")</f>
        <v/>
      </c>
      <c r="X23" s="29" t="str" cm="1">
        <f t="array" ref="X23">IFERROR(INDEX(_xlfn.UNIQUE(TRIM(_xlfn.TEXTSPLIT(Table2614256789[[#This Row],[Selection Options]:[Selection Options]],","))),,X$11),"")</f>
        <v/>
      </c>
      <c r="Y23" s="30" cm="1">
        <f t="array" ref="Y23">IF(Table2614256789[[#This Row],[1]]="","",Table2614256789[[#This Row],[Weight]:[Weight]]-(Table2614256789[[#This Row],[Weight]:[Weight]]*((_xlfn.XMATCH(Table2614256789[[#This Row],[1]],Table2614256789[[#This Row],[1]:[11]],0))-1)/(COUNTA(Table2614256789[[#This Row],[1]:[11]])-COUNTBLANK(Table2614256789[[#This Row],[1]:[11]])-1)))</f>
        <v>1.1479591836734693E-3</v>
      </c>
      <c r="Z23" s="30" cm="1">
        <f t="array" ref="Z23">IF(Table2614256789[[#This Row],[2]]="","",Table2614256789[[#This Row],[Weight]:[Weight]]-(Table2614256789[[#This Row],[Weight]:[Weight]]*((_xlfn.XMATCH(Table2614256789[[#This Row],[2]],Table2614256789[[#This Row],[1]:[11]],0))-1)/(COUNTA(Table2614256789[[#This Row],[1]:[11]])-COUNTBLANK(Table2614256789[[#This Row],[1]:[11]])-1)))</f>
        <v>8.6096938775510196E-4</v>
      </c>
      <c r="AA23" s="30" cm="1">
        <f t="array" ref="AA23">IF(Table2614256789[[#This Row],[3]]="","",Table2614256789[[#This Row],[Weight]:[Weight]]-(Table2614256789[[#This Row],[Weight]:[Weight]]*((_xlfn.XMATCH(Table2614256789[[#This Row],[3]],Table2614256789[[#This Row],[1]:[11]],0))-1)/(COUNTA(Table2614256789[[#This Row],[1]:[11]])-COUNTBLANK(Table2614256789[[#This Row],[1]:[11]])-1)))</f>
        <v>5.7397959183673464E-4</v>
      </c>
      <c r="AB23" s="30" cm="1">
        <f t="array" ref="AB23">IF(Table2614256789[[#This Row],[4]]="","",Table2614256789[[#This Row],[Weight]:[Weight]]-(Table2614256789[[#This Row],[Weight]:[Weight]]*((_xlfn.XMATCH(Table2614256789[[#This Row],[4]],Table2614256789[[#This Row],[1]:[11]],0))-1)/(COUNTA(Table2614256789[[#This Row],[1]:[11]])-COUNTBLANK(Table2614256789[[#This Row],[1]:[11]])-1)))</f>
        <v>2.8698979591836732E-4</v>
      </c>
      <c r="AC23" s="30" cm="1">
        <f t="array" ref="AC23">IF(Table2614256789[[#This Row],[5]]="","",Table2614256789[[#This Row],[Weight]:[Weight]]-(Table2614256789[[#This Row],[Weight]:[Weight]]*((_xlfn.XMATCH(Table2614256789[[#This Row],[5]],Table2614256789[[#This Row],[1]:[11]],0))-1)/(COUNTA(Table2614256789[[#This Row],[1]:[11]])-COUNTBLANK(Table2614256789[[#This Row],[1]:[11]])-1)))</f>
        <v>0</v>
      </c>
      <c r="AD23" s="30" t="str" cm="1">
        <f t="array" ref="AD23">IF(Table2614256789[[#This Row],[6]]="","",Table2614256789[[#This Row],[Weight]:[Weight]]-(Table2614256789[[#This Row],[Weight]:[Weight]]*((_xlfn.XMATCH(Table2614256789[[#This Row],[6]],Table2614256789[[#This Row],[1]:[11]],0))-1)/(COUNTA(Table2614256789[[#This Row],[1]:[11]])-COUNTBLANK(Table2614256789[[#This Row],[1]:[11]])-1)))</f>
        <v/>
      </c>
      <c r="AE23" s="30" t="str" cm="1">
        <f t="array" ref="AE23">IF(Table2614256789[[#This Row],[7]]="","",Table2614256789[[#This Row],[Weight]:[Weight]]-(Table2614256789[[#This Row],[Weight]:[Weight]]*((_xlfn.XMATCH(Table2614256789[[#This Row],[7]],Table2614256789[[#This Row],[1]:[11]],0))-1)/(COUNTA(Table2614256789[[#This Row],[1]:[11]])-COUNTBLANK(Table2614256789[[#This Row],[1]:[11]])-1)))</f>
        <v/>
      </c>
      <c r="AF23" s="30" t="str" cm="1">
        <f t="array" ref="AF23">IF(Table2614256789[[#This Row],[8]]="","",Table2614256789[[#This Row],[Weight]:[Weight]]-(Table2614256789[[#This Row],[Weight]:[Weight]]*((_xlfn.XMATCH(Table2614256789[[#This Row],[8]],Table2614256789[[#This Row],[1]:[11]],0))-1)/(COUNTA(Table2614256789[[#This Row],[1]:[11]])-COUNTBLANK(Table2614256789[[#This Row],[1]:[11]])-1)))</f>
        <v/>
      </c>
      <c r="AG23" s="30" t="str" cm="1">
        <f t="array" ref="AG23">IF(Table2614256789[[#This Row],[9]]="","",Table2614256789[[#This Row],[Weight]:[Weight]]-(Table2614256789[[#This Row],[Weight]:[Weight]]*((_xlfn.XMATCH(Table2614256789[[#This Row],[9]],Table2614256789[[#This Row],[1]:[11]],0))-1)/(COUNTA(Table2614256789[[#This Row],[1]:[11]])-COUNTBLANK(Table2614256789[[#This Row],[1]:[11]])-1)))</f>
        <v/>
      </c>
      <c r="AH23" s="30" t="str" cm="1">
        <f t="array" ref="AH23">IF(Table2614256789[[#This Row],[10]]="","",Table2614256789[[#This Row],[Weight]:[Weight]]-(Table2614256789[[#This Row],[Weight]:[Weight]]*((_xlfn.XMATCH(Table2614256789[[#This Row],[10]],Table2614256789[[#This Row],[1]:[11]],0))-1)/(COUNTA(Table2614256789[[#This Row],[1]:[11]])-COUNTBLANK(Table2614256789[[#This Row],[1]:[11]])-1)))</f>
        <v/>
      </c>
      <c r="AI23" s="30" t="str" cm="1">
        <f t="array" ref="AI23">IF(Table2614256789[[#This Row],[11]]="","",Table2614256789[[#This Row],[Weight]:[Weight]]-(Table2614256789[[#This Row],[Weight]:[Weight]]*((_xlfn.XMATCH(Table2614256789[[#This Row],[11]],Table2614256789[[#This Row],[1]:[11]],0))-1)/(COUNTA(Table2614256789[[#This Row],[1]:[11]])-COUNTBLANK(Table2614256789[[#This Row],[1]:[11]])-1)))</f>
        <v/>
      </c>
    </row>
    <row r="24" spans="1:35" ht="108" x14ac:dyDescent="0.2">
      <c r="A24" s="20">
        <v>12</v>
      </c>
      <c r="B24" s="90" t="s">
        <v>500</v>
      </c>
      <c r="C24" s="119" t="s">
        <v>215</v>
      </c>
      <c r="D24" s="146"/>
      <c r="E24" s="146"/>
      <c r="F24" s="120" t="s">
        <v>60</v>
      </c>
      <c r="G24" s="148" cm="1">
        <f t="array" ref="G24">_xlfn.IFS(F24="","",F24="No interest",0,F24="Nice to have",1,F24="Useful",2,F24="Important",3,F24="Very important",4,F24="Critical",5,F24="Show stopper",6)</f>
        <v>6</v>
      </c>
      <c r="H24" s="149">
        <f t="shared" si="1"/>
        <v>1.1479591836734693E-3</v>
      </c>
      <c r="I24" s="150" t="s">
        <v>321</v>
      </c>
      <c r="J24" s="35" t="str" cm="1">
        <f t="array" ref="J24">_xlfn.TEXTJOIN(","&amp;CHAR(10),,TEXT(Table2614256789[[#This Row],[12]:[22]],"0,00%"))</f>
        <v>0,00%,
0,00%,
0,00%,
0,00%,
0,00%</v>
      </c>
      <c r="K24" s="26"/>
      <c r="L24" s="27" t="e">
        <f>H24-(H24*((MATCH(Table2614256789[[#This Row],[Evaluators Response (SELECT)]],Table2614256789[[#This Row],[1]:[11]],0)-1)/(COUNTA(Table2614256789[[#This Row],[1]:[11]])-COUNTBLANK(Table2614256789[[#This Row],[1]:[11]])-1)))</f>
        <v>#N/A</v>
      </c>
      <c r="M24" s="28"/>
      <c r="N24" s="29" t="str" cm="1">
        <f t="array" ref="N24">IFERROR(INDEX(_xlfn.UNIQUE(TRIM(_xlfn.TEXTSPLIT(Table2614256789[[#This Row],[Selection Options]:[Selection Options]],","))),,N$11),"")</f>
        <v>100%: Supported as delivered "out of the box"</v>
      </c>
      <c r="O24" s="29" t="str" cm="1">
        <f t="array" ref="O24">IFERROR(INDEX(_xlfn.UNIQUE(TRIM(_xlfn.TEXTSPLIT(Table2614256789[[#This Row],[Selection Options]:[Selection Options]],","))),,O$11),"")</f>
        <v xml:space="preserve">
75%: Supported via modifications (config)</v>
      </c>
      <c r="P24" s="29" t="str" cm="1">
        <f t="array" ref="P24">IFERROR(INDEX(_xlfn.UNIQUE(TRIM(_xlfn.TEXTSPLIT(Table2614256789[[#This Row],[Selection Options]:[Selection Options]],","))),,P$11),"")</f>
        <v xml:space="preserve">
50%: Supported via a third party solution</v>
      </c>
      <c r="Q24" s="29" t="str" cm="1">
        <f t="array" ref="Q24">IFERROR(INDEX(_xlfn.UNIQUE(TRIM(_xlfn.TEXTSPLIT(Table2614256789[[#This Row],[Selection Options]:[Selection Options]],","))),,Q$11),"")</f>
        <v xml:space="preserve">
25%: Supported via customisation (source code changes)</v>
      </c>
      <c r="R24" s="29" t="str" cm="1">
        <f t="array" ref="R24">IFERROR(INDEX(_xlfn.UNIQUE(TRIM(_xlfn.TEXTSPLIT(Table2614256789[[#This Row],[Selection Options]:[Selection Options]],","))),,R$11),"")</f>
        <v xml:space="preserve">
 0%: Not currently supported</v>
      </c>
      <c r="S24" s="29" t="str" cm="1">
        <f t="array" ref="S24">IFERROR(INDEX(_xlfn.UNIQUE(TRIM(_xlfn.TEXTSPLIT(Table2614256789[[#This Row],[Selection Options]:[Selection Options]],","))),,S$11),"")</f>
        <v/>
      </c>
      <c r="T24" s="29" t="str" cm="1">
        <f t="array" ref="T24">IFERROR(INDEX(_xlfn.UNIQUE(TRIM(_xlfn.TEXTSPLIT(Table2614256789[[#This Row],[Selection Options]:[Selection Options]],","))),,T$11),"")</f>
        <v/>
      </c>
      <c r="U24" s="29" t="str" cm="1">
        <f t="array" ref="U24">IFERROR(INDEX(_xlfn.UNIQUE(TRIM(_xlfn.TEXTSPLIT(Table2614256789[[#This Row],[Selection Options]:[Selection Options]],","))),,U$11),"")</f>
        <v/>
      </c>
      <c r="V24" s="29" t="str" cm="1">
        <f t="array" ref="V24">IFERROR(INDEX(_xlfn.UNIQUE(TRIM(_xlfn.TEXTSPLIT(Table2614256789[[#This Row],[Selection Options]:[Selection Options]],","))),,V$11),"")</f>
        <v/>
      </c>
      <c r="W24" s="29" t="str" cm="1">
        <f t="array" ref="W24">IFERROR(INDEX(_xlfn.UNIQUE(TRIM(_xlfn.TEXTSPLIT(Table2614256789[[#This Row],[Selection Options]:[Selection Options]],","))),,W$11),"")</f>
        <v/>
      </c>
      <c r="X24" s="29" t="str" cm="1">
        <f t="array" ref="X24">IFERROR(INDEX(_xlfn.UNIQUE(TRIM(_xlfn.TEXTSPLIT(Table2614256789[[#This Row],[Selection Options]:[Selection Options]],","))),,X$11),"")</f>
        <v/>
      </c>
      <c r="Y24" s="30" cm="1">
        <f t="array" ref="Y24">IF(Table2614256789[[#This Row],[1]]="","",Table2614256789[[#This Row],[Weight]:[Weight]]-(Table2614256789[[#This Row],[Weight]:[Weight]]*((_xlfn.XMATCH(Table2614256789[[#This Row],[1]],Table2614256789[[#This Row],[1]:[11]],0))-1)/(COUNTA(Table2614256789[[#This Row],[1]:[11]])-COUNTBLANK(Table2614256789[[#This Row],[1]:[11]])-1)))</f>
        <v>1.1479591836734693E-3</v>
      </c>
      <c r="Z24" s="30" cm="1">
        <f t="array" ref="Z24">IF(Table2614256789[[#This Row],[2]]="","",Table2614256789[[#This Row],[Weight]:[Weight]]-(Table2614256789[[#This Row],[Weight]:[Weight]]*((_xlfn.XMATCH(Table2614256789[[#This Row],[2]],Table2614256789[[#This Row],[1]:[11]],0))-1)/(COUNTA(Table2614256789[[#This Row],[1]:[11]])-COUNTBLANK(Table2614256789[[#This Row],[1]:[11]])-1)))</f>
        <v>8.6096938775510196E-4</v>
      </c>
      <c r="AA24" s="30" cm="1">
        <f t="array" ref="AA24">IF(Table2614256789[[#This Row],[3]]="","",Table2614256789[[#This Row],[Weight]:[Weight]]-(Table2614256789[[#This Row],[Weight]:[Weight]]*((_xlfn.XMATCH(Table2614256789[[#This Row],[3]],Table2614256789[[#This Row],[1]:[11]],0))-1)/(COUNTA(Table2614256789[[#This Row],[1]:[11]])-COUNTBLANK(Table2614256789[[#This Row],[1]:[11]])-1)))</f>
        <v>5.7397959183673464E-4</v>
      </c>
      <c r="AB24" s="30" cm="1">
        <f t="array" ref="AB24">IF(Table2614256789[[#This Row],[4]]="","",Table2614256789[[#This Row],[Weight]:[Weight]]-(Table2614256789[[#This Row],[Weight]:[Weight]]*((_xlfn.XMATCH(Table2614256789[[#This Row],[4]],Table2614256789[[#This Row],[1]:[11]],0))-1)/(COUNTA(Table2614256789[[#This Row],[1]:[11]])-COUNTBLANK(Table2614256789[[#This Row],[1]:[11]])-1)))</f>
        <v>2.8698979591836732E-4</v>
      </c>
      <c r="AC24" s="30" cm="1">
        <f t="array" ref="AC24">IF(Table2614256789[[#This Row],[5]]="","",Table2614256789[[#This Row],[Weight]:[Weight]]-(Table2614256789[[#This Row],[Weight]:[Weight]]*((_xlfn.XMATCH(Table2614256789[[#This Row],[5]],Table2614256789[[#This Row],[1]:[11]],0))-1)/(COUNTA(Table2614256789[[#This Row],[1]:[11]])-COUNTBLANK(Table2614256789[[#This Row],[1]:[11]])-1)))</f>
        <v>0</v>
      </c>
      <c r="AD24" s="30" t="str" cm="1">
        <f t="array" ref="AD24">IF(Table2614256789[[#This Row],[6]]="","",Table2614256789[[#This Row],[Weight]:[Weight]]-(Table2614256789[[#This Row],[Weight]:[Weight]]*((_xlfn.XMATCH(Table2614256789[[#This Row],[6]],Table2614256789[[#This Row],[1]:[11]],0))-1)/(COUNTA(Table2614256789[[#This Row],[1]:[11]])-COUNTBLANK(Table2614256789[[#This Row],[1]:[11]])-1)))</f>
        <v/>
      </c>
      <c r="AE24" s="30" t="str" cm="1">
        <f t="array" ref="AE24">IF(Table2614256789[[#This Row],[7]]="","",Table2614256789[[#This Row],[Weight]:[Weight]]-(Table2614256789[[#This Row],[Weight]:[Weight]]*((_xlfn.XMATCH(Table2614256789[[#This Row],[7]],Table2614256789[[#This Row],[1]:[11]],0))-1)/(COUNTA(Table2614256789[[#This Row],[1]:[11]])-COUNTBLANK(Table2614256789[[#This Row],[1]:[11]])-1)))</f>
        <v/>
      </c>
      <c r="AF24" s="30" t="str" cm="1">
        <f t="array" ref="AF24">IF(Table2614256789[[#This Row],[8]]="","",Table2614256789[[#This Row],[Weight]:[Weight]]-(Table2614256789[[#This Row],[Weight]:[Weight]]*((_xlfn.XMATCH(Table2614256789[[#This Row],[8]],Table2614256789[[#This Row],[1]:[11]],0))-1)/(COUNTA(Table2614256789[[#This Row],[1]:[11]])-COUNTBLANK(Table2614256789[[#This Row],[1]:[11]])-1)))</f>
        <v/>
      </c>
      <c r="AG24" s="30" t="str" cm="1">
        <f t="array" ref="AG24">IF(Table2614256789[[#This Row],[9]]="","",Table2614256789[[#This Row],[Weight]:[Weight]]-(Table2614256789[[#This Row],[Weight]:[Weight]]*((_xlfn.XMATCH(Table2614256789[[#This Row],[9]],Table2614256789[[#This Row],[1]:[11]],0))-1)/(COUNTA(Table2614256789[[#This Row],[1]:[11]])-COUNTBLANK(Table2614256789[[#This Row],[1]:[11]])-1)))</f>
        <v/>
      </c>
      <c r="AH24" s="30" t="str" cm="1">
        <f t="array" ref="AH24">IF(Table2614256789[[#This Row],[10]]="","",Table2614256789[[#This Row],[Weight]:[Weight]]-(Table2614256789[[#This Row],[Weight]:[Weight]]*((_xlfn.XMATCH(Table2614256789[[#This Row],[10]],Table2614256789[[#This Row],[1]:[11]],0))-1)/(COUNTA(Table2614256789[[#This Row],[1]:[11]])-COUNTBLANK(Table2614256789[[#This Row],[1]:[11]])-1)))</f>
        <v/>
      </c>
      <c r="AI24" s="30" t="str" cm="1">
        <f t="array" ref="AI24">IF(Table2614256789[[#This Row],[11]]="","",Table2614256789[[#This Row],[Weight]:[Weight]]-(Table2614256789[[#This Row],[Weight]:[Weight]]*((_xlfn.XMATCH(Table2614256789[[#This Row],[11]],Table2614256789[[#This Row],[1]:[11]],0))-1)/(COUNTA(Table2614256789[[#This Row],[1]:[11]])-COUNTBLANK(Table2614256789[[#This Row],[1]:[11]])-1)))</f>
        <v/>
      </c>
    </row>
    <row r="25" spans="1:35" ht="108" x14ac:dyDescent="0.2">
      <c r="A25" s="20">
        <v>13</v>
      </c>
      <c r="B25" s="90" t="s">
        <v>501</v>
      </c>
      <c r="C25" s="119" t="s">
        <v>215</v>
      </c>
      <c r="D25" s="146"/>
      <c r="E25" s="146"/>
      <c r="F25" s="121" t="s">
        <v>60</v>
      </c>
      <c r="G25" s="148" cm="1">
        <f t="array" ref="G25">_xlfn.IFS(F25="","",F25="No interest",0,F25="Nice to have",1,F25="Useful",2,F25="Important",3,F25="Very important",4,F25="Critical",5,F25="Show stopper",6)</f>
        <v>6</v>
      </c>
      <c r="H25" s="149">
        <f t="shared" si="1"/>
        <v>1.1479591836734693E-3</v>
      </c>
      <c r="I25" s="150" t="s">
        <v>321</v>
      </c>
      <c r="J25" s="35" t="str" cm="1">
        <f t="array" ref="J25">_xlfn.TEXTJOIN(","&amp;CHAR(10),,TEXT(Table2614256789[[#This Row],[12]:[22]],"0,00%"))</f>
        <v>0,00%,
0,00%,
0,00%,
0,00%,
0,00%</v>
      </c>
      <c r="K25" s="26"/>
      <c r="L25" s="27" t="e">
        <f>H25-(H25*((MATCH(Table2614256789[[#This Row],[Evaluators Response (SELECT)]],Table2614256789[[#This Row],[1]:[11]],0)-1)/(COUNTA(Table2614256789[[#This Row],[1]:[11]])-COUNTBLANK(Table2614256789[[#This Row],[1]:[11]])-1)))</f>
        <v>#N/A</v>
      </c>
      <c r="M25" s="28"/>
      <c r="N25" s="29" t="str" cm="1">
        <f t="array" ref="N25">IFERROR(INDEX(_xlfn.UNIQUE(TRIM(_xlfn.TEXTSPLIT(Table2614256789[[#This Row],[Selection Options]:[Selection Options]],","))),,N$11),"")</f>
        <v>100%: Supported as delivered "out of the box"</v>
      </c>
      <c r="O25" s="29" t="str" cm="1">
        <f t="array" ref="O25">IFERROR(INDEX(_xlfn.UNIQUE(TRIM(_xlfn.TEXTSPLIT(Table2614256789[[#This Row],[Selection Options]:[Selection Options]],","))),,O$11),"")</f>
        <v xml:space="preserve">
75%: Supported via modifications (config)</v>
      </c>
      <c r="P25" s="29" t="str" cm="1">
        <f t="array" ref="P25">IFERROR(INDEX(_xlfn.UNIQUE(TRIM(_xlfn.TEXTSPLIT(Table2614256789[[#This Row],[Selection Options]:[Selection Options]],","))),,P$11),"")</f>
        <v xml:space="preserve">
50%: Supported via a third party solution</v>
      </c>
      <c r="Q25" s="29" t="str" cm="1">
        <f t="array" ref="Q25">IFERROR(INDEX(_xlfn.UNIQUE(TRIM(_xlfn.TEXTSPLIT(Table2614256789[[#This Row],[Selection Options]:[Selection Options]],","))),,Q$11),"")</f>
        <v xml:space="preserve">
25%: Supported via customisation (source code changes)</v>
      </c>
      <c r="R25" s="29" t="str" cm="1">
        <f t="array" ref="R25">IFERROR(INDEX(_xlfn.UNIQUE(TRIM(_xlfn.TEXTSPLIT(Table2614256789[[#This Row],[Selection Options]:[Selection Options]],","))),,R$11),"")</f>
        <v xml:space="preserve">
 0%: Not currently supported</v>
      </c>
      <c r="S25" s="29" t="str" cm="1">
        <f t="array" ref="S25">IFERROR(INDEX(_xlfn.UNIQUE(TRIM(_xlfn.TEXTSPLIT(Table2614256789[[#This Row],[Selection Options]:[Selection Options]],","))),,S$11),"")</f>
        <v/>
      </c>
      <c r="T25" s="29" t="str" cm="1">
        <f t="array" ref="T25">IFERROR(INDEX(_xlfn.UNIQUE(TRIM(_xlfn.TEXTSPLIT(Table2614256789[[#This Row],[Selection Options]:[Selection Options]],","))),,T$11),"")</f>
        <v/>
      </c>
      <c r="U25" s="29" t="str" cm="1">
        <f t="array" ref="U25">IFERROR(INDEX(_xlfn.UNIQUE(TRIM(_xlfn.TEXTSPLIT(Table2614256789[[#This Row],[Selection Options]:[Selection Options]],","))),,U$11),"")</f>
        <v/>
      </c>
      <c r="V25" s="29" t="str" cm="1">
        <f t="array" ref="V25">IFERROR(INDEX(_xlfn.UNIQUE(TRIM(_xlfn.TEXTSPLIT(Table2614256789[[#This Row],[Selection Options]:[Selection Options]],","))),,V$11),"")</f>
        <v/>
      </c>
      <c r="W25" s="29" t="str" cm="1">
        <f t="array" ref="W25">IFERROR(INDEX(_xlfn.UNIQUE(TRIM(_xlfn.TEXTSPLIT(Table2614256789[[#This Row],[Selection Options]:[Selection Options]],","))),,W$11),"")</f>
        <v/>
      </c>
      <c r="X25" s="29" t="str" cm="1">
        <f t="array" ref="X25">IFERROR(INDEX(_xlfn.UNIQUE(TRIM(_xlfn.TEXTSPLIT(Table2614256789[[#This Row],[Selection Options]:[Selection Options]],","))),,X$11),"")</f>
        <v/>
      </c>
      <c r="Y25" s="30" cm="1">
        <f t="array" ref="Y25">IF(Table2614256789[[#This Row],[1]]="","",Table2614256789[[#This Row],[Weight]:[Weight]]-(Table2614256789[[#This Row],[Weight]:[Weight]]*((_xlfn.XMATCH(Table2614256789[[#This Row],[1]],Table2614256789[[#This Row],[1]:[11]],0))-1)/(COUNTA(Table2614256789[[#This Row],[1]:[11]])-COUNTBLANK(Table2614256789[[#This Row],[1]:[11]])-1)))</f>
        <v>1.1479591836734693E-3</v>
      </c>
      <c r="Z25" s="30" cm="1">
        <f t="array" ref="Z25">IF(Table2614256789[[#This Row],[2]]="","",Table2614256789[[#This Row],[Weight]:[Weight]]-(Table2614256789[[#This Row],[Weight]:[Weight]]*((_xlfn.XMATCH(Table2614256789[[#This Row],[2]],Table2614256789[[#This Row],[1]:[11]],0))-1)/(COUNTA(Table2614256789[[#This Row],[1]:[11]])-COUNTBLANK(Table2614256789[[#This Row],[1]:[11]])-1)))</f>
        <v>8.6096938775510196E-4</v>
      </c>
      <c r="AA25" s="30" cm="1">
        <f t="array" ref="AA25">IF(Table2614256789[[#This Row],[3]]="","",Table2614256789[[#This Row],[Weight]:[Weight]]-(Table2614256789[[#This Row],[Weight]:[Weight]]*((_xlfn.XMATCH(Table2614256789[[#This Row],[3]],Table2614256789[[#This Row],[1]:[11]],0))-1)/(COUNTA(Table2614256789[[#This Row],[1]:[11]])-COUNTBLANK(Table2614256789[[#This Row],[1]:[11]])-1)))</f>
        <v>5.7397959183673464E-4</v>
      </c>
      <c r="AB25" s="30" cm="1">
        <f t="array" ref="AB25">IF(Table2614256789[[#This Row],[4]]="","",Table2614256789[[#This Row],[Weight]:[Weight]]-(Table2614256789[[#This Row],[Weight]:[Weight]]*((_xlfn.XMATCH(Table2614256789[[#This Row],[4]],Table2614256789[[#This Row],[1]:[11]],0))-1)/(COUNTA(Table2614256789[[#This Row],[1]:[11]])-COUNTBLANK(Table2614256789[[#This Row],[1]:[11]])-1)))</f>
        <v>2.8698979591836732E-4</v>
      </c>
      <c r="AC25" s="30" cm="1">
        <f t="array" ref="AC25">IF(Table2614256789[[#This Row],[5]]="","",Table2614256789[[#This Row],[Weight]:[Weight]]-(Table2614256789[[#This Row],[Weight]:[Weight]]*((_xlfn.XMATCH(Table2614256789[[#This Row],[5]],Table2614256789[[#This Row],[1]:[11]],0))-1)/(COUNTA(Table2614256789[[#This Row],[1]:[11]])-COUNTBLANK(Table2614256789[[#This Row],[1]:[11]])-1)))</f>
        <v>0</v>
      </c>
      <c r="AD25" s="30" t="str" cm="1">
        <f t="array" ref="AD25">IF(Table2614256789[[#This Row],[6]]="","",Table2614256789[[#This Row],[Weight]:[Weight]]-(Table2614256789[[#This Row],[Weight]:[Weight]]*((_xlfn.XMATCH(Table2614256789[[#This Row],[6]],Table2614256789[[#This Row],[1]:[11]],0))-1)/(COUNTA(Table2614256789[[#This Row],[1]:[11]])-COUNTBLANK(Table2614256789[[#This Row],[1]:[11]])-1)))</f>
        <v/>
      </c>
      <c r="AE25" s="30" t="str" cm="1">
        <f t="array" ref="AE25">IF(Table2614256789[[#This Row],[7]]="","",Table2614256789[[#This Row],[Weight]:[Weight]]-(Table2614256789[[#This Row],[Weight]:[Weight]]*((_xlfn.XMATCH(Table2614256789[[#This Row],[7]],Table2614256789[[#This Row],[1]:[11]],0))-1)/(COUNTA(Table2614256789[[#This Row],[1]:[11]])-COUNTBLANK(Table2614256789[[#This Row],[1]:[11]])-1)))</f>
        <v/>
      </c>
      <c r="AF25" s="30" t="str" cm="1">
        <f t="array" ref="AF25">IF(Table2614256789[[#This Row],[8]]="","",Table2614256789[[#This Row],[Weight]:[Weight]]-(Table2614256789[[#This Row],[Weight]:[Weight]]*((_xlfn.XMATCH(Table2614256789[[#This Row],[8]],Table2614256789[[#This Row],[1]:[11]],0))-1)/(COUNTA(Table2614256789[[#This Row],[1]:[11]])-COUNTBLANK(Table2614256789[[#This Row],[1]:[11]])-1)))</f>
        <v/>
      </c>
      <c r="AG25" s="30" t="str" cm="1">
        <f t="array" ref="AG25">IF(Table2614256789[[#This Row],[9]]="","",Table2614256789[[#This Row],[Weight]:[Weight]]-(Table2614256789[[#This Row],[Weight]:[Weight]]*((_xlfn.XMATCH(Table2614256789[[#This Row],[9]],Table2614256789[[#This Row],[1]:[11]],0))-1)/(COUNTA(Table2614256789[[#This Row],[1]:[11]])-COUNTBLANK(Table2614256789[[#This Row],[1]:[11]])-1)))</f>
        <v/>
      </c>
      <c r="AH25" s="30" t="str" cm="1">
        <f t="array" ref="AH25">IF(Table2614256789[[#This Row],[10]]="","",Table2614256789[[#This Row],[Weight]:[Weight]]-(Table2614256789[[#This Row],[Weight]:[Weight]]*((_xlfn.XMATCH(Table2614256789[[#This Row],[10]],Table2614256789[[#This Row],[1]:[11]],0))-1)/(COUNTA(Table2614256789[[#This Row],[1]:[11]])-COUNTBLANK(Table2614256789[[#This Row],[1]:[11]])-1)))</f>
        <v/>
      </c>
      <c r="AI25" s="30" t="str" cm="1">
        <f t="array" ref="AI25">IF(Table2614256789[[#This Row],[11]]="","",Table2614256789[[#This Row],[Weight]:[Weight]]-(Table2614256789[[#This Row],[Weight]:[Weight]]*((_xlfn.XMATCH(Table2614256789[[#This Row],[11]],Table2614256789[[#This Row],[1]:[11]],0))-1)/(COUNTA(Table2614256789[[#This Row],[1]:[11]])-COUNTBLANK(Table2614256789[[#This Row],[1]:[11]])-1)))</f>
        <v/>
      </c>
    </row>
    <row r="26" spans="1:35" ht="108" x14ac:dyDescent="0.2">
      <c r="A26" s="20">
        <v>14</v>
      </c>
      <c r="B26" s="90" t="s">
        <v>502</v>
      </c>
      <c r="C26" s="119" t="s">
        <v>215</v>
      </c>
      <c r="D26" s="146"/>
      <c r="E26" s="146"/>
      <c r="F26" s="121" t="s">
        <v>60</v>
      </c>
      <c r="G26" s="148" cm="1">
        <f t="array" ref="G26">_xlfn.IFS(F26="","",F26="No interest",0,F26="Nice to have",1,F26="Useful",2,F26="Important",3,F26="Very important",4,F26="Critical",5,F26="Show stopper",6)</f>
        <v>6</v>
      </c>
      <c r="H26" s="149">
        <f t="shared" si="1"/>
        <v>1.1479591836734693E-3</v>
      </c>
      <c r="I26" s="150" t="s">
        <v>321</v>
      </c>
      <c r="J26" s="35" t="str" cm="1">
        <f t="array" ref="J26">_xlfn.TEXTJOIN(","&amp;CHAR(10),,TEXT(Table2614256789[[#This Row],[12]:[22]],"0,00%"))</f>
        <v>0,00%,
0,00%,
0,00%,
0,00%,
0,00%</v>
      </c>
      <c r="K26" s="26"/>
      <c r="L26" s="27" t="e">
        <f>H26-(H26*((MATCH(Table2614256789[[#This Row],[Evaluators Response (SELECT)]],Table2614256789[[#This Row],[1]:[11]],0)-1)/(COUNTA(Table2614256789[[#This Row],[1]:[11]])-COUNTBLANK(Table2614256789[[#This Row],[1]:[11]])-1)))</f>
        <v>#N/A</v>
      </c>
      <c r="M26" s="28"/>
      <c r="N26" s="29" t="str" cm="1">
        <f t="array" ref="N26">IFERROR(INDEX(_xlfn.UNIQUE(TRIM(_xlfn.TEXTSPLIT(Table2614256789[[#This Row],[Selection Options]:[Selection Options]],","))),,N$11),"")</f>
        <v>100%: Supported as delivered "out of the box"</v>
      </c>
      <c r="O26" s="29" t="str" cm="1">
        <f t="array" ref="O26">IFERROR(INDEX(_xlfn.UNIQUE(TRIM(_xlfn.TEXTSPLIT(Table2614256789[[#This Row],[Selection Options]:[Selection Options]],","))),,O$11),"")</f>
        <v xml:space="preserve">
75%: Supported via modifications (config)</v>
      </c>
      <c r="P26" s="29" t="str" cm="1">
        <f t="array" ref="P26">IFERROR(INDEX(_xlfn.UNIQUE(TRIM(_xlfn.TEXTSPLIT(Table2614256789[[#This Row],[Selection Options]:[Selection Options]],","))),,P$11),"")</f>
        <v xml:space="preserve">
50%: Supported via a third party solution</v>
      </c>
      <c r="Q26" s="29" t="str" cm="1">
        <f t="array" ref="Q26">IFERROR(INDEX(_xlfn.UNIQUE(TRIM(_xlfn.TEXTSPLIT(Table2614256789[[#This Row],[Selection Options]:[Selection Options]],","))),,Q$11),"")</f>
        <v xml:space="preserve">
25%: Supported via customisation (source code changes)</v>
      </c>
      <c r="R26" s="29" t="str" cm="1">
        <f t="array" ref="R26">IFERROR(INDEX(_xlfn.UNIQUE(TRIM(_xlfn.TEXTSPLIT(Table2614256789[[#This Row],[Selection Options]:[Selection Options]],","))),,R$11),"")</f>
        <v xml:space="preserve">
 0%: Not currently supported</v>
      </c>
      <c r="S26" s="29" t="str" cm="1">
        <f t="array" ref="S26">IFERROR(INDEX(_xlfn.UNIQUE(TRIM(_xlfn.TEXTSPLIT(Table2614256789[[#This Row],[Selection Options]:[Selection Options]],","))),,S$11),"")</f>
        <v/>
      </c>
      <c r="T26" s="29" t="str" cm="1">
        <f t="array" ref="T26">IFERROR(INDEX(_xlfn.UNIQUE(TRIM(_xlfn.TEXTSPLIT(Table2614256789[[#This Row],[Selection Options]:[Selection Options]],","))),,T$11),"")</f>
        <v/>
      </c>
      <c r="U26" s="29" t="str" cm="1">
        <f t="array" ref="U26">IFERROR(INDEX(_xlfn.UNIQUE(TRIM(_xlfn.TEXTSPLIT(Table2614256789[[#This Row],[Selection Options]:[Selection Options]],","))),,U$11),"")</f>
        <v/>
      </c>
      <c r="V26" s="29" t="str" cm="1">
        <f t="array" ref="V26">IFERROR(INDEX(_xlfn.UNIQUE(TRIM(_xlfn.TEXTSPLIT(Table2614256789[[#This Row],[Selection Options]:[Selection Options]],","))),,V$11),"")</f>
        <v/>
      </c>
      <c r="W26" s="29" t="str" cm="1">
        <f t="array" ref="W26">IFERROR(INDEX(_xlfn.UNIQUE(TRIM(_xlfn.TEXTSPLIT(Table2614256789[[#This Row],[Selection Options]:[Selection Options]],","))),,W$11),"")</f>
        <v/>
      </c>
      <c r="X26" s="29" t="str" cm="1">
        <f t="array" ref="X26">IFERROR(INDEX(_xlfn.UNIQUE(TRIM(_xlfn.TEXTSPLIT(Table2614256789[[#This Row],[Selection Options]:[Selection Options]],","))),,X$11),"")</f>
        <v/>
      </c>
      <c r="Y26" s="30" cm="1">
        <f t="array" ref="Y26">IF(Table2614256789[[#This Row],[1]]="","",Table2614256789[[#This Row],[Weight]:[Weight]]-(Table2614256789[[#This Row],[Weight]:[Weight]]*((_xlfn.XMATCH(Table2614256789[[#This Row],[1]],Table2614256789[[#This Row],[1]:[11]],0))-1)/(COUNTA(Table2614256789[[#This Row],[1]:[11]])-COUNTBLANK(Table2614256789[[#This Row],[1]:[11]])-1)))</f>
        <v>1.1479591836734693E-3</v>
      </c>
      <c r="Z26" s="30" cm="1">
        <f t="array" ref="Z26">IF(Table2614256789[[#This Row],[2]]="","",Table2614256789[[#This Row],[Weight]:[Weight]]-(Table2614256789[[#This Row],[Weight]:[Weight]]*((_xlfn.XMATCH(Table2614256789[[#This Row],[2]],Table2614256789[[#This Row],[1]:[11]],0))-1)/(COUNTA(Table2614256789[[#This Row],[1]:[11]])-COUNTBLANK(Table2614256789[[#This Row],[1]:[11]])-1)))</f>
        <v>8.6096938775510196E-4</v>
      </c>
      <c r="AA26" s="30" cm="1">
        <f t="array" ref="AA26">IF(Table2614256789[[#This Row],[3]]="","",Table2614256789[[#This Row],[Weight]:[Weight]]-(Table2614256789[[#This Row],[Weight]:[Weight]]*((_xlfn.XMATCH(Table2614256789[[#This Row],[3]],Table2614256789[[#This Row],[1]:[11]],0))-1)/(COUNTA(Table2614256789[[#This Row],[1]:[11]])-COUNTBLANK(Table2614256789[[#This Row],[1]:[11]])-1)))</f>
        <v>5.7397959183673464E-4</v>
      </c>
      <c r="AB26" s="30" cm="1">
        <f t="array" ref="AB26">IF(Table2614256789[[#This Row],[4]]="","",Table2614256789[[#This Row],[Weight]:[Weight]]-(Table2614256789[[#This Row],[Weight]:[Weight]]*((_xlfn.XMATCH(Table2614256789[[#This Row],[4]],Table2614256789[[#This Row],[1]:[11]],0))-1)/(COUNTA(Table2614256789[[#This Row],[1]:[11]])-COUNTBLANK(Table2614256789[[#This Row],[1]:[11]])-1)))</f>
        <v>2.8698979591836732E-4</v>
      </c>
      <c r="AC26" s="30" cm="1">
        <f t="array" ref="AC26">IF(Table2614256789[[#This Row],[5]]="","",Table2614256789[[#This Row],[Weight]:[Weight]]-(Table2614256789[[#This Row],[Weight]:[Weight]]*((_xlfn.XMATCH(Table2614256789[[#This Row],[5]],Table2614256789[[#This Row],[1]:[11]],0))-1)/(COUNTA(Table2614256789[[#This Row],[1]:[11]])-COUNTBLANK(Table2614256789[[#This Row],[1]:[11]])-1)))</f>
        <v>0</v>
      </c>
      <c r="AD26" s="30" t="str" cm="1">
        <f t="array" ref="AD26">IF(Table2614256789[[#This Row],[6]]="","",Table2614256789[[#This Row],[Weight]:[Weight]]-(Table2614256789[[#This Row],[Weight]:[Weight]]*((_xlfn.XMATCH(Table2614256789[[#This Row],[6]],Table2614256789[[#This Row],[1]:[11]],0))-1)/(COUNTA(Table2614256789[[#This Row],[1]:[11]])-COUNTBLANK(Table2614256789[[#This Row],[1]:[11]])-1)))</f>
        <v/>
      </c>
      <c r="AE26" s="30" t="str" cm="1">
        <f t="array" ref="AE26">IF(Table2614256789[[#This Row],[7]]="","",Table2614256789[[#This Row],[Weight]:[Weight]]-(Table2614256789[[#This Row],[Weight]:[Weight]]*((_xlfn.XMATCH(Table2614256789[[#This Row],[7]],Table2614256789[[#This Row],[1]:[11]],0))-1)/(COUNTA(Table2614256789[[#This Row],[1]:[11]])-COUNTBLANK(Table2614256789[[#This Row],[1]:[11]])-1)))</f>
        <v/>
      </c>
      <c r="AF26" s="30" t="str" cm="1">
        <f t="array" ref="AF26">IF(Table2614256789[[#This Row],[8]]="","",Table2614256789[[#This Row],[Weight]:[Weight]]-(Table2614256789[[#This Row],[Weight]:[Weight]]*((_xlfn.XMATCH(Table2614256789[[#This Row],[8]],Table2614256789[[#This Row],[1]:[11]],0))-1)/(COUNTA(Table2614256789[[#This Row],[1]:[11]])-COUNTBLANK(Table2614256789[[#This Row],[1]:[11]])-1)))</f>
        <v/>
      </c>
      <c r="AG26" s="30" t="str" cm="1">
        <f t="array" ref="AG26">IF(Table2614256789[[#This Row],[9]]="","",Table2614256789[[#This Row],[Weight]:[Weight]]-(Table2614256789[[#This Row],[Weight]:[Weight]]*((_xlfn.XMATCH(Table2614256789[[#This Row],[9]],Table2614256789[[#This Row],[1]:[11]],0))-1)/(COUNTA(Table2614256789[[#This Row],[1]:[11]])-COUNTBLANK(Table2614256789[[#This Row],[1]:[11]])-1)))</f>
        <v/>
      </c>
      <c r="AH26" s="30" t="str" cm="1">
        <f t="array" ref="AH26">IF(Table2614256789[[#This Row],[10]]="","",Table2614256789[[#This Row],[Weight]:[Weight]]-(Table2614256789[[#This Row],[Weight]:[Weight]]*((_xlfn.XMATCH(Table2614256789[[#This Row],[10]],Table2614256789[[#This Row],[1]:[11]],0))-1)/(COUNTA(Table2614256789[[#This Row],[1]:[11]])-COUNTBLANK(Table2614256789[[#This Row],[1]:[11]])-1)))</f>
        <v/>
      </c>
      <c r="AI26" s="30" t="str" cm="1">
        <f t="array" ref="AI26">IF(Table2614256789[[#This Row],[11]]="","",Table2614256789[[#This Row],[Weight]:[Weight]]-(Table2614256789[[#This Row],[Weight]:[Weight]]*((_xlfn.XMATCH(Table2614256789[[#This Row],[11]],Table2614256789[[#This Row],[1]:[11]],0))-1)/(COUNTA(Table2614256789[[#This Row],[1]:[11]])-COUNTBLANK(Table2614256789[[#This Row],[1]:[11]])-1)))</f>
        <v/>
      </c>
    </row>
    <row r="27" spans="1:35" ht="108" x14ac:dyDescent="0.2">
      <c r="A27" s="20">
        <v>15</v>
      </c>
      <c r="B27" s="90" t="s">
        <v>503</v>
      </c>
      <c r="C27" s="119" t="s">
        <v>215</v>
      </c>
      <c r="D27" s="153"/>
      <c r="E27" s="153"/>
      <c r="F27" s="121" t="s">
        <v>60</v>
      </c>
      <c r="G27" s="148" cm="1">
        <f t="array" ref="G27">_xlfn.IFS(F27="","",F27="No interest",0,F27="Nice to have",1,F27="Useful",2,F27="Important",3,F27="Very important",4,F27="Critical",5,F27="Show stopper",6)</f>
        <v>6</v>
      </c>
      <c r="H27" s="149">
        <f t="shared" si="1"/>
        <v>1.1479591836734693E-3</v>
      </c>
      <c r="I27" s="150" t="s">
        <v>321</v>
      </c>
      <c r="J27" s="35" t="str" cm="1">
        <f t="array" ref="J27">_xlfn.TEXTJOIN(","&amp;CHAR(10),,TEXT(Table2614256789[[#This Row],[12]:[22]],"0,00%"))</f>
        <v>0,00%,
0,00%,
0,00%,
0,00%,
0,00%</v>
      </c>
      <c r="K27" s="26"/>
      <c r="L27" s="27" t="e">
        <f>H27-(H27*((MATCH(Table2614256789[[#This Row],[Evaluators Response (SELECT)]],Table2614256789[[#This Row],[1]:[11]],0)-1)/(COUNTA(Table2614256789[[#This Row],[1]:[11]])-COUNTBLANK(Table2614256789[[#This Row],[1]:[11]])-1)))</f>
        <v>#N/A</v>
      </c>
      <c r="M27" s="28"/>
      <c r="N27" s="29" t="str" cm="1">
        <f t="array" ref="N27">IFERROR(INDEX(_xlfn.UNIQUE(TRIM(_xlfn.TEXTSPLIT(Table2614256789[[#This Row],[Selection Options]:[Selection Options]],","))),,N$11),"")</f>
        <v>100%: Supported as delivered "out of the box"</v>
      </c>
      <c r="O27" s="29" t="str" cm="1">
        <f t="array" ref="O27">IFERROR(INDEX(_xlfn.UNIQUE(TRIM(_xlfn.TEXTSPLIT(Table2614256789[[#This Row],[Selection Options]:[Selection Options]],","))),,O$11),"")</f>
        <v xml:space="preserve">
75%: Supported via modifications (config)</v>
      </c>
      <c r="P27" s="29" t="str" cm="1">
        <f t="array" ref="P27">IFERROR(INDEX(_xlfn.UNIQUE(TRIM(_xlfn.TEXTSPLIT(Table2614256789[[#This Row],[Selection Options]:[Selection Options]],","))),,P$11),"")</f>
        <v xml:space="preserve">
50%: Supported via a third party solution</v>
      </c>
      <c r="Q27" s="29" t="str" cm="1">
        <f t="array" ref="Q27">IFERROR(INDEX(_xlfn.UNIQUE(TRIM(_xlfn.TEXTSPLIT(Table2614256789[[#This Row],[Selection Options]:[Selection Options]],","))),,Q$11),"")</f>
        <v xml:space="preserve">
25%: Supported via customisation (source code changes)</v>
      </c>
      <c r="R27" s="29" t="str" cm="1">
        <f t="array" ref="R27">IFERROR(INDEX(_xlfn.UNIQUE(TRIM(_xlfn.TEXTSPLIT(Table2614256789[[#This Row],[Selection Options]:[Selection Options]],","))),,R$11),"")</f>
        <v xml:space="preserve">
 0%: Not currently supported</v>
      </c>
      <c r="S27" s="29" t="str" cm="1">
        <f t="array" ref="S27">IFERROR(INDEX(_xlfn.UNIQUE(TRIM(_xlfn.TEXTSPLIT(Table2614256789[[#This Row],[Selection Options]:[Selection Options]],","))),,S$11),"")</f>
        <v/>
      </c>
      <c r="T27" s="29" t="str" cm="1">
        <f t="array" ref="T27">IFERROR(INDEX(_xlfn.UNIQUE(TRIM(_xlfn.TEXTSPLIT(Table2614256789[[#This Row],[Selection Options]:[Selection Options]],","))),,T$11),"")</f>
        <v/>
      </c>
      <c r="U27" s="29" t="str" cm="1">
        <f t="array" ref="U27">IFERROR(INDEX(_xlfn.UNIQUE(TRIM(_xlfn.TEXTSPLIT(Table2614256789[[#This Row],[Selection Options]:[Selection Options]],","))),,U$11),"")</f>
        <v/>
      </c>
      <c r="V27" s="29" t="str" cm="1">
        <f t="array" ref="V27">IFERROR(INDEX(_xlfn.UNIQUE(TRIM(_xlfn.TEXTSPLIT(Table2614256789[[#This Row],[Selection Options]:[Selection Options]],","))),,V$11),"")</f>
        <v/>
      </c>
      <c r="W27" s="29" t="str" cm="1">
        <f t="array" ref="W27">IFERROR(INDEX(_xlfn.UNIQUE(TRIM(_xlfn.TEXTSPLIT(Table2614256789[[#This Row],[Selection Options]:[Selection Options]],","))),,W$11),"")</f>
        <v/>
      </c>
      <c r="X27" s="29" t="str" cm="1">
        <f t="array" ref="X27">IFERROR(INDEX(_xlfn.UNIQUE(TRIM(_xlfn.TEXTSPLIT(Table2614256789[[#This Row],[Selection Options]:[Selection Options]],","))),,X$11),"")</f>
        <v/>
      </c>
      <c r="Y27" s="30" cm="1">
        <f t="array" ref="Y27">IF(Table2614256789[[#This Row],[1]]="","",Table2614256789[[#This Row],[Weight]:[Weight]]-(Table2614256789[[#This Row],[Weight]:[Weight]]*((_xlfn.XMATCH(Table2614256789[[#This Row],[1]],Table2614256789[[#This Row],[1]:[11]],0))-1)/(COUNTA(Table2614256789[[#This Row],[1]:[11]])-COUNTBLANK(Table2614256789[[#This Row],[1]:[11]])-1)))</f>
        <v>1.1479591836734693E-3</v>
      </c>
      <c r="Z27" s="30" cm="1">
        <f t="array" ref="Z27">IF(Table2614256789[[#This Row],[2]]="","",Table2614256789[[#This Row],[Weight]:[Weight]]-(Table2614256789[[#This Row],[Weight]:[Weight]]*((_xlfn.XMATCH(Table2614256789[[#This Row],[2]],Table2614256789[[#This Row],[1]:[11]],0))-1)/(COUNTA(Table2614256789[[#This Row],[1]:[11]])-COUNTBLANK(Table2614256789[[#This Row],[1]:[11]])-1)))</f>
        <v>8.6096938775510196E-4</v>
      </c>
      <c r="AA27" s="30" cm="1">
        <f t="array" ref="AA27">IF(Table2614256789[[#This Row],[3]]="","",Table2614256789[[#This Row],[Weight]:[Weight]]-(Table2614256789[[#This Row],[Weight]:[Weight]]*((_xlfn.XMATCH(Table2614256789[[#This Row],[3]],Table2614256789[[#This Row],[1]:[11]],0))-1)/(COUNTA(Table2614256789[[#This Row],[1]:[11]])-COUNTBLANK(Table2614256789[[#This Row],[1]:[11]])-1)))</f>
        <v>5.7397959183673464E-4</v>
      </c>
      <c r="AB27" s="30" cm="1">
        <f t="array" ref="AB27">IF(Table2614256789[[#This Row],[4]]="","",Table2614256789[[#This Row],[Weight]:[Weight]]-(Table2614256789[[#This Row],[Weight]:[Weight]]*((_xlfn.XMATCH(Table2614256789[[#This Row],[4]],Table2614256789[[#This Row],[1]:[11]],0))-1)/(COUNTA(Table2614256789[[#This Row],[1]:[11]])-COUNTBLANK(Table2614256789[[#This Row],[1]:[11]])-1)))</f>
        <v>2.8698979591836732E-4</v>
      </c>
      <c r="AC27" s="30" cm="1">
        <f t="array" ref="AC27">IF(Table2614256789[[#This Row],[5]]="","",Table2614256789[[#This Row],[Weight]:[Weight]]-(Table2614256789[[#This Row],[Weight]:[Weight]]*((_xlfn.XMATCH(Table2614256789[[#This Row],[5]],Table2614256789[[#This Row],[1]:[11]],0))-1)/(COUNTA(Table2614256789[[#This Row],[1]:[11]])-COUNTBLANK(Table2614256789[[#This Row],[1]:[11]])-1)))</f>
        <v>0</v>
      </c>
      <c r="AD27" s="30" t="str" cm="1">
        <f t="array" ref="AD27">IF(Table2614256789[[#This Row],[6]]="","",Table2614256789[[#This Row],[Weight]:[Weight]]-(Table2614256789[[#This Row],[Weight]:[Weight]]*((_xlfn.XMATCH(Table2614256789[[#This Row],[6]],Table2614256789[[#This Row],[1]:[11]],0))-1)/(COUNTA(Table2614256789[[#This Row],[1]:[11]])-COUNTBLANK(Table2614256789[[#This Row],[1]:[11]])-1)))</f>
        <v/>
      </c>
      <c r="AE27" s="30" t="str" cm="1">
        <f t="array" ref="AE27">IF(Table2614256789[[#This Row],[7]]="","",Table2614256789[[#This Row],[Weight]:[Weight]]-(Table2614256789[[#This Row],[Weight]:[Weight]]*((_xlfn.XMATCH(Table2614256789[[#This Row],[7]],Table2614256789[[#This Row],[1]:[11]],0))-1)/(COUNTA(Table2614256789[[#This Row],[1]:[11]])-COUNTBLANK(Table2614256789[[#This Row],[1]:[11]])-1)))</f>
        <v/>
      </c>
      <c r="AF27" s="30" t="str" cm="1">
        <f t="array" ref="AF27">IF(Table2614256789[[#This Row],[8]]="","",Table2614256789[[#This Row],[Weight]:[Weight]]-(Table2614256789[[#This Row],[Weight]:[Weight]]*((_xlfn.XMATCH(Table2614256789[[#This Row],[8]],Table2614256789[[#This Row],[1]:[11]],0))-1)/(COUNTA(Table2614256789[[#This Row],[1]:[11]])-COUNTBLANK(Table2614256789[[#This Row],[1]:[11]])-1)))</f>
        <v/>
      </c>
      <c r="AG27" s="30" t="str" cm="1">
        <f t="array" ref="AG27">IF(Table2614256789[[#This Row],[9]]="","",Table2614256789[[#This Row],[Weight]:[Weight]]-(Table2614256789[[#This Row],[Weight]:[Weight]]*((_xlfn.XMATCH(Table2614256789[[#This Row],[9]],Table2614256789[[#This Row],[1]:[11]],0))-1)/(COUNTA(Table2614256789[[#This Row],[1]:[11]])-COUNTBLANK(Table2614256789[[#This Row],[1]:[11]])-1)))</f>
        <v/>
      </c>
      <c r="AH27" s="30" t="str" cm="1">
        <f t="array" ref="AH27">IF(Table2614256789[[#This Row],[10]]="","",Table2614256789[[#This Row],[Weight]:[Weight]]-(Table2614256789[[#This Row],[Weight]:[Weight]]*((_xlfn.XMATCH(Table2614256789[[#This Row],[10]],Table2614256789[[#This Row],[1]:[11]],0))-1)/(COUNTA(Table2614256789[[#This Row],[1]:[11]])-COUNTBLANK(Table2614256789[[#This Row],[1]:[11]])-1)))</f>
        <v/>
      </c>
      <c r="AI27" s="30" t="str" cm="1">
        <f t="array" ref="AI27">IF(Table2614256789[[#This Row],[11]]="","",Table2614256789[[#This Row],[Weight]:[Weight]]-(Table2614256789[[#This Row],[Weight]:[Weight]]*((_xlfn.XMATCH(Table2614256789[[#This Row],[11]],Table2614256789[[#This Row],[1]:[11]],0))-1)/(COUNTA(Table2614256789[[#This Row],[1]:[11]])-COUNTBLANK(Table2614256789[[#This Row],[1]:[11]])-1)))</f>
        <v/>
      </c>
    </row>
    <row r="28" spans="1:35" ht="108" x14ac:dyDescent="0.2">
      <c r="A28" s="20">
        <v>16</v>
      </c>
      <c r="B28" s="90" t="s">
        <v>504</v>
      </c>
      <c r="C28" s="119" t="s">
        <v>215</v>
      </c>
      <c r="D28" s="153"/>
      <c r="E28" s="153"/>
      <c r="F28" s="121" t="s">
        <v>188</v>
      </c>
      <c r="G28" s="148" cm="1">
        <f t="array" ref="G28">_xlfn.IFS(F28="","",F28="No interest",0,F28="Nice to have",1,F28="Useful",2,F28="Important",3,F28="Very important",4,F28="Critical",5,F28="Show stopper",6)</f>
        <v>5</v>
      </c>
      <c r="H28" s="149">
        <f t="shared" si="1"/>
        <v>9.5663265306122447E-4</v>
      </c>
      <c r="I28" s="150" t="s">
        <v>321</v>
      </c>
      <c r="J28" s="35" t="str" cm="1">
        <f t="array" ref="J28">_xlfn.TEXTJOIN(","&amp;CHAR(10),,TEXT(Table2614256789[[#This Row],[12]:[22]],"0,00%"))</f>
        <v>0,00%,
0,00%,
0,00%,
0,00%,
0,00%</v>
      </c>
      <c r="K28" s="26"/>
      <c r="L28" s="27" t="e">
        <f>H28-(H28*((MATCH(Table2614256789[[#This Row],[Evaluators Response (SELECT)]],Table2614256789[[#This Row],[1]:[11]],0)-1)/(COUNTA(Table2614256789[[#This Row],[1]:[11]])-COUNTBLANK(Table2614256789[[#This Row],[1]:[11]])-1)))</f>
        <v>#N/A</v>
      </c>
      <c r="M28" s="28"/>
      <c r="N28" s="29" t="str" cm="1">
        <f t="array" ref="N28">IFERROR(INDEX(_xlfn.UNIQUE(TRIM(_xlfn.TEXTSPLIT(Table2614256789[[#This Row],[Selection Options]:[Selection Options]],","))),,N$11),"")</f>
        <v>100%: Supported as delivered "out of the box"</v>
      </c>
      <c r="O28" s="29" t="str" cm="1">
        <f t="array" ref="O28">IFERROR(INDEX(_xlfn.UNIQUE(TRIM(_xlfn.TEXTSPLIT(Table2614256789[[#This Row],[Selection Options]:[Selection Options]],","))),,O$11),"")</f>
        <v xml:space="preserve">
75%: Supported via modifications (config)</v>
      </c>
      <c r="P28" s="29" t="str" cm="1">
        <f t="array" ref="P28">IFERROR(INDEX(_xlfn.UNIQUE(TRIM(_xlfn.TEXTSPLIT(Table2614256789[[#This Row],[Selection Options]:[Selection Options]],","))),,P$11),"")</f>
        <v xml:space="preserve">
50%: Supported via a third party solution</v>
      </c>
      <c r="Q28" s="29" t="str" cm="1">
        <f t="array" ref="Q28">IFERROR(INDEX(_xlfn.UNIQUE(TRIM(_xlfn.TEXTSPLIT(Table2614256789[[#This Row],[Selection Options]:[Selection Options]],","))),,Q$11),"")</f>
        <v xml:space="preserve">
25%: Supported via customisation (source code changes)</v>
      </c>
      <c r="R28" s="29" t="str" cm="1">
        <f t="array" ref="R28">IFERROR(INDEX(_xlfn.UNIQUE(TRIM(_xlfn.TEXTSPLIT(Table2614256789[[#This Row],[Selection Options]:[Selection Options]],","))),,R$11),"")</f>
        <v xml:space="preserve">
 0%: Not currently supported</v>
      </c>
      <c r="S28" s="29" t="str" cm="1">
        <f t="array" ref="S28">IFERROR(INDEX(_xlfn.UNIQUE(TRIM(_xlfn.TEXTSPLIT(Table2614256789[[#This Row],[Selection Options]:[Selection Options]],","))),,S$11),"")</f>
        <v/>
      </c>
      <c r="T28" s="29" t="str" cm="1">
        <f t="array" ref="T28">IFERROR(INDEX(_xlfn.UNIQUE(TRIM(_xlfn.TEXTSPLIT(Table2614256789[[#This Row],[Selection Options]:[Selection Options]],","))),,T$11),"")</f>
        <v/>
      </c>
      <c r="U28" s="29" t="str" cm="1">
        <f t="array" ref="U28">IFERROR(INDEX(_xlfn.UNIQUE(TRIM(_xlfn.TEXTSPLIT(Table2614256789[[#This Row],[Selection Options]:[Selection Options]],","))),,U$11),"")</f>
        <v/>
      </c>
      <c r="V28" s="29" t="str" cm="1">
        <f t="array" ref="V28">IFERROR(INDEX(_xlfn.UNIQUE(TRIM(_xlfn.TEXTSPLIT(Table2614256789[[#This Row],[Selection Options]:[Selection Options]],","))),,V$11),"")</f>
        <v/>
      </c>
      <c r="W28" s="29" t="str" cm="1">
        <f t="array" ref="W28">IFERROR(INDEX(_xlfn.UNIQUE(TRIM(_xlfn.TEXTSPLIT(Table2614256789[[#This Row],[Selection Options]:[Selection Options]],","))),,W$11),"")</f>
        <v/>
      </c>
      <c r="X28" s="29" t="str" cm="1">
        <f t="array" ref="X28">IFERROR(INDEX(_xlfn.UNIQUE(TRIM(_xlfn.TEXTSPLIT(Table2614256789[[#This Row],[Selection Options]:[Selection Options]],","))),,X$11),"")</f>
        <v/>
      </c>
      <c r="Y28" s="30" cm="1">
        <f t="array" ref="Y28">IF(Table2614256789[[#This Row],[1]]="","",Table2614256789[[#This Row],[Weight]:[Weight]]-(Table2614256789[[#This Row],[Weight]:[Weight]]*((_xlfn.XMATCH(Table2614256789[[#This Row],[1]],Table2614256789[[#This Row],[1]:[11]],0))-1)/(COUNTA(Table2614256789[[#This Row],[1]:[11]])-COUNTBLANK(Table2614256789[[#This Row],[1]:[11]])-1)))</f>
        <v>9.5663265306122447E-4</v>
      </c>
      <c r="Z28" s="30" cm="1">
        <f t="array" ref="Z28">IF(Table2614256789[[#This Row],[2]]="","",Table2614256789[[#This Row],[Weight]:[Weight]]-(Table2614256789[[#This Row],[Weight]:[Weight]]*((_xlfn.XMATCH(Table2614256789[[#This Row],[2]],Table2614256789[[#This Row],[1]:[11]],0))-1)/(COUNTA(Table2614256789[[#This Row],[1]:[11]])-COUNTBLANK(Table2614256789[[#This Row],[1]:[11]])-1)))</f>
        <v>7.174744897959183E-4</v>
      </c>
      <c r="AA28" s="30" cm="1">
        <f t="array" ref="AA28">IF(Table2614256789[[#This Row],[3]]="","",Table2614256789[[#This Row],[Weight]:[Weight]]-(Table2614256789[[#This Row],[Weight]:[Weight]]*((_xlfn.XMATCH(Table2614256789[[#This Row],[3]],Table2614256789[[#This Row],[1]:[11]],0))-1)/(COUNTA(Table2614256789[[#This Row],[1]:[11]])-COUNTBLANK(Table2614256789[[#This Row],[1]:[11]])-1)))</f>
        <v>4.7831632653061223E-4</v>
      </c>
      <c r="AB28" s="30" cm="1">
        <f t="array" ref="AB28">IF(Table2614256789[[#This Row],[4]]="","",Table2614256789[[#This Row],[Weight]:[Weight]]-(Table2614256789[[#This Row],[Weight]:[Weight]]*((_xlfn.XMATCH(Table2614256789[[#This Row],[4]],Table2614256789[[#This Row],[1]:[11]],0))-1)/(COUNTA(Table2614256789[[#This Row],[1]:[11]])-COUNTBLANK(Table2614256789[[#This Row],[1]:[11]])-1)))</f>
        <v>2.3915816326530617E-4</v>
      </c>
      <c r="AC28" s="30" cm="1">
        <f t="array" ref="AC28">IF(Table2614256789[[#This Row],[5]]="","",Table2614256789[[#This Row],[Weight]:[Weight]]-(Table2614256789[[#This Row],[Weight]:[Weight]]*((_xlfn.XMATCH(Table2614256789[[#This Row],[5]],Table2614256789[[#This Row],[1]:[11]],0))-1)/(COUNTA(Table2614256789[[#This Row],[1]:[11]])-COUNTBLANK(Table2614256789[[#This Row],[1]:[11]])-1)))</f>
        <v>0</v>
      </c>
      <c r="AD28" s="30" t="str" cm="1">
        <f t="array" ref="AD28">IF(Table2614256789[[#This Row],[6]]="","",Table2614256789[[#This Row],[Weight]:[Weight]]-(Table2614256789[[#This Row],[Weight]:[Weight]]*((_xlfn.XMATCH(Table2614256789[[#This Row],[6]],Table2614256789[[#This Row],[1]:[11]],0))-1)/(COUNTA(Table2614256789[[#This Row],[1]:[11]])-COUNTBLANK(Table2614256789[[#This Row],[1]:[11]])-1)))</f>
        <v/>
      </c>
      <c r="AE28" s="30" t="str" cm="1">
        <f t="array" ref="AE28">IF(Table2614256789[[#This Row],[7]]="","",Table2614256789[[#This Row],[Weight]:[Weight]]-(Table2614256789[[#This Row],[Weight]:[Weight]]*((_xlfn.XMATCH(Table2614256789[[#This Row],[7]],Table2614256789[[#This Row],[1]:[11]],0))-1)/(COUNTA(Table2614256789[[#This Row],[1]:[11]])-COUNTBLANK(Table2614256789[[#This Row],[1]:[11]])-1)))</f>
        <v/>
      </c>
      <c r="AF28" s="30" t="str" cm="1">
        <f t="array" ref="AF28">IF(Table2614256789[[#This Row],[8]]="","",Table2614256789[[#This Row],[Weight]:[Weight]]-(Table2614256789[[#This Row],[Weight]:[Weight]]*((_xlfn.XMATCH(Table2614256789[[#This Row],[8]],Table2614256789[[#This Row],[1]:[11]],0))-1)/(COUNTA(Table2614256789[[#This Row],[1]:[11]])-COUNTBLANK(Table2614256789[[#This Row],[1]:[11]])-1)))</f>
        <v/>
      </c>
      <c r="AG28" s="30" t="str" cm="1">
        <f t="array" ref="AG28">IF(Table2614256789[[#This Row],[9]]="","",Table2614256789[[#This Row],[Weight]:[Weight]]-(Table2614256789[[#This Row],[Weight]:[Weight]]*((_xlfn.XMATCH(Table2614256789[[#This Row],[9]],Table2614256789[[#This Row],[1]:[11]],0))-1)/(COUNTA(Table2614256789[[#This Row],[1]:[11]])-COUNTBLANK(Table2614256789[[#This Row],[1]:[11]])-1)))</f>
        <v/>
      </c>
      <c r="AH28" s="30" t="str" cm="1">
        <f t="array" ref="AH28">IF(Table2614256789[[#This Row],[10]]="","",Table2614256789[[#This Row],[Weight]:[Weight]]-(Table2614256789[[#This Row],[Weight]:[Weight]]*((_xlfn.XMATCH(Table2614256789[[#This Row],[10]],Table2614256789[[#This Row],[1]:[11]],0))-1)/(COUNTA(Table2614256789[[#This Row],[1]:[11]])-COUNTBLANK(Table2614256789[[#This Row],[1]:[11]])-1)))</f>
        <v/>
      </c>
      <c r="AI28" s="30" t="str" cm="1">
        <f t="array" ref="AI28">IF(Table2614256789[[#This Row],[11]]="","",Table2614256789[[#This Row],[Weight]:[Weight]]-(Table2614256789[[#This Row],[Weight]:[Weight]]*((_xlfn.XMATCH(Table2614256789[[#This Row],[11]],Table2614256789[[#This Row],[1]:[11]],0))-1)/(COUNTA(Table2614256789[[#This Row],[1]:[11]])-COUNTBLANK(Table2614256789[[#This Row],[1]:[11]])-1)))</f>
        <v/>
      </c>
    </row>
    <row r="29" spans="1:35" ht="132" x14ac:dyDescent="0.2">
      <c r="A29" s="20">
        <v>17</v>
      </c>
      <c r="B29" s="90" t="s">
        <v>505</v>
      </c>
      <c r="C29" s="119" t="s">
        <v>215</v>
      </c>
      <c r="D29" s="153"/>
      <c r="E29" s="153"/>
      <c r="F29" s="121" t="s">
        <v>60</v>
      </c>
      <c r="G29" s="148" cm="1">
        <f t="array" ref="G29">_xlfn.IFS(F29="","",F29="No interest",0,F29="Nice to have",1,F29="Useful",2,F29="Important",3,F29="Very important",4,F29="Critical",5,F29="Show stopper",6)</f>
        <v>6</v>
      </c>
      <c r="H29" s="149">
        <f t="shared" si="1"/>
        <v>1.1479591836734693E-3</v>
      </c>
      <c r="I29" s="150" t="s">
        <v>321</v>
      </c>
      <c r="J29" s="35" t="str" cm="1">
        <f t="array" ref="J29">_xlfn.TEXTJOIN(","&amp;CHAR(10),,TEXT(Table2614256789[[#This Row],[12]:[22]],"0,00%"))</f>
        <v>0,00%,
0,00%,
0,00%,
0,00%,
0,00%</v>
      </c>
      <c r="K29" s="26"/>
      <c r="L29" s="27" t="e">
        <f>H29-(H29*((MATCH(Table2614256789[[#This Row],[Evaluators Response (SELECT)]],Table2614256789[[#This Row],[1]:[11]],0)-1)/(COUNTA(Table2614256789[[#This Row],[1]:[11]])-COUNTBLANK(Table2614256789[[#This Row],[1]:[11]])-1)))</f>
        <v>#N/A</v>
      </c>
      <c r="M29" s="28"/>
      <c r="N29" s="29" t="str" cm="1">
        <f t="array" ref="N29">IFERROR(INDEX(_xlfn.UNIQUE(TRIM(_xlfn.TEXTSPLIT(Table2614256789[[#This Row],[Selection Options]:[Selection Options]],","))),,N$11),"")</f>
        <v>100%: Supported as delivered "out of the box"</v>
      </c>
      <c r="O29" s="29" t="str" cm="1">
        <f t="array" ref="O29">IFERROR(INDEX(_xlfn.UNIQUE(TRIM(_xlfn.TEXTSPLIT(Table2614256789[[#This Row],[Selection Options]:[Selection Options]],","))),,O$11),"")</f>
        <v xml:space="preserve">
75%: Supported via modifications (config)</v>
      </c>
      <c r="P29" s="29" t="str" cm="1">
        <f t="array" ref="P29">IFERROR(INDEX(_xlfn.UNIQUE(TRIM(_xlfn.TEXTSPLIT(Table2614256789[[#This Row],[Selection Options]:[Selection Options]],","))),,P$11),"")</f>
        <v xml:space="preserve">
50%: Supported via a third party solution</v>
      </c>
      <c r="Q29" s="29" t="str" cm="1">
        <f t="array" ref="Q29">IFERROR(INDEX(_xlfn.UNIQUE(TRIM(_xlfn.TEXTSPLIT(Table2614256789[[#This Row],[Selection Options]:[Selection Options]],","))),,Q$11),"")</f>
        <v xml:space="preserve">
25%: Supported via customisation (source code changes)</v>
      </c>
      <c r="R29" s="29" t="str" cm="1">
        <f t="array" ref="R29">IFERROR(INDEX(_xlfn.UNIQUE(TRIM(_xlfn.TEXTSPLIT(Table2614256789[[#This Row],[Selection Options]:[Selection Options]],","))),,R$11),"")</f>
        <v xml:space="preserve">
 0%: Not currently supported</v>
      </c>
      <c r="S29" s="29" t="str" cm="1">
        <f t="array" ref="S29">IFERROR(INDEX(_xlfn.UNIQUE(TRIM(_xlfn.TEXTSPLIT(Table2614256789[[#This Row],[Selection Options]:[Selection Options]],","))),,S$11),"")</f>
        <v/>
      </c>
      <c r="T29" s="29" t="str" cm="1">
        <f t="array" ref="T29">IFERROR(INDEX(_xlfn.UNIQUE(TRIM(_xlfn.TEXTSPLIT(Table2614256789[[#This Row],[Selection Options]:[Selection Options]],","))),,T$11),"")</f>
        <v/>
      </c>
      <c r="U29" s="29" t="str" cm="1">
        <f t="array" ref="U29">IFERROR(INDEX(_xlfn.UNIQUE(TRIM(_xlfn.TEXTSPLIT(Table2614256789[[#This Row],[Selection Options]:[Selection Options]],","))),,U$11),"")</f>
        <v/>
      </c>
      <c r="V29" s="29" t="str" cm="1">
        <f t="array" ref="V29">IFERROR(INDEX(_xlfn.UNIQUE(TRIM(_xlfn.TEXTSPLIT(Table2614256789[[#This Row],[Selection Options]:[Selection Options]],","))),,V$11),"")</f>
        <v/>
      </c>
      <c r="W29" s="29" t="str" cm="1">
        <f t="array" ref="W29">IFERROR(INDEX(_xlfn.UNIQUE(TRIM(_xlfn.TEXTSPLIT(Table2614256789[[#This Row],[Selection Options]:[Selection Options]],","))),,W$11),"")</f>
        <v/>
      </c>
      <c r="X29" s="29" t="str" cm="1">
        <f t="array" ref="X29">IFERROR(INDEX(_xlfn.UNIQUE(TRIM(_xlfn.TEXTSPLIT(Table2614256789[[#This Row],[Selection Options]:[Selection Options]],","))),,X$11),"")</f>
        <v/>
      </c>
      <c r="Y29" s="30" cm="1">
        <f t="array" ref="Y29">IF(Table2614256789[[#This Row],[1]]="","",Table2614256789[[#This Row],[Weight]:[Weight]]-(Table2614256789[[#This Row],[Weight]:[Weight]]*((_xlfn.XMATCH(Table2614256789[[#This Row],[1]],Table2614256789[[#This Row],[1]:[11]],0))-1)/(COUNTA(Table2614256789[[#This Row],[1]:[11]])-COUNTBLANK(Table2614256789[[#This Row],[1]:[11]])-1)))</f>
        <v>1.1479591836734693E-3</v>
      </c>
      <c r="Z29" s="30" cm="1">
        <f t="array" ref="Z29">IF(Table2614256789[[#This Row],[2]]="","",Table2614256789[[#This Row],[Weight]:[Weight]]-(Table2614256789[[#This Row],[Weight]:[Weight]]*((_xlfn.XMATCH(Table2614256789[[#This Row],[2]],Table2614256789[[#This Row],[1]:[11]],0))-1)/(COUNTA(Table2614256789[[#This Row],[1]:[11]])-COUNTBLANK(Table2614256789[[#This Row],[1]:[11]])-1)))</f>
        <v>8.6096938775510196E-4</v>
      </c>
      <c r="AA29" s="30" cm="1">
        <f t="array" ref="AA29">IF(Table2614256789[[#This Row],[3]]="","",Table2614256789[[#This Row],[Weight]:[Weight]]-(Table2614256789[[#This Row],[Weight]:[Weight]]*((_xlfn.XMATCH(Table2614256789[[#This Row],[3]],Table2614256789[[#This Row],[1]:[11]],0))-1)/(COUNTA(Table2614256789[[#This Row],[1]:[11]])-COUNTBLANK(Table2614256789[[#This Row],[1]:[11]])-1)))</f>
        <v>5.7397959183673464E-4</v>
      </c>
      <c r="AB29" s="30" cm="1">
        <f t="array" ref="AB29">IF(Table2614256789[[#This Row],[4]]="","",Table2614256789[[#This Row],[Weight]:[Weight]]-(Table2614256789[[#This Row],[Weight]:[Weight]]*((_xlfn.XMATCH(Table2614256789[[#This Row],[4]],Table2614256789[[#This Row],[1]:[11]],0))-1)/(COUNTA(Table2614256789[[#This Row],[1]:[11]])-COUNTBLANK(Table2614256789[[#This Row],[1]:[11]])-1)))</f>
        <v>2.8698979591836732E-4</v>
      </c>
      <c r="AC29" s="30" cm="1">
        <f t="array" ref="AC29">IF(Table2614256789[[#This Row],[5]]="","",Table2614256789[[#This Row],[Weight]:[Weight]]-(Table2614256789[[#This Row],[Weight]:[Weight]]*((_xlfn.XMATCH(Table2614256789[[#This Row],[5]],Table2614256789[[#This Row],[1]:[11]],0))-1)/(COUNTA(Table2614256789[[#This Row],[1]:[11]])-COUNTBLANK(Table2614256789[[#This Row],[1]:[11]])-1)))</f>
        <v>0</v>
      </c>
      <c r="AD29" s="30" t="str" cm="1">
        <f t="array" ref="AD29">IF(Table2614256789[[#This Row],[6]]="","",Table2614256789[[#This Row],[Weight]:[Weight]]-(Table2614256789[[#This Row],[Weight]:[Weight]]*((_xlfn.XMATCH(Table2614256789[[#This Row],[6]],Table2614256789[[#This Row],[1]:[11]],0))-1)/(COUNTA(Table2614256789[[#This Row],[1]:[11]])-COUNTBLANK(Table2614256789[[#This Row],[1]:[11]])-1)))</f>
        <v/>
      </c>
      <c r="AE29" s="30" t="str" cm="1">
        <f t="array" ref="AE29">IF(Table2614256789[[#This Row],[7]]="","",Table2614256789[[#This Row],[Weight]:[Weight]]-(Table2614256789[[#This Row],[Weight]:[Weight]]*((_xlfn.XMATCH(Table2614256789[[#This Row],[7]],Table2614256789[[#This Row],[1]:[11]],0))-1)/(COUNTA(Table2614256789[[#This Row],[1]:[11]])-COUNTBLANK(Table2614256789[[#This Row],[1]:[11]])-1)))</f>
        <v/>
      </c>
      <c r="AF29" s="30" t="str" cm="1">
        <f t="array" ref="AF29">IF(Table2614256789[[#This Row],[8]]="","",Table2614256789[[#This Row],[Weight]:[Weight]]-(Table2614256789[[#This Row],[Weight]:[Weight]]*((_xlfn.XMATCH(Table2614256789[[#This Row],[8]],Table2614256789[[#This Row],[1]:[11]],0))-1)/(COUNTA(Table2614256789[[#This Row],[1]:[11]])-COUNTBLANK(Table2614256789[[#This Row],[1]:[11]])-1)))</f>
        <v/>
      </c>
      <c r="AG29" s="30" t="str" cm="1">
        <f t="array" ref="AG29">IF(Table2614256789[[#This Row],[9]]="","",Table2614256789[[#This Row],[Weight]:[Weight]]-(Table2614256789[[#This Row],[Weight]:[Weight]]*((_xlfn.XMATCH(Table2614256789[[#This Row],[9]],Table2614256789[[#This Row],[1]:[11]],0))-1)/(COUNTA(Table2614256789[[#This Row],[1]:[11]])-COUNTBLANK(Table2614256789[[#This Row],[1]:[11]])-1)))</f>
        <v/>
      </c>
      <c r="AH29" s="30" t="str" cm="1">
        <f t="array" ref="AH29">IF(Table2614256789[[#This Row],[10]]="","",Table2614256789[[#This Row],[Weight]:[Weight]]-(Table2614256789[[#This Row],[Weight]:[Weight]]*((_xlfn.XMATCH(Table2614256789[[#This Row],[10]],Table2614256789[[#This Row],[1]:[11]],0))-1)/(COUNTA(Table2614256789[[#This Row],[1]:[11]])-COUNTBLANK(Table2614256789[[#This Row],[1]:[11]])-1)))</f>
        <v/>
      </c>
      <c r="AI29" s="30" t="str" cm="1">
        <f t="array" ref="AI29">IF(Table2614256789[[#This Row],[11]]="","",Table2614256789[[#This Row],[Weight]:[Weight]]-(Table2614256789[[#This Row],[Weight]:[Weight]]*((_xlfn.XMATCH(Table2614256789[[#This Row],[11]],Table2614256789[[#This Row],[1]:[11]],0))-1)/(COUNTA(Table2614256789[[#This Row],[1]:[11]])-COUNTBLANK(Table2614256789[[#This Row],[1]:[11]])-1)))</f>
        <v/>
      </c>
    </row>
    <row r="30" spans="1:35" ht="108" x14ac:dyDescent="0.2">
      <c r="A30" s="20">
        <v>18</v>
      </c>
      <c r="B30" s="90" t="s">
        <v>506</v>
      </c>
      <c r="C30" s="119" t="s">
        <v>215</v>
      </c>
      <c r="D30" s="153"/>
      <c r="E30" s="153"/>
      <c r="F30" s="121" t="s">
        <v>60</v>
      </c>
      <c r="G30" s="148" cm="1">
        <f t="array" ref="G30">_xlfn.IFS(F30="","",F30="No interest",0,F30="Nice to have",1,F30="Useful",2,F30="Important",3,F30="Very important",4,F30="Critical",5,F30="Show stopper",6)</f>
        <v>6</v>
      </c>
      <c r="H30" s="149">
        <f t="shared" si="1"/>
        <v>1.1479591836734693E-3</v>
      </c>
      <c r="I30" s="150" t="s">
        <v>321</v>
      </c>
      <c r="J30" s="35" t="str" cm="1">
        <f t="array" ref="J30">_xlfn.TEXTJOIN(","&amp;CHAR(10),,TEXT(Table2614256789[[#This Row],[12]:[22]],"0,00%"))</f>
        <v>0,00%,
0,00%,
0,00%,
0,00%,
0,00%</v>
      </c>
      <c r="K30" s="26"/>
      <c r="L30" s="27" t="e">
        <f>H30-(H30*((MATCH(Table2614256789[[#This Row],[Evaluators Response (SELECT)]],Table2614256789[[#This Row],[1]:[11]],0)-1)/(COUNTA(Table2614256789[[#This Row],[1]:[11]])-COUNTBLANK(Table2614256789[[#This Row],[1]:[11]])-1)))</f>
        <v>#N/A</v>
      </c>
      <c r="M30" s="28"/>
      <c r="N30" s="29" t="str" cm="1">
        <f t="array" ref="N30">IFERROR(INDEX(_xlfn.UNIQUE(TRIM(_xlfn.TEXTSPLIT(Table2614256789[[#This Row],[Selection Options]:[Selection Options]],","))),,N$11),"")</f>
        <v>100%: Supported as delivered "out of the box"</v>
      </c>
      <c r="O30" s="29" t="str" cm="1">
        <f t="array" ref="O30">IFERROR(INDEX(_xlfn.UNIQUE(TRIM(_xlfn.TEXTSPLIT(Table2614256789[[#This Row],[Selection Options]:[Selection Options]],","))),,O$11),"")</f>
        <v xml:space="preserve">
75%: Supported via modifications (config)</v>
      </c>
      <c r="P30" s="29" t="str" cm="1">
        <f t="array" ref="P30">IFERROR(INDEX(_xlfn.UNIQUE(TRIM(_xlfn.TEXTSPLIT(Table2614256789[[#This Row],[Selection Options]:[Selection Options]],","))),,P$11),"")</f>
        <v xml:space="preserve">
50%: Supported via a third party solution</v>
      </c>
      <c r="Q30" s="29" t="str" cm="1">
        <f t="array" ref="Q30">IFERROR(INDEX(_xlfn.UNIQUE(TRIM(_xlfn.TEXTSPLIT(Table2614256789[[#This Row],[Selection Options]:[Selection Options]],","))),,Q$11),"")</f>
        <v xml:space="preserve">
25%: Supported via customisation (source code changes)</v>
      </c>
      <c r="R30" s="29" t="str" cm="1">
        <f t="array" ref="R30">IFERROR(INDEX(_xlfn.UNIQUE(TRIM(_xlfn.TEXTSPLIT(Table2614256789[[#This Row],[Selection Options]:[Selection Options]],","))),,R$11),"")</f>
        <v xml:space="preserve">
 0%: Not currently supported</v>
      </c>
      <c r="S30" s="29" t="str" cm="1">
        <f t="array" ref="S30">IFERROR(INDEX(_xlfn.UNIQUE(TRIM(_xlfn.TEXTSPLIT(Table2614256789[[#This Row],[Selection Options]:[Selection Options]],","))),,S$11),"")</f>
        <v/>
      </c>
      <c r="T30" s="29" t="str" cm="1">
        <f t="array" ref="T30">IFERROR(INDEX(_xlfn.UNIQUE(TRIM(_xlfn.TEXTSPLIT(Table2614256789[[#This Row],[Selection Options]:[Selection Options]],","))),,T$11),"")</f>
        <v/>
      </c>
      <c r="U30" s="29" t="str" cm="1">
        <f t="array" ref="U30">IFERROR(INDEX(_xlfn.UNIQUE(TRIM(_xlfn.TEXTSPLIT(Table2614256789[[#This Row],[Selection Options]:[Selection Options]],","))),,U$11),"")</f>
        <v/>
      </c>
      <c r="V30" s="29" t="str" cm="1">
        <f t="array" ref="V30">IFERROR(INDEX(_xlfn.UNIQUE(TRIM(_xlfn.TEXTSPLIT(Table2614256789[[#This Row],[Selection Options]:[Selection Options]],","))),,V$11),"")</f>
        <v/>
      </c>
      <c r="W30" s="29" t="str" cm="1">
        <f t="array" ref="W30">IFERROR(INDEX(_xlfn.UNIQUE(TRIM(_xlfn.TEXTSPLIT(Table2614256789[[#This Row],[Selection Options]:[Selection Options]],","))),,W$11),"")</f>
        <v/>
      </c>
      <c r="X30" s="29" t="str" cm="1">
        <f t="array" ref="X30">IFERROR(INDEX(_xlfn.UNIQUE(TRIM(_xlfn.TEXTSPLIT(Table2614256789[[#This Row],[Selection Options]:[Selection Options]],","))),,X$11),"")</f>
        <v/>
      </c>
      <c r="Y30" s="30" cm="1">
        <f t="array" ref="Y30">IF(Table2614256789[[#This Row],[1]]="","",Table2614256789[[#This Row],[Weight]:[Weight]]-(Table2614256789[[#This Row],[Weight]:[Weight]]*((_xlfn.XMATCH(Table2614256789[[#This Row],[1]],Table2614256789[[#This Row],[1]:[11]],0))-1)/(COUNTA(Table2614256789[[#This Row],[1]:[11]])-COUNTBLANK(Table2614256789[[#This Row],[1]:[11]])-1)))</f>
        <v>1.1479591836734693E-3</v>
      </c>
      <c r="Z30" s="30" cm="1">
        <f t="array" ref="Z30">IF(Table2614256789[[#This Row],[2]]="","",Table2614256789[[#This Row],[Weight]:[Weight]]-(Table2614256789[[#This Row],[Weight]:[Weight]]*((_xlfn.XMATCH(Table2614256789[[#This Row],[2]],Table2614256789[[#This Row],[1]:[11]],0))-1)/(COUNTA(Table2614256789[[#This Row],[1]:[11]])-COUNTBLANK(Table2614256789[[#This Row],[1]:[11]])-1)))</f>
        <v>8.6096938775510196E-4</v>
      </c>
      <c r="AA30" s="30" cm="1">
        <f t="array" ref="AA30">IF(Table2614256789[[#This Row],[3]]="","",Table2614256789[[#This Row],[Weight]:[Weight]]-(Table2614256789[[#This Row],[Weight]:[Weight]]*((_xlfn.XMATCH(Table2614256789[[#This Row],[3]],Table2614256789[[#This Row],[1]:[11]],0))-1)/(COUNTA(Table2614256789[[#This Row],[1]:[11]])-COUNTBLANK(Table2614256789[[#This Row],[1]:[11]])-1)))</f>
        <v>5.7397959183673464E-4</v>
      </c>
      <c r="AB30" s="30" cm="1">
        <f t="array" ref="AB30">IF(Table2614256789[[#This Row],[4]]="","",Table2614256789[[#This Row],[Weight]:[Weight]]-(Table2614256789[[#This Row],[Weight]:[Weight]]*((_xlfn.XMATCH(Table2614256789[[#This Row],[4]],Table2614256789[[#This Row],[1]:[11]],0))-1)/(COUNTA(Table2614256789[[#This Row],[1]:[11]])-COUNTBLANK(Table2614256789[[#This Row],[1]:[11]])-1)))</f>
        <v>2.8698979591836732E-4</v>
      </c>
      <c r="AC30" s="30" cm="1">
        <f t="array" ref="AC30">IF(Table2614256789[[#This Row],[5]]="","",Table2614256789[[#This Row],[Weight]:[Weight]]-(Table2614256789[[#This Row],[Weight]:[Weight]]*((_xlfn.XMATCH(Table2614256789[[#This Row],[5]],Table2614256789[[#This Row],[1]:[11]],0))-1)/(COUNTA(Table2614256789[[#This Row],[1]:[11]])-COUNTBLANK(Table2614256789[[#This Row],[1]:[11]])-1)))</f>
        <v>0</v>
      </c>
      <c r="AD30" s="30" t="str" cm="1">
        <f t="array" ref="AD30">IF(Table2614256789[[#This Row],[6]]="","",Table2614256789[[#This Row],[Weight]:[Weight]]-(Table2614256789[[#This Row],[Weight]:[Weight]]*((_xlfn.XMATCH(Table2614256789[[#This Row],[6]],Table2614256789[[#This Row],[1]:[11]],0))-1)/(COUNTA(Table2614256789[[#This Row],[1]:[11]])-COUNTBLANK(Table2614256789[[#This Row],[1]:[11]])-1)))</f>
        <v/>
      </c>
      <c r="AE30" s="30" t="str" cm="1">
        <f t="array" ref="AE30">IF(Table2614256789[[#This Row],[7]]="","",Table2614256789[[#This Row],[Weight]:[Weight]]-(Table2614256789[[#This Row],[Weight]:[Weight]]*((_xlfn.XMATCH(Table2614256789[[#This Row],[7]],Table2614256789[[#This Row],[1]:[11]],0))-1)/(COUNTA(Table2614256789[[#This Row],[1]:[11]])-COUNTBLANK(Table2614256789[[#This Row],[1]:[11]])-1)))</f>
        <v/>
      </c>
      <c r="AF30" s="30" t="str" cm="1">
        <f t="array" ref="AF30">IF(Table2614256789[[#This Row],[8]]="","",Table2614256789[[#This Row],[Weight]:[Weight]]-(Table2614256789[[#This Row],[Weight]:[Weight]]*((_xlfn.XMATCH(Table2614256789[[#This Row],[8]],Table2614256789[[#This Row],[1]:[11]],0))-1)/(COUNTA(Table2614256789[[#This Row],[1]:[11]])-COUNTBLANK(Table2614256789[[#This Row],[1]:[11]])-1)))</f>
        <v/>
      </c>
      <c r="AG30" s="30" t="str" cm="1">
        <f t="array" ref="AG30">IF(Table2614256789[[#This Row],[9]]="","",Table2614256789[[#This Row],[Weight]:[Weight]]-(Table2614256789[[#This Row],[Weight]:[Weight]]*((_xlfn.XMATCH(Table2614256789[[#This Row],[9]],Table2614256789[[#This Row],[1]:[11]],0))-1)/(COUNTA(Table2614256789[[#This Row],[1]:[11]])-COUNTBLANK(Table2614256789[[#This Row],[1]:[11]])-1)))</f>
        <v/>
      </c>
      <c r="AH30" s="30" t="str" cm="1">
        <f t="array" ref="AH30">IF(Table2614256789[[#This Row],[10]]="","",Table2614256789[[#This Row],[Weight]:[Weight]]-(Table2614256789[[#This Row],[Weight]:[Weight]]*((_xlfn.XMATCH(Table2614256789[[#This Row],[10]],Table2614256789[[#This Row],[1]:[11]],0))-1)/(COUNTA(Table2614256789[[#This Row],[1]:[11]])-COUNTBLANK(Table2614256789[[#This Row],[1]:[11]])-1)))</f>
        <v/>
      </c>
      <c r="AI30" s="30" t="str" cm="1">
        <f t="array" ref="AI30">IF(Table2614256789[[#This Row],[11]]="","",Table2614256789[[#This Row],[Weight]:[Weight]]-(Table2614256789[[#This Row],[Weight]:[Weight]]*((_xlfn.XMATCH(Table2614256789[[#This Row],[11]],Table2614256789[[#This Row],[1]:[11]],0))-1)/(COUNTA(Table2614256789[[#This Row],[1]:[11]])-COUNTBLANK(Table2614256789[[#This Row],[1]:[11]])-1)))</f>
        <v/>
      </c>
    </row>
    <row r="31" spans="1:35" ht="108" x14ac:dyDescent="0.2">
      <c r="A31" s="20">
        <v>19</v>
      </c>
      <c r="B31" s="90" t="s">
        <v>507</v>
      </c>
      <c r="C31" s="119" t="s">
        <v>215</v>
      </c>
      <c r="D31" s="153"/>
      <c r="E31" s="153"/>
      <c r="F31" s="121" t="s">
        <v>188</v>
      </c>
      <c r="G31" s="148" cm="1">
        <f t="array" ref="G31">_xlfn.IFS(F31="","",F31="No interest",0,F31="Nice to have",1,F31="Useful",2,F31="Important",3,F31="Very important",4,F31="Critical",5,F31="Show stopper",6)</f>
        <v>5</v>
      </c>
      <c r="H31" s="149">
        <f t="shared" si="1"/>
        <v>9.5663265306122447E-4</v>
      </c>
      <c r="I31" s="150" t="s">
        <v>321</v>
      </c>
      <c r="J31" s="35" t="str" cm="1">
        <f t="array" ref="J31">_xlfn.TEXTJOIN(","&amp;CHAR(10),,TEXT(Table2614256789[[#This Row],[12]:[22]],"0,00%"))</f>
        <v>0,00%,
0,00%,
0,00%,
0,00%,
0,00%</v>
      </c>
      <c r="K31" s="26"/>
      <c r="L31" s="27" t="e">
        <f>H31-(H31*((MATCH(Table2614256789[[#This Row],[Evaluators Response (SELECT)]],Table2614256789[[#This Row],[1]:[11]],0)-1)/(COUNTA(Table2614256789[[#This Row],[1]:[11]])-COUNTBLANK(Table2614256789[[#This Row],[1]:[11]])-1)))</f>
        <v>#N/A</v>
      </c>
      <c r="M31" s="28"/>
      <c r="N31" s="29" t="str" cm="1">
        <f t="array" ref="N31">IFERROR(INDEX(_xlfn.UNIQUE(TRIM(_xlfn.TEXTSPLIT(Table2614256789[[#This Row],[Selection Options]:[Selection Options]],","))),,N$11),"")</f>
        <v>100%: Supported as delivered "out of the box"</v>
      </c>
      <c r="O31" s="29" t="str" cm="1">
        <f t="array" ref="O31">IFERROR(INDEX(_xlfn.UNIQUE(TRIM(_xlfn.TEXTSPLIT(Table2614256789[[#This Row],[Selection Options]:[Selection Options]],","))),,O$11),"")</f>
        <v xml:space="preserve">
75%: Supported via modifications (config)</v>
      </c>
      <c r="P31" s="29" t="str" cm="1">
        <f t="array" ref="P31">IFERROR(INDEX(_xlfn.UNIQUE(TRIM(_xlfn.TEXTSPLIT(Table2614256789[[#This Row],[Selection Options]:[Selection Options]],","))),,P$11),"")</f>
        <v xml:space="preserve">
50%: Supported via a third party solution</v>
      </c>
      <c r="Q31" s="29" t="str" cm="1">
        <f t="array" ref="Q31">IFERROR(INDEX(_xlfn.UNIQUE(TRIM(_xlfn.TEXTSPLIT(Table2614256789[[#This Row],[Selection Options]:[Selection Options]],","))),,Q$11),"")</f>
        <v xml:space="preserve">
25%: Supported via customisation (source code changes)</v>
      </c>
      <c r="R31" s="29" t="str" cm="1">
        <f t="array" ref="R31">IFERROR(INDEX(_xlfn.UNIQUE(TRIM(_xlfn.TEXTSPLIT(Table2614256789[[#This Row],[Selection Options]:[Selection Options]],","))),,R$11),"")</f>
        <v xml:space="preserve">
 0%: Not currently supported</v>
      </c>
      <c r="S31" s="29" t="str" cm="1">
        <f t="array" ref="S31">IFERROR(INDEX(_xlfn.UNIQUE(TRIM(_xlfn.TEXTSPLIT(Table2614256789[[#This Row],[Selection Options]:[Selection Options]],","))),,S$11),"")</f>
        <v/>
      </c>
      <c r="T31" s="29" t="str" cm="1">
        <f t="array" ref="T31">IFERROR(INDEX(_xlfn.UNIQUE(TRIM(_xlfn.TEXTSPLIT(Table2614256789[[#This Row],[Selection Options]:[Selection Options]],","))),,T$11),"")</f>
        <v/>
      </c>
      <c r="U31" s="29" t="str" cm="1">
        <f t="array" ref="U31">IFERROR(INDEX(_xlfn.UNIQUE(TRIM(_xlfn.TEXTSPLIT(Table2614256789[[#This Row],[Selection Options]:[Selection Options]],","))),,U$11),"")</f>
        <v/>
      </c>
      <c r="V31" s="29" t="str" cm="1">
        <f t="array" ref="V31">IFERROR(INDEX(_xlfn.UNIQUE(TRIM(_xlfn.TEXTSPLIT(Table2614256789[[#This Row],[Selection Options]:[Selection Options]],","))),,V$11),"")</f>
        <v/>
      </c>
      <c r="W31" s="29" t="str" cm="1">
        <f t="array" ref="W31">IFERROR(INDEX(_xlfn.UNIQUE(TRIM(_xlfn.TEXTSPLIT(Table2614256789[[#This Row],[Selection Options]:[Selection Options]],","))),,W$11),"")</f>
        <v/>
      </c>
      <c r="X31" s="29" t="str" cm="1">
        <f t="array" ref="X31">IFERROR(INDEX(_xlfn.UNIQUE(TRIM(_xlfn.TEXTSPLIT(Table2614256789[[#This Row],[Selection Options]:[Selection Options]],","))),,X$11),"")</f>
        <v/>
      </c>
      <c r="Y31" s="30" cm="1">
        <f t="array" ref="Y31">IF(Table2614256789[[#This Row],[1]]="","",Table2614256789[[#This Row],[Weight]:[Weight]]-(Table2614256789[[#This Row],[Weight]:[Weight]]*((_xlfn.XMATCH(Table2614256789[[#This Row],[1]],Table2614256789[[#This Row],[1]:[11]],0))-1)/(COUNTA(Table2614256789[[#This Row],[1]:[11]])-COUNTBLANK(Table2614256789[[#This Row],[1]:[11]])-1)))</f>
        <v>9.5663265306122447E-4</v>
      </c>
      <c r="Z31" s="30" cm="1">
        <f t="array" ref="Z31">IF(Table2614256789[[#This Row],[2]]="","",Table2614256789[[#This Row],[Weight]:[Weight]]-(Table2614256789[[#This Row],[Weight]:[Weight]]*((_xlfn.XMATCH(Table2614256789[[#This Row],[2]],Table2614256789[[#This Row],[1]:[11]],0))-1)/(COUNTA(Table2614256789[[#This Row],[1]:[11]])-COUNTBLANK(Table2614256789[[#This Row],[1]:[11]])-1)))</f>
        <v>7.174744897959183E-4</v>
      </c>
      <c r="AA31" s="30" cm="1">
        <f t="array" ref="AA31">IF(Table2614256789[[#This Row],[3]]="","",Table2614256789[[#This Row],[Weight]:[Weight]]-(Table2614256789[[#This Row],[Weight]:[Weight]]*((_xlfn.XMATCH(Table2614256789[[#This Row],[3]],Table2614256789[[#This Row],[1]:[11]],0))-1)/(COUNTA(Table2614256789[[#This Row],[1]:[11]])-COUNTBLANK(Table2614256789[[#This Row],[1]:[11]])-1)))</f>
        <v>4.7831632653061223E-4</v>
      </c>
      <c r="AB31" s="30" cm="1">
        <f t="array" ref="AB31">IF(Table2614256789[[#This Row],[4]]="","",Table2614256789[[#This Row],[Weight]:[Weight]]-(Table2614256789[[#This Row],[Weight]:[Weight]]*((_xlfn.XMATCH(Table2614256789[[#This Row],[4]],Table2614256789[[#This Row],[1]:[11]],0))-1)/(COUNTA(Table2614256789[[#This Row],[1]:[11]])-COUNTBLANK(Table2614256789[[#This Row],[1]:[11]])-1)))</f>
        <v>2.3915816326530617E-4</v>
      </c>
      <c r="AC31" s="30" cm="1">
        <f t="array" ref="AC31">IF(Table2614256789[[#This Row],[5]]="","",Table2614256789[[#This Row],[Weight]:[Weight]]-(Table2614256789[[#This Row],[Weight]:[Weight]]*((_xlfn.XMATCH(Table2614256789[[#This Row],[5]],Table2614256789[[#This Row],[1]:[11]],0))-1)/(COUNTA(Table2614256789[[#This Row],[1]:[11]])-COUNTBLANK(Table2614256789[[#This Row],[1]:[11]])-1)))</f>
        <v>0</v>
      </c>
      <c r="AD31" s="30" t="str" cm="1">
        <f t="array" ref="AD31">IF(Table2614256789[[#This Row],[6]]="","",Table2614256789[[#This Row],[Weight]:[Weight]]-(Table2614256789[[#This Row],[Weight]:[Weight]]*((_xlfn.XMATCH(Table2614256789[[#This Row],[6]],Table2614256789[[#This Row],[1]:[11]],0))-1)/(COUNTA(Table2614256789[[#This Row],[1]:[11]])-COUNTBLANK(Table2614256789[[#This Row],[1]:[11]])-1)))</f>
        <v/>
      </c>
      <c r="AE31" s="30" t="str" cm="1">
        <f t="array" ref="AE31">IF(Table2614256789[[#This Row],[7]]="","",Table2614256789[[#This Row],[Weight]:[Weight]]-(Table2614256789[[#This Row],[Weight]:[Weight]]*((_xlfn.XMATCH(Table2614256789[[#This Row],[7]],Table2614256789[[#This Row],[1]:[11]],0))-1)/(COUNTA(Table2614256789[[#This Row],[1]:[11]])-COUNTBLANK(Table2614256789[[#This Row],[1]:[11]])-1)))</f>
        <v/>
      </c>
      <c r="AF31" s="30" t="str" cm="1">
        <f t="array" ref="AF31">IF(Table2614256789[[#This Row],[8]]="","",Table2614256789[[#This Row],[Weight]:[Weight]]-(Table2614256789[[#This Row],[Weight]:[Weight]]*((_xlfn.XMATCH(Table2614256789[[#This Row],[8]],Table2614256789[[#This Row],[1]:[11]],0))-1)/(COUNTA(Table2614256789[[#This Row],[1]:[11]])-COUNTBLANK(Table2614256789[[#This Row],[1]:[11]])-1)))</f>
        <v/>
      </c>
      <c r="AG31" s="30" t="str" cm="1">
        <f t="array" ref="AG31">IF(Table2614256789[[#This Row],[9]]="","",Table2614256789[[#This Row],[Weight]:[Weight]]-(Table2614256789[[#This Row],[Weight]:[Weight]]*((_xlfn.XMATCH(Table2614256789[[#This Row],[9]],Table2614256789[[#This Row],[1]:[11]],0))-1)/(COUNTA(Table2614256789[[#This Row],[1]:[11]])-COUNTBLANK(Table2614256789[[#This Row],[1]:[11]])-1)))</f>
        <v/>
      </c>
      <c r="AH31" s="30" t="str" cm="1">
        <f t="array" ref="AH31">IF(Table2614256789[[#This Row],[10]]="","",Table2614256789[[#This Row],[Weight]:[Weight]]-(Table2614256789[[#This Row],[Weight]:[Weight]]*((_xlfn.XMATCH(Table2614256789[[#This Row],[10]],Table2614256789[[#This Row],[1]:[11]],0))-1)/(COUNTA(Table2614256789[[#This Row],[1]:[11]])-COUNTBLANK(Table2614256789[[#This Row],[1]:[11]])-1)))</f>
        <v/>
      </c>
      <c r="AI31" s="30" t="str" cm="1">
        <f t="array" ref="AI31">IF(Table2614256789[[#This Row],[11]]="","",Table2614256789[[#This Row],[Weight]:[Weight]]-(Table2614256789[[#This Row],[Weight]:[Weight]]*((_xlfn.XMATCH(Table2614256789[[#This Row],[11]],Table2614256789[[#This Row],[1]:[11]],0))-1)/(COUNTA(Table2614256789[[#This Row],[1]:[11]])-COUNTBLANK(Table2614256789[[#This Row],[1]:[11]])-1)))</f>
        <v/>
      </c>
    </row>
    <row r="32" spans="1:35" ht="120" x14ac:dyDescent="0.2">
      <c r="A32" s="20">
        <v>20</v>
      </c>
      <c r="B32" s="90" t="s">
        <v>508</v>
      </c>
      <c r="C32" s="119" t="s">
        <v>215</v>
      </c>
      <c r="D32" s="153"/>
      <c r="E32" s="153"/>
      <c r="F32" s="121" t="s">
        <v>188</v>
      </c>
      <c r="G32" s="148" cm="1">
        <f t="array" ref="G32">_xlfn.IFS(F32="","",F32="No interest",0,F32="Nice to have",1,F32="Useful",2,F32="Important",3,F32="Very important",4,F32="Critical",5,F32="Show stopper",6)</f>
        <v>5</v>
      </c>
      <c r="H32" s="149">
        <f t="shared" si="1"/>
        <v>9.5663265306122447E-4</v>
      </c>
      <c r="I32" s="150" t="s">
        <v>321</v>
      </c>
      <c r="J32" s="35" t="str" cm="1">
        <f t="array" ref="J32">_xlfn.TEXTJOIN(","&amp;CHAR(10),,TEXT(Table2614256789[[#This Row],[12]:[22]],"0,00%"))</f>
        <v>0,00%,
0,00%,
0,00%,
0,00%,
0,00%</v>
      </c>
      <c r="K32" s="26"/>
      <c r="L32" s="27" t="e">
        <f>H32-(H32*((MATCH(Table2614256789[[#This Row],[Evaluators Response (SELECT)]],Table2614256789[[#This Row],[1]:[11]],0)-1)/(COUNTA(Table2614256789[[#This Row],[1]:[11]])-COUNTBLANK(Table2614256789[[#This Row],[1]:[11]])-1)))</f>
        <v>#N/A</v>
      </c>
      <c r="M32" s="28"/>
      <c r="N32" s="29" t="str" cm="1">
        <f t="array" ref="N32">IFERROR(INDEX(_xlfn.UNIQUE(TRIM(_xlfn.TEXTSPLIT(Table2614256789[[#This Row],[Selection Options]:[Selection Options]],","))),,N$11),"")</f>
        <v>100%: Supported as delivered "out of the box"</v>
      </c>
      <c r="O32" s="29" t="str" cm="1">
        <f t="array" ref="O32">IFERROR(INDEX(_xlfn.UNIQUE(TRIM(_xlfn.TEXTSPLIT(Table2614256789[[#This Row],[Selection Options]:[Selection Options]],","))),,O$11),"")</f>
        <v xml:space="preserve">
75%: Supported via modifications (config)</v>
      </c>
      <c r="P32" s="29" t="str" cm="1">
        <f t="array" ref="P32">IFERROR(INDEX(_xlfn.UNIQUE(TRIM(_xlfn.TEXTSPLIT(Table2614256789[[#This Row],[Selection Options]:[Selection Options]],","))),,P$11),"")</f>
        <v xml:space="preserve">
50%: Supported via a third party solution</v>
      </c>
      <c r="Q32" s="29" t="str" cm="1">
        <f t="array" ref="Q32">IFERROR(INDEX(_xlfn.UNIQUE(TRIM(_xlfn.TEXTSPLIT(Table2614256789[[#This Row],[Selection Options]:[Selection Options]],","))),,Q$11),"")</f>
        <v xml:space="preserve">
25%: Supported via customisation (source code changes)</v>
      </c>
      <c r="R32" s="29" t="str" cm="1">
        <f t="array" ref="R32">IFERROR(INDEX(_xlfn.UNIQUE(TRIM(_xlfn.TEXTSPLIT(Table2614256789[[#This Row],[Selection Options]:[Selection Options]],","))),,R$11),"")</f>
        <v xml:space="preserve">
 0%: Not currently supported</v>
      </c>
      <c r="S32" s="29" t="str" cm="1">
        <f t="array" ref="S32">IFERROR(INDEX(_xlfn.UNIQUE(TRIM(_xlfn.TEXTSPLIT(Table2614256789[[#This Row],[Selection Options]:[Selection Options]],","))),,S$11),"")</f>
        <v/>
      </c>
      <c r="T32" s="29" t="str" cm="1">
        <f t="array" ref="T32">IFERROR(INDEX(_xlfn.UNIQUE(TRIM(_xlfn.TEXTSPLIT(Table2614256789[[#This Row],[Selection Options]:[Selection Options]],","))),,T$11),"")</f>
        <v/>
      </c>
      <c r="U32" s="29" t="str" cm="1">
        <f t="array" ref="U32">IFERROR(INDEX(_xlfn.UNIQUE(TRIM(_xlfn.TEXTSPLIT(Table2614256789[[#This Row],[Selection Options]:[Selection Options]],","))),,U$11),"")</f>
        <v/>
      </c>
      <c r="V32" s="29" t="str" cm="1">
        <f t="array" ref="V32">IFERROR(INDEX(_xlfn.UNIQUE(TRIM(_xlfn.TEXTSPLIT(Table2614256789[[#This Row],[Selection Options]:[Selection Options]],","))),,V$11),"")</f>
        <v/>
      </c>
      <c r="W32" s="29" t="str" cm="1">
        <f t="array" ref="W32">IFERROR(INDEX(_xlfn.UNIQUE(TRIM(_xlfn.TEXTSPLIT(Table2614256789[[#This Row],[Selection Options]:[Selection Options]],","))),,W$11),"")</f>
        <v/>
      </c>
      <c r="X32" s="29" t="str" cm="1">
        <f t="array" ref="X32">IFERROR(INDEX(_xlfn.UNIQUE(TRIM(_xlfn.TEXTSPLIT(Table2614256789[[#This Row],[Selection Options]:[Selection Options]],","))),,X$11),"")</f>
        <v/>
      </c>
      <c r="Y32" s="30" cm="1">
        <f t="array" ref="Y32">IF(Table2614256789[[#This Row],[1]]="","",Table2614256789[[#This Row],[Weight]:[Weight]]-(Table2614256789[[#This Row],[Weight]:[Weight]]*((_xlfn.XMATCH(Table2614256789[[#This Row],[1]],Table2614256789[[#This Row],[1]:[11]],0))-1)/(COUNTA(Table2614256789[[#This Row],[1]:[11]])-COUNTBLANK(Table2614256789[[#This Row],[1]:[11]])-1)))</f>
        <v>9.5663265306122447E-4</v>
      </c>
      <c r="Z32" s="30" cm="1">
        <f t="array" ref="Z32">IF(Table2614256789[[#This Row],[2]]="","",Table2614256789[[#This Row],[Weight]:[Weight]]-(Table2614256789[[#This Row],[Weight]:[Weight]]*((_xlfn.XMATCH(Table2614256789[[#This Row],[2]],Table2614256789[[#This Row],[1]:[11]],0))-1)/(COUNTA(Table2614256789[[#This Row],[1]:[11]])-COUNTBLANK(Table2614256789[[#This Row],[1]:[11]])-1)))</f>
        <v>7.174744897959183E-4</v>
      </c>
      <c r="AA32" s="30" cm="1">
        <f t="array" ref="AA32">IF(Table2614256789[[#This Row],[3]]="","",Table2614256789[[#This Row],[Weight]:[Weight]]-(Table2614256789[[#This Row],[Weight]:[Weight]]*((_xlfn.XMATCH(Table2614256789[[#This Row],[3]],Table2614256789[[#This Row],[1]:[11]],0))-1)/(COUNTA(Table2614256789[[#This Row],[1]:[11]])-COUNTBLANK(Table2614256789[[#This Row],[1]:[11]])-1)))</f>
        <v>4.7831632653061223E-4</v>
      </c>
      <c r="AB32" s="30" cm="1">
        <f t="array" ref="AB32">IF(Table2614256789[[#This Row],[4]]="","",Table2614256789[[#This Row],[Weight]:[Weight]]-(Table2614256789[[#This Row],[Weight]:[Weight]]*((_xlfn.XMATCH(Table2614256789[[#This Row],[4]],Table2614256789[[#This Row],[1]:[11]],0))-1)/(COUNTA(Table2614256789[[#This Row],[1]:[11]])-COUNTBLANK(Table2614256789[[#This Row],[1]:[11]])-1)))</f>
        <v>2.3915816326530617E-4</v>
      </c>
      <c r="AC32" s="30" cm="1">
        <f t="array" ref="AC32">IF(Table2614256789[[#This Row],[5]]="","",Table2614256789[[#This Row],[Weight]:[Weight]]-(Table2614256789[[#This Row],[Weight]:[Weight]]*((_xlfn.XMATCH(Table2614256789[[#This Row],[5]],Table2614256789[[#This Row],[1]:[11]],0))-1)/(COUNTA(Table2614256789[[#This Row],[1]:[11]])-COUNTBLANK(Table2614256789[[#This Row],[1]:[11]])-1)))</f>
        <v>0</v>
      </c>
      <c r="AD32" s="30" t="str" cm="1">
        <f t="array" ref="AD32">IF(Table2614256789[[#This Row],[6]]="","",Table2614256789[[#This Row],[Weight]:[Weight]]-(Table2614256789[[#This Row],[Weight]:[Weight]]*((_xlfn.XMATCH(Table2614256789[[#This Row],[6]],Table2614256789[[#This Row],[1]:[11]],0))-1)/(COUNTA(Table2614256789[[#This Row],[1]:[11]])-COUNTBLANK(Table2614256789[[#This Row],[1]:[11]])-1)))</f>
        <v/>
      </c>
      <c r="AE32" s="30" t="str" cm="1">
        <f t="array" ref="AE32">IF(Table2614256789[[#This Row],[7]]="","",Table2614256789[[#This Row],[Weight]:[Weight]]-(Table2614256789[[#This Row],[Weight]:[Weight]]*((_xlfn.XMATCH(Table2614256789[[#This Row],[7]],Table2614256789[[#This Row],[1]:[11]],0))-1)/(COUNTA(Table2614256789[[#This Row],[1]:[11]])-COUNTBLANK(Table2614256789[[#This Row],[1]:[11]])-1)))</f>
        <v/>
      </c>
      <c r="AF32" s="30" t="str" cm="1">
        <f t="array" ref="AF32">IF(Table2614256789[[#This Row],[8]]="","",Table2614256789[[#This Row],[Weight]:[Weight]]-(Table2614256789[[#This Row],[Weight]:[Weight]]*((_xlfn.XMATCH(Table2614256789[[#This Row],[8]],Table2614256789[[#This Row],[1]:[11]],0))-1)/(COUNTA(Table2614256789[[#This Row],[1]:[11]])-COUNTBLANK(Table2614256789[[#This Row],[1]:[11]])-1)))</f>
        <v/>
      </c>
      <c r="AG32" s="30" t="str" cm="1">
        <f t="array" ref="AG32">IF(Table2614256789[[#This Row],[9]]="","",Table2614256789[[#This Row],[Weight]:[Weight]]-(Table2614256789[[#This Row],[Weight]:[Weight]]*((_xlfn.XMATCH(Table2614256789[[#This Row],[9]],Table2614256789[[#This Row],[1]:[11]],0))-1)/(COUNTA(Table2614256789[[#This Row],[1]:[11]])-COUNTBLANK(Table2614256789[[#This Row],[1]:[11]])-1)))</f>
        <v/>
      </c>
      <c r="AH32" s="30" t="str" cm="1">
        <f t="array" ref="AH32">IF(Table2614256789[[#This Row],[10]]="","",Table2614256789[[#This Row],[Weight]:[Weight]]-(Table2614256789[[#This Row],[Weight]:[Weight]]*((_xlfn.XMATCH(Table2614256789[[#This Row],[10]],Table2614256789[[#This Row],[1]:[11]],0))-1)/(COUNTA(Table2614256789[[#This Row],[1]:[11]])-COUNTBLANK(Table2614256789[[#This Row],[1]:[11]])-1)))</f>
        <v/>
      </c>
      <c r="AI32" s="30" t="str" cm="1">
        <f t="array" ref="AI32">IF(Table2614256789[[#This Row],[11]]="","",Table2614256789[[#This Row],[Weight]:[Weight]]-(Table2614256789[[#This Row],[Weight]:[Weight]]*((_xlfn.XMATCH(Table2614256789[[#This Row],[11]],Table2614256789[[#This Row],[1]:[11]],0))-1)/(COUNTA(Table2614256789[[#This Row],[1]:[11]])-COUNTBLANK(Table2614256789[[#This Row],[1]:[11]])-1)))</f>
        <v/>
      </c>
    </row>
    <row r="33" spans="1:35" ht="108" x14ac:dyDescent="0.2">
      <c r="A33" s="20">
        <v>21</v>
      </c>
      <c r="B33" s="90" t="s">
        <v>509</v>
      </c>
      <c r="C33" s="119" t="s">
        <v>215</v>
      </c>
      <c r="D33" s="153"/>
      <c r="E33" s="153"/>
      <c r="F33" s="121" t="s">
        <v>188</v>
      </c>
      <c r="G33" s="148" cm="1">
        <f t="array" ref="G33">_xlfn.IFS(F33="","",F33="No interest",0,F33="Nice to have",1,F33="Useful",2,F33="Important",3,F33="Very important",4,F33="Critical",5,F33="Show stopper",6)</f>
        <v>5</v>
      </c>
      <c r="H33" s="149">
        <f t="shared" si="1"/>
        <v>9.5663265306122447E-4</v>
      </c>
      <c r="I33" s="150" t="s">
        <v>321</v>
      </c>
      <c r="J33" s="35" t="str" cm="1">
        <f t="array" ref="J33">_xlfn.TEXTJOIN(","&amp;CHAR(10),,TEXT(Table2614256789[[#This Row],[12]:[22]],"0,00%"))</f>
        <v>0,00%,
0,00%,
0,00%,
0,00%,
0,00%</v>
      </c>
      <c r="K33" s="26"/>
      <c r="L33" s="27" t="e">
        <f>H33-(H33*((MATCH(Table2614256789[[#This Row],[Evaluators Response (SELECT)]],Table2614256789[[#This Row],[1]:[11]],0)-1)/(COUNTA(Table2614256789[[#This Row],[1]:[11]])-COUNTBLANK(Table2614256789[[#This Row],[1]:[11]])-1)))</f>
        <v>#N/A</v>
      </c>
      <c r="M33" s="28"/>
      <c r="N33" s="29" t="str" cm="1">
        <f t="array" ref="N33">IFERROR(INDEX(_xlfn.UNIQUE(TRIM(_xlfn.TEXTSPLIT(Table2614256789[[#This Row],[Selection Options]:[Selection Options]],","))),,N$11),"")</f>
        <v>100%: Supported as delivered "out of the box"</v>
      </c>
      <c r="O33" s="29" t="str" cm="1">
        <f t="array" ref="O33">IFERROR(INDEX(_xlfn.UNIQUE(TRIM(_xlfn.TEXTSPLIT(Table2614256789[[#This Row],[Selection Options]:[Selection Options]],","))),,O$11),"")</f>
        <v xml:space="preserve">
75%: Supported via modifications (config)</v>
      </c>
      <c r="P33" s="29" t="str" cm="1">
        <f t="array" ref="P33">IFERROR(INDEX(_xlfn.UNIQUE(TRIM(_xlfn.TEXTSPLIT(Table2614256789[[#This Row],[Selection Options]:[Selection Options]],","))),,P$11),"")</f>
        <v xml:space="preserve">
50%: Supported via a third party solution</v>
      </c>
      <c r="Q33" s="29" t="str" cm="1">
        <f t="array" ref="Q33">IFERROR(INDEX(_xlfn.UNIQUE(TRIM(_xlfn.TEXTSPLIT(Table2614256789[[#This Row],[Selection Options]:[Selection Options]],","))),,Q$11),"")</f>
        <v xml:space="preserve">
25%: Supported via customisation (source code changes)</v>
      </c>
      <c r="R33" s="29" t="str" cm="1">
        <f t="array" ref="R33">IFERROR(INDEX(_xlfn.UNIQUE(TRIM(_xlfn.TEXTSPLIT(Table2614256789[[#This Row],[Selection Options]:[Selection Options]],","))),,R$11),"")</f>
        <v xml:space="preserve">
 0%: Not currently supported</v>
      </c>
      <c r="S33" s="29" t="str" cm="1">
        <f t="array" ref="S33">IFERROR(INDEX(_xlfn.UNIQUE(TRIM(_xlfn.TEXTSPLIT(Table2614256789[[#This Row],[Selection Options]:[Selection Options]],","))),,S$11),"")</f>
        <v/>
      </c>
      <c r="T33" s="29" t="str" cm="1">
        <f t="array" ref="T33">IFERROR(INDEX(_xlfn.UNIQUE(TRIM(_xlfn.TEXTSPLIT(Table2614256789[[#This Row],[Selection Options]:[Selection Options]],","))),,T$11),"")</f>
        <v/>
      </c>
      <c r="U33" s="29" t="str" cm="1">
        <f t="array" ref="U33">IFERROR(INDEX(_xlfn.UNIQUE(TRIM(_xlfn.TEXTSPLIT(Table2614256789[[#This Row],[Selection Options]:[Selection Options]],","))),,U$11),"")</f>
        <v/>
      </c>
      <c r="V33" s="29" t="str" cm="1">
        <f t="array" ref="V33">IFERROR(INDEX(_xlfn.UNIQUE(TRIM(_xlfn.TEXTSPLIT(Table2614256789[[#This Row],[Selection Options]:[Selection Options]],","))),,V$11),"")</f>
        <v/>
      </c>
      <c r="W33" s="29" t="str" cm="1">
        <f t="array" ref="W33">IFERROR(INDEX(_xlfn.UNIQUE(TRIM(_xlfn.TEXTSPLIT(Table2614256789[[#This Row],[Selection Options]:[Selection Options]],","))),,W$11),"")</f>
        <v/>
      </c>
      <c r="X33" s="29" t="str" cm="1">
        <f t="array" ref="X33">IFERROR(INDEX(_xlfn.UNIQUE(TRIM(_xlfn.TEXTSPLIT(Table2614256789[[#This Row],[Selection Options]:[Selection Options]],","))),,X$11),"")</f>
        <v/>
      </c>
      <c r="Y33" s="30" cm="1">
        <f t="array" ref="Y33">IF(Table2614256789[[#This Row],[1]]="","",Table2614256789[[#This Row],[Weight]:[Weight]]-(Table2614256789[[#This Row],[Weight]:[Weight]]*((_xlfn.XMATCH(Table2614256789[[#This Row],[1]],Table2614256789[[#This Row],[1]:[11]],0))-1)/(COUNTA(Table2614256789[[#This Row],[1]:[11]])-COUNTBLANK(Table2614256789[[#This Row],[1]:[11]])-1)))</f>
        <v>9.5663265306122447E-4</v>
      </c>
      <c r="Z33" s="30" cm="1">
        <f t="array" ref="Z33">IF(Table2614256789[[#This Row],[2]]="","",Table2614256789[[#This Row],[Weight]:[Weight]]-(Table2614256789[[#This Row],[Weight]:[Weight]]*((_xlfn.XMATCH(Table2614256789[[#This Row],[2]],Table2614256789[[#This Row],[1]:[11]],0))-1)/(COUNTA(Table2614256789[[#This Row],[1]:[11]])-COUNTBLANK(Table2614256789[[#This Row],[1]:[11]])-1)))</f>
        <v>7.174744897959183E-4</v>
      </c>
      <c r="AA33" s="30" cm="1">
        <f t="array" ref="AA33">IF(Table2614256789[[#This Row],[3]]="","",Table2614256789[[#This Row],[Weight]:[Weight]]-(Table2614256789[[#This Row],[Weight]:[Weight]]*((_xlfn.XMATCH(Table2614256789[[#This Row],[3]],Table2614256789[[#This Row],[1]:[11]],0))-1)/(COUNTA(Table2614256789[[#This Row],[1]:[11]])-COUNTBLANK(Table2614256789[[#This Row],[1]:[11]])-1)))</f>
        <v>4.7831632653061223E-4</v>
      </c>
      <c r="AB33" s="30" cm="1">
        <f t="array" ref="AB33">IF(Table2614256789[[#This Row],[4]]="","",Table2614256789[[#This Row],[Weight]:[Weight]]-(Table2614256789[[#This Row],[Weight]:[Weight]]*((_xlfn.XMATCH(Table2614256789[[#This Row],[4]],Table2614256789[[#This Row],[1]:[11]],0))-1)/(COUNTA(Table2614256789[[#This Row],[1]:[11]])-COUNTBLANK(Table2614256789[[#This Row],[1]:[11]])-1)))</f>
        <v>2.3915816326530617E-4</v>
      </c>
      <c r="AC33" s="30" cm="1">
        <f t="array" ref="AC33">IF(Table2614256789[[#This Row],[5]]="","",Table2614256789[[#This Row],[Weight]:[Weight]]-(Table2614256789[[#This Row],[Weight]:[Weight]]*((_xlfn.XMATCH(Table2614256789[[#This Row],[5]],Table2614256789[[#This Row],[1]:[11]],0))-1)/(COUNTA(Table2614256789[[#This Row],[1]:[11]])-COUNTBLANK(Table2614256789[[#This Row],[1]:[11]])-1)))</f>
        <v>0</v>
      </c>
      <c r="AD33" s="30" t="str" cm="1">
        <f t="array" ref="AD33">IF(Table2614256789[[#This Row],[6]]="","",Table2614256789[[#This Row],[Weight]:[Weight]]-(Table2614256789[[#This Row],[Weight]:[Weight]]*((_xlfn.XMATCH(Table2614256789[[#This Row],[6]],Table2614256789[[#This Row],[1]:[11]],0))-1)/(COUNTA(Table2614256789[[#This Row],[1]:[11]])-COUNTBLANK(Table2614256789[[#This Row],[1]:[11]])-1)))</f>
        <v/>
      </c>
      <c r="AE33" s="30" t="str" cm="1">
        <f t="array" ref="AE33">IF(Table2614256789[[#This Row],[7]]="","",Table2614256789[[#This Row],[Weight]:[Weight]]-(Table2614256789[[#This Row],[Weight]:[Weight]]*((_xlfn.XMATCH(Table2614256789[[#This Row],[7]],Table2614256789[[#This Row],[1]:[11]],0))-1)/(COUNTA(Table2614256789[[#This Row],[1]:[11]])-COUNTBLANK(Table2614256789[[#This Row],[1]:[11]])-1)))</f>
        <v/>
      </c>
      <c r="AF33" s="30" t="str" cm="1">
        <f t="array" ref="AF33">IF(Table2614256789[[#This Row],[8]]="","",Table2614256789[[#This Row],[Weight]:[Weight]]-(Table2614256789[[#This Row],[Weight]:[Weight]]*((_xlfn.XMATCH(Table2614256789[[#This Row],[8]],Table2614256789[[#This Row],[1]:[11]],0))-1)/(COUNTA(Table2614256789[[#This Row],[1]:[11]])-COUNTBLANK(Table2614256789[[#This Row],[1]:[11]])-1)))</f>
        <v/>
      </c>
      <c r="AG33" s="30" t="str" cm="1">
        <f t="array" ref="AG33">IF(Table2614256789[[#This Row],[9]]="","",Table2614256789[[#This Row],[Weight]:[Weight]]-(Table2614256789[[#This Row],[Weight]:[Weight]]*((_xlfn.XMATCH(Table2614256789[[#This Row],[9]],Table2614256789[[#This Row],[1]:[11]],0))-1)/(COUNTA(Table2614256789[[#This Row],[1]:[11]])-COUNTBLANK(Table2614256789[[#This Row],[1]:[11]])-1)))</f>
        <v/>
      </c>
      <c r="AH33" s="30" t="str" cm="1">
        <f t="array" ref="AH33">IF(Table2614256789[[#This Row],[10]]="","",Table2614256789[[#This Row],[Weight]:[Weight]]-(Table2614256789[[#This Row],[Weight]:[Weight]]*((_xlfn.XMATCH(Table2614256789[[#This Row],[10]],Table2614256789[[#This Row],[1]:[11]],0))-1)/(COUNTA(Table2614256789[[#This Row],[1]:[11]])-COUNTBLANK(Table2614256789[[#This Row],[1]:[11]])-1)))</f>
        <v/>
      </c>
      <c r="AI33" s="30" t="str" cm="1">
        <f t="array" ref="AI33">IF(Table2614256789[[#This Row],[11]]="","",Table2614256789[[#This Row],[Weight]:[Weight]]-(Table2614256789[[#This Row],[Weight]:[Weight]]*((_xlfn.XMATCH(Table2614256789[[#This Row],[11]],Table2614256789[[#This Row],[1]:[11]],0))-1)/(COUNTA(Table2614256789[[#This Row],[1]:[11]])-COUNTBLANK(Table2614256789[[#This Row],[1]:[11]])-1)))</f>
        <v/>
      </c>
    </row>
    <row r="34" spans="1:35" ht="108" x14ac:dyDescent="0.2">
      <c r="A34" s="20">
        <v>22</v>
      </c>
      <c r="B34" s="90" t="s">
        <v>510</v>
      </c>
      <c r="C34" s="119" t="s">
        <v>215</v>
      </c>
      <c r="D34" s="153"/>
      <c r="E34" s="153"/>
      <c r="F34" s="121" t="s">
        <v>60</v>
      </c>
      <c r="G34" s="148" cm="1">
        <f t="array" ref="G34">_xlfn.IFS(F34="","",F34="No interest",0,F34="Nice to have",1,F34="Useful",2,F34="Important",3,F34="Very important",4,F34="Critical",5,F34="Show stopper",6)</f>
        <v>6</v>
      </c>
      <c r="H34" s="149">
        <f t="shared" si="1"/>
        <v>1.1479591836734693E-3</v>
      </c>
      <c r="I34" s="150" t="s">
        <v>321</v>
      </c>
      <c r="J34" s="35" t="str" cm="1">
        <f t="array" ref="J34">_xlfn.TEXTJOIN(","&amp;CHAR(10),,TEXT(Table2614256789[[#This Row],[12]:[22]],"0,00%"))</f>
        <v>0,00%,
0,00%,
0,00%,
0,00%,
0,00%</v>
      </c>
      <c r="K34" s="26"/>
      <c r="L34" s="27" t="e">
        <f>H34-(H34*((MATCH(Table2614256789[[#This Row],[Evaluators Response (SELECT)]],Table2614256789[[#This Row],[1]:[11]],0)-1)/(COUNTA(Table2614256789[[#This Row],[1]:[11]])-COUNTBLANK(Table2614256789[[#This Row],[1]:[11]])-1)))</f>
        <v>#N/A</v>
      </c>
      <c r="M34" s="28"/>
      <c r="N34" s="29" t="str" cm="1">
        <f t="array" ref="N34">IFERROR(INDEX(_xlfn.UNIQUE(TRIM(_xlfn.TEXTSPLIT(Table2614256789[[#This Row],[Selection Options]:[Selection Options]],","))),,N$11),"")</f>
        <v>100%: Supported as delivered "out of the box"</v>
      </c>
      <c r="O34" s="29" t="str" cm="1">
        <f t="array" ref="O34">IFERROR(INDEX(_xlfn.UNIQUE(TRIM(_xlfn.TEXTSPLIT(Table2614256789[[#This Row],[Selection Options]:[Selection Options]],","))),,O$11),"")</f>
        <v xml:space="preserve">
75%: Supported via modifications (config)</v>
      </c>
      <c r="P34" s="29" t="str" cm="1">
        <f t="array" ref="P34">IFERROR(INDEX(_xlfn.UNIQUE(TRIM(_xlfn.TEXTSPLIT(Table2614256789[[#This Row],[Selection Options]:[Selection Options]],","))),,P$11),"")</f>
        <v xml:space="preserve">
50%: Supported via a third party solution</v>
      </c>
      <c r="Q34" s="29" t="str" cm="1">
        <f t="array" ref="Q34">IFERROR(INDEX(_xlfn.UNIQUE(TRIM(_xlfn.TEXTSPLIT(Table2614256789[[#This Row],[Selection Options]:[Selection Options]],","))),,Q$11),"")</f>
        <v xml:space="preserve">
25%: Supported via customisation (source code changes)</v>
      </c>
      <c r="R34" s="29" t="str" cm="1">
        <f t="array" ref="R34">IFERROR(INDEX(_xlfn.UNIQUE(TRIM(_xlfn.TEXTSPLIT(Table2614256789[[#This Row],[Selection Options]:[Selection Options]],","))),,R$11),"")</f>
        <v xml:space="preserve">
 0%: Not currently supported</v>
      </c>
      <c r="S34" s="29" t="str" cm="1">
        <f t="array" ref="S34">IFERROR(INDEX(_xlfn.UNIQUE(TRIM(_xlfn.TEXTSPLIT(Table2614256789[[#This Row],[Selection Options]:[Selection Options]],","))),,S$11),"")</f>
        <v/>
      </c>
      <c r="T34" s="29" t="str" cm="1">
        <f t="array" ref="T34">IFERROR(INDEX(_xlfn.UNIQUE(TRIM(_xlfn.TEXTSPLIT(Table2614256789[[#This Row],[Selection Options]:[Selection Options]],","))),,T$11),"")</f>
        <v/>
      </c>
      <c r="U34" s="29" t="str" cm="1">
        <f t="array" ref="U34">IFERROR(INDEX(_xlfn.UNIQUE(TRIM(_xlfn.TEXTSPLIT(Table2614256789[[#This Row],[Selection Options]:[Selection Options]],","))),,U$11),"")</f>
        <v/>
      </c>
      <c r="V34" s="29" t="str" cm="1">
        <f t="array" ref="V34">IFERROR(INDEX(_xlfn.UNIQUE(TRIM(_xlfn.TEXTSPLIT(Table2614256789[[#This Row],[Selection Options]:[Selection Options]],","))),,V$11),"")</f>
        <v/>
      </c>
      <c r="W34" s="29" t="str" cm="1">
        <f t="array" ref="W34">IFERROR(INDEX(_xlfn.UNIQUE(TRIM(_xlfn.TEXTSPLIT(Table2614256789[[#This Row],[Selection Options]:[Selection Options]],","))),,W$11),"")</f>
        <v/>
      </c>
      <c r="X34" s="29" t="str" cm="1">
        <f t="array" ref="X34">IFERROR(INDEX(_xlfn.UNIQUE(TRIM(_xlfn.TEXTSPLIT(Table2614256789[[#This Row],[Selection Options]:[Selection Options]],","))),,X$11),"")</f>
        <v/>
      </c>
      <c r="Y34" s="30" cm="1">
        <f t="array" ref="Y34">IF(Table2614256789[[#This Row],[1]]="","",Table2614256789[[#This Row],[Weight]:[Weight]]-(Table2614256789[[#This Row],[Weight]:[Weight]]*((_xlfn.XMATCH(Table2614256789[[#This Row],[1]],Table2614256789[[#This Row],[1]:[11]],0))-1)/(COUNTA(Table2614256789[[#This Row],[1]:[11]])-COUNTBLANK(Table2614256789[[#This Row],[1]:[11]])-1)))</f>
        <v>1.1479591836734693E-3</v>
      </c>
      <c r="Z34" s="30" cm="1">
        <f t="array" ref="Z34">IF(Table2614256789[[#This Row],[2]]="","",Table2614256789[[#This Row],[Weight]:[Weight]]-(Table2614256789[[#This Row],[Weight]:[Weight]]*((_xlfn.XMATCH(Table2614256789[[#This Row],[2]],Table2614256789[[#This Row],[1]:[11]],0))-1)/(COUNTA(Table2614256789[[#This Row],[1]:[11]])-COUNTBLANK(Table2614256789[[#This Row],[1]:[11]])-1)))</f>
        <v>8.6096938775510196E-4</v>
      </c>
      <c r="AA34" s="30" cm="1">
        <f t="array" ref="AA34">IF(Table2614256789[[#This Row],[3]]="","",Table2614256789[[#This Row],[Weight]:[Weight]]-(Table2614256789[[#This Row],[Weight]:[Weight]]*((_xlfn.XMATCH(Table2614256789[[#This Row],[3]],Table2614256789[[#This Row],[1]:[11]],0))-1)/(COUNTA(Table2614256789[[#This Row],[1]:[11]])-COUNTBLANK(Table2614256789[[#This Row],[1]:[11]])-1)))</f>
        <v>5.7397959183673464E-4</v>
      </c>
      <c r="AB34" s="30" cm="1">
        <f t="array" ref="AB34">IF(Table2614256789[[#This Row],[4]]="","",Table2614256789[[#This Row],[Weight]:[Weight]]-(Table2614256789[[#This Row],[Weight]:[Weight]]*((_xlfn.XMATCH(Table2614256789[[#This Row],[4]],Table2614256789[[#This Row],[1]:[11]],0))-1)/(COUNTA(Table2614256789[[#This Row],[1]:[11]])-COUNTBLANK(Table2614256789[[#This Row],[1]:[11]])-1)))</f>
        <v>2.8698979591836732E-4</v>
      </c>
      <c r="AC34" s="30" cm="1">
        <f t="array" ref="AC34">IF(Table2614256789[[#This Row],[5]]="","",Table2614256789[[#This Row],[Weight]:[Weight]]-(Table2614256789[[#This Row],[Weight]:[Weight]]*((_xlfn.XMATCH(Table2614256789[[#This Row],[5]],Table2614256789[[#This Row],[1]:[11]],0))-1)/(COUNTA(Table2614256789[[#This Row],[1]:[11]])-COUNTBLANK(Table2614256789[[#This Row],[1]:[11]])-1)))</f>
        <v>0</v>
      </c>
      <c r="AD34" s="30" t="str" cm="1">
        <f t="array" ref="AD34">IF(Table2614256789[[#This Row],[6]]="","",Table2614256789[[#This Row],[Weight]:[Weight]]-(Table2614256789[[#This Row],[Weight]:[Weight]]*((_xlfn.XMATCH(Table2614256789[[#This Row],[6]],Table2614256789[[#This Row],[1]:[11]],0))-1)/(COUNTA(Table2614256789[[#This Row],[1]:[11]])-COUNTBLANK(Table2614256789[[#This Row],[1]:[11]])-1)))</f>
        <v/>
      </c>
      <c r="AE34" s="30" t="str" cm="1">
        <f t="array" ref="AE34">IF(Table2614256789[[#This Row],[7]]="","",Table2614256789[[#This Row],[Weight]:[Weight]]-(Table2614256789[[#This Row],[Weight]:[Weight]]*((_xlfn.XMATCH(Table2614256789[[#This Row],[7]],Table2614256789[[#This Row],[1]:[11]],0))-1)/(COUNTA(Table2614256789[[#This Row],[1]:[11]])-COUNTBLANK(Table2614256789[[#This Row],[1]:[11]])-1)))</f>
        <v/>
      </c>
      <c r="AF34" s="30" t="str" cm="1">
        <f t="array" ref="AF34">IF(Table2614256789[[#This Row],[8]]="","",Table2614256789[[#This Row],[Weight]:[Weight]]-(Table2614256789[[#This Row],[Weight]:[Weight]]*((_xlfn.XMATCH(Table2614256789[[#This Row],[8]],Table2614256789[[#This Row],[1]:[11]],0))-1)/(COUNTA(Table2614256789[[#This Row],[1]:[11]])-COUNTBLANK(Table2614256789[[#This Row],[1]:[11]])-1)))</f>
        <v/>
      </c>
      <c r="AG34" s="30" t="str" cm="1">
        <f t="array" ref="AG34">IF(Table2614256789[[#This Row],[9]]="","",Table2614256789[[#This Row],[Weight]:[Weight]]-(Table2614256789[[#This Row],[Weight]:[Weight]]*((_xlfn.XMATCH(Table2614256789[[#This Row],[9]],Table2614256789[[#This Row],[1]:[11]],0))-1)/(COUNTA(Table2614256789[[#This Row],[1]:[11]])-COUNTBLANK(Table2614256789[[#This Row],[1]:[11]])-1)))</f>
        <v/>
      </c>
      <c r="AH34" s="30" t="str" cm="1">
        <f t="array" ref="AH34">IF(Table2614256789[[#This Row],[10]]="","",Table2614256789[[#This Row],[Weight]:[Weight]]-(Table2614256789[[#This Row],[Weight]:[Weight]]*((_xlfn.XMATCH(Table2614256789[[#This Row],[10]],Table2614256789[[#This Row],[1]:[11]],0))-1)/(COUNTA(Table2614256789[[#This Row],[1]:[11]])-COUNTBLANK(Table2614256789[[#This Row],[1]:[11]])-1)))</f>
        <v/>
      </c>
      <c r="AI34" s="30" t="str" cm="1">
        <f t="array" ref="AI34">IF(Table2614256789[[#This Row],[11]]="","",Table2614256789[[#This Row],[Weight]:[Weight]]-(Table2614256789[[#This Row],[Weight]:[Weight]]*((_xlfn.XMATCH(Table2614256789[[#This Row],[11]],Table2614256789[[#This Row],[1]:[11]],0))-1)/(COUNTA(Table2614256789[[#This Row],[1]:[11]])-COUNTBLANK(Table2614256789[[#This Row],[1]:[11]])-1)))</f>
        <v/>
      </c>
    </row>
    <row r="35" spans="1:35" ht="108" x14ac:dyDescent="0.2">
      <c r="A35" s="20">
        <v>23</v>
      </c>
      <c r="B35" s="90" t="s">
        <v>511</v>
      </c>
      <c r="C35" s="119" t="s">
        <v>215</v>
      </c>
      <c r="D35" s="153"/>
      <c r="E35" s="153"/>
      <c r="F35" s="121" t="s">
        <v>60</v>
      </c>
      <c r="G35" s="148" cm="1">
        <f t="array" ref="G35">_xlfn.IFS(F35="","",F35="No interest",0,F35="Nice to have",1,F35="Useful",2,F35="Important",3,F35="Very important",4,F35="Critical",5,F35="Show stopper",6)</f>
        <v>6</v>
      </c>
      <c r="H35" s="149">
        <f t="shared" si="1"/>
        <v>1.1479591836734693E-3</v>
      </c>
      <c r="I35" s="150" t="s">
        <v>321</v>
      </c>
      <c r="J35" s="35" t="str" cm="1">
        <f t="array" ref="J35">_xlfn.TEXTJOIN(","&amp;CHAR(10),,TEXT(Table2614256789[[#This Row],[12]:[22]],"0,00%"))</f>
        <v>0,00%,
0,00%,
0,00%,
0,00%,
0,00%</v>
      </c>
      <c r="K35" s="26"/>
      <c r="L35" s="27" t="e">
        <f>H35-(H35*((MATCH(Table2614256789[[#This Row],[Evaluators Response (SELECT)]],Table2614256789[[#This Row],[1]:[11]],0)-1)/(COUNTA(Table2614256789[[#This Row],[1]:[11]])-COUNTBLANK(Table2614256789[[#This Row],[1]:[11]])-1)))</f>
        <v>#N/A</v>
      </c>
      <c r="M35" s="28"/>
      <c r="N35" s="29" t="str" cm="1">
        <f t="array" ref="N35">IFERROR(INDEX(_xlfn.UNIQUE(TRIM(_xlfn.TEXTSPLIT(Table2614256789[[#This Row],[Selection Options]:[Selection Options]],","))),,N$11),"")</f>
        <v>100%: Supported as delivered "out of the box"</v>
      </c>
      <c r="O35" s="29" t="str" cm="1">
        <f t="array" ref="O35">IFERROR(INDEX(_xlfn.UNIQUE(TRIM(_xlfn.TEXTSPLIT(Table2614256789[[#This Row],[Selection Options]:[Selection Options]],","))),,O$11),"")</f>
        <v xml:space="preserve">
75%: Supported via modifications (config)</v>
      </c>
      <c r="P35" s="29" t="str" cm="1">
        <f t="array" ref="P35">IFERROR(INDEX(_xlfn.UNIQUE(TRIM(_xlfn.TEXTSPLIT(Table2614256789[[#This Row],[Selection Options]:[Selection Options]],","))),,P$11),"")</f>
        <v xml:space="preserve">
50%: Supported via a third party solution</v>
      </c>
      <c r="Q35" s="29" t="str" cm="1">
        <f t="array" ref="Q35">IFERROR(INDEX(_xlfn.UNIQUE(TRIM(_xlfn.TEXTSPLIT(Table2614256789[[#This Row],[Selection Options]:[Selection Options]],","))),,Q$11),"")</f>
        <v xml:space="preserve">
25%: Supported via customisation (source code changes)</v>
      </c>
      <c r="R35" s="29" t="str" cm="1">
        <f t="array" ref="R35">IFERROR(INDEX(_xlfn.UNIQUE(TRIM(_xlfn.TEXTSPLIT(Table2614256789[[#This Row],[Selection Options]:[Selection Options]],","))),,R$11),"")</f>
        <v xml:space="preserve">
 0%: Not currently supported</v>
      </c>
      <c r="S35" s="29" t="str" cm="1">
        <f t="array" ref="S35">IFERROR(INDEX(_xlfn.UNIQUE(TRIM(_xlfn.TEXTSPLIT(Table2614256789[[#This Row],[Selection Options]:[Selection Options]],","))),,S$11),"")</f>
        <v/>
      </c>
      <c r="T35" s="29" t="str" cm="1">
        <f t="array" ref="T35">IFERROR(INDEX(_xlfn.UNIQUE(TRIM(_xlfn.TEXTSPLIT(Table2614256789[[#This Row],[Selection Options]:[Selection Options]],","))),,T$11),"")</f>
        <v/>
      </c>
      <c r="U35" s="29" t="str" cm="1">
        <f t="array" ref="U35">IFERROR(INDEX(_xlfn.UNIQUE(TRIM(_xlfn.TEXTSPLIT(Table2614256789[[#This Row],[Selection Options]:[Selection Options]],","))),,U$11),"")</f>
        <v/>
      </c>
      <c r="V35" s="29" t="str" cm="1">
        <f t="array" ref="V35">IFERROR(INDEX(_xlfn.UNIQUE(TRIM(_xlfn.TEXTSPLIT(Table2614256789[[#This Row],[Selection Options]:[Selection Options]],","))),,V$11),"")</f>
        <v/>
      </c>
      <c r="W35" s="29" t="str" cm="1">
        <f t="array" ref="W35">IFERROR(INDEX(_xlfn.UNIQUE(TRIM(_xlfn.TEXTSPLIT(Table2614256789[[#This Row],[Selection Options]:[Selection Options]],","))),,W$11),"")</f>
        <v/>
      </c>
      <c r="X35" s="29" t="str" cm="1">
        <f t="array" ref="X35">IFERROR(INDEX(_xlfn.UNIQUE(TRIM(_xlfn.TEXTSPLIT(Table2614256789[[#This Row],[Selection Options]:[Selection Options]],","))),,X$11),"")</f>
        <v/>
      </c>
      <c r="Y35" s="30" cm="1">
        <f t="array" ref="Y35">IF(Table2614256789[[#This Row],[1]]="","",Table2614256789[[#This Row],[Weight]:[Weight]]-(Table2614256789[[#This Row],[Weight]:[Weight]]*((_xlfn.XMATCH(Table2614256789[[#This Row],[1]],Table2614256789[[#This Row],[1]:[11]],0))-1)/(COUNTA(Table2614256789[[#This Row],[1]:[11]])-COUNTBLANK(Table2614256789[[#This Row],[1]:[11]])-1)))</f>
        <v>1.1479591836734693E-3</v>
      </c>
      <c r="Z35" s="30" cm="1">
        <f t="array" ref="Z35">IF(Table2614256789[[#This Row],[2]]="","",Table2614256789[[#This Row],[Weight]:[Weight]]-(Table2614256789[[#This Row],[Weight]:[Weight]]*((_xlfn.XMATCH(Table2614256789[[#This Row],[2]],Table2614256789[[#This Row],[1]:[11]],0))-1)/(COUNTA(Table2614256789[[#This Row],[1]:[11]])-COUNTBLANK(Table2614256789[[#This Row],[1]:[11]])-1)))</f>
        <v>8.6096938775510196E-4</v>
      </c>
      <c r="AA35" s="30" cm="1">
        <f t="array" ref="AA35">IF(Table2614256789[[#This Row],[3]]="","",Table2614256789[[#This Row],[Weight]:[Weight]]-(Table2614256789[[#This Row],[Weight]:[Weight]]*((_xlfn.XMATCH(Table2614256789[[#This Row],[3]],Table2614256789[[#This Row],[1]:[11]],0))-1)/(COUNTA(Table2614256789[[#This Row],[1]:[11]])-COUNTBLANK(Table2614256789[[#This Row],[1]:[11]])-1)))</f>
        <v>5.7397959183673464E-4</v>
      </c>
      <c r="AB35" s="30" cm="1">
        <f t="array" ref="AB35">IF(Table2614256789[[#This Row],[4]]="","",Table2614256789[[#This Row],[Weight]:[Weight]]-(Table2614256789[[#This Row],[Weight]:[Weight]]*((_xlfn.XMATCH(Table2614256789[[#This Row],[4]],Table2614256789[[#This Row],[1]:[11]],0))-1)/(COUNTA(Table2614256789[[#This Row],[1]:[11]])-COUNTBLANK(Table2614256789[[#This Row],[1]:[11]])-1)))</f>
        <v>2.8698979591836732E-4</v>
      </c>
      <c r="AC35" s="30" cm="1">
        <f t="array" ref="AC35">IF(Table2614256789[[#This Row],[5]]="","",Table2614256789[[#This Row],[Weight]:[Weight]]-(Table2614256789[[#This Row],[Weight]:[Weight]]*((_xlfn.XMATCH(Table2614256789[[#This Row],[5]],Table2614256789[[#This Row],[1]:[11]],0))-1)/(COUNTA(Table2614256789[[#This Row],[1]:[11]])-COUNTBLANK(Table2614256789[[#This Row],[1]:[11]])-1)))</f>
        <v>0</v>
      </c>
      <c r="AD35" s="30" t="str" cm="1">
        <f t="array" ref="AD35">IF(Table2614256789[[#This Row],[6]]="","",Table2614256789[[#This Row],[Weight]:[Weight]]-(Table2614256789[[#This Row],[Weight]:[Weight]]*((_xlfn.XMATCH(Table2614256789[[#This Row],[6]],Table2614256789[[#This Row],[1]:[11]],0))-1)/(COUNTA(Table2614256789[[#This Row],[1]:[11]])-COUNTBLANK(Table2614256789[[#This Row],[1]:[11]])-1)))</f>
        <v/>
      </c>
      <c r="AE35" s="30" t="str" cm="1">
        <f t="array" ref="AE35">IF(Table2614256789[[#This Row],[7]]="","",Table2614256789[[#This Row],[Weight]:[Weight]]-(Table2614256789[[#This Row],[Weight]:[Weight]]*((_xlfn.XMATCH(Table2614256789[[#This Row],[7]],Table2614256789[[#This Row],[1]:[11]],0))-1)/(COUNTA(Table2614256789[[#This Row],[1]:[11]])-COUNTBLANK(Table2614256789[[#This Row],[1]:[11]])-1)))</f>
        <v/>
      </c>
      <c r="AF35" s="30" t="str" cm="1">
        <f t="array" ref="AF35">IF(Table2614256789[[#This Row],[8]]="","",Table2614256789[[#This Row],[Weight]:[Weight]]-(Table2614256789[[#This Row],[Weight]:[Weight]]*((_xlfn.XMATCH(Table2614256789[[#This Row],[8]],Table2614256789[[#This Row],[1]:[11]],0))-1)/(COUNTA(Table2614256789[[#This Row],[1]:[11]])-COUNTBLANK(Table2614256789[[#This Row],[1]:[11]])-1)))</f>
        <v/>
      </c>
      <c r="AG35" s="30" t="str" cm="1">
        <f t="array" ref="AG35">IF(Table2614256789[[#This Row],[9]]="","",Table2614256789[[#This Row],[Weight]:[Weight]]-(Table2614256789[[#This Row],[Weight]:[Weight]]*((_xlfn.XMATCH(Table2614256789[[#This Row],[9]],Table2614256789[[#This Row],[1]:[11]],0))-1)/(COUNTA(Table2614256789[[#This Row],[1]:[11]])-COUNTBLANK(Table2614256789[[#This Row],[1]:[11]])-1)))</f>
        <v/>
      </c>
      <c r="AH35" s="30" t="str" cm="1">
        <f t="array" ref="AH35">IF(Table2614256789[[#This Row],[10]]="","",Table2614256789[[#This Row],[Weight]:[Weight]]-(Table2614256789[[#This Row],[Weight]:[Weight]]*((_xlfn.XMATCH(Table2614256789[[#This Row],[10]],Table2614256789[[#This Row],[1]:[11]],0))-1)/(COUNTA(Table2614256789[[#This Row],[1]:[11]])-COUNTBLANK(Table2614256789[[#This Row],[1]:[11]])-1)))</f>
        <v/>
      </c>
      <c r="AI35" s="30" t="str" cm="1">
        <f t="array" ref="AI35">IF(Table2614256789[[#This Row],[11]]="","",Table2614256789[[#This Row],[Weight]:[Weight]]-(Table2614256789[[#This Row],[Weight]:[Weight]]*((_xlfn.XMATCH(Table2614256789[[#This Row],[11]],Table2614256789[[#This Row],[1]:[11]],0))-1)/(COUNTA(Table2614256789[[#This Row],[1]:[11]])-COUNTBLANK(Table2614256789[[#This Row],[1]:[11]])-1)))</f>
        <v/>
      </c>
    </row>
    <row r="36" spans="1:35" ht="108" x14ac:dyDescent="0.2">
      <c r="A36" s="20">
        <v>24</v>
      </c>
      <c r="B36" s="90" t="s">
        <v>512</v>
      </c>
      <c r="C36" s="119" t="s">
        <v>215</v>
      </c>
      <c r="D36" s="153"/>
      <c r="E36" s="153"/>
      <c r="F36" s="121" t="s">
        <v>60</v>
      </c>
      <c r="G36" s="148" cm="1">
        <f t="array" ref="G36">_xlfn.IFS(F36="","",F36="No interest",0,F36="Nice to have",1,F36="Useful",2,F36="Important",3,F36="Very important",4,F36="Critical",5,F36="Show stopper",6)</f>
        <v>6</v>
      </c>
      <c r="H36" s="149">
        <f t="shared" si="1"/>
        <v>1.1479591836734693E-3</v>
      </c>
      <c r="I36" s="150" t="s">
        <v>321</v>
      </c>
      <c r="J36" s="35" t="str" cm="1">
        <f t="array" ref="J36">_xlfn.TEXTJOIN(","&amp;CHAR(10),,TEXT(Table2614256789[[#This Row],[12]:[22]],"0,00%"))</f>
        <v>0,00%,
0,00%,
0,00%,
0,00%,
0,00%</v>
      </c>
      <c r="K36" s="26"/>
      <c r="L36" s="27" t="e">
        <f>H36-(H36*((MATCH(Table2614256789[[#This Row],[Evaluators Response (SELECT)]],Table2614256789[[#This Row],[1]:[11]],0)-1)/(COUNTA(Table2614256789[[#This Row],[1]:[11]])-COUNTBLANK(Table2614256789[[#This Row],[1]:[11]])-1)))</f>
        <v>#N/A</v>
      </c>
      <c r="M36" s="28"/>
      <c r="N36" s="29" t="str" cm="1">
        <f t="array" ref="N36">IFERROR(INDEX(_xlfn.UNIQUE(TRIM(_xlfn.TEXTSPLIT(Table2614256789[[#This Row],[Selection Options]:[Selection Options]],","))),,N$11),"")</f>
        <v>100%: Supported as delivered "out of the box"</v>
      </c>
      <c r="O36" s="29" t="str" cm="1">
        <f t="array" ref="O36">IFERROR(INDEX(_xlfn.UNIQUE(TRIM(_xlfn.TEXTSPLIT(Table2614256789[[#This Row],[Selection Options]:[Selection Options]],","))),,O$11),"")</f>
        <v xml:space="preserve">
75%: Supported via modifications (config)</v>
      </c>
      <c r="P36" s="29" t="str" cm="1">
        <f t="array" ref="P36">IFERROR(INDEX(_xlfn.UNIQUE(TRIM(_xlfn.TEXTSPLIT(Table2614256789[[#This Row],[Selection Options]:[Selection Options]],","))),,P$11),"")</f>
        <v xml:space="preserve">
50%: Supported via a third party solution</v>
      </c>
      <c r="Q36" s="29" t="str" cm="1">
        <f t="array" ref="Q36">IFERROR(INDEX(_xlfn.UNIQUE(TRIM(_xlfn.TEXTSPLIT(Table2614256789[[#This Row],[Selection Options]:[Selection Options]],","))),,Q$11),"")</f>
        <v xml:space="preserve">
25%: Supported via customisation (source code changes)</v>
      </c>
      <c r="R36" s="29" t="str" cm="1">
        <f t="array" ref="R36">IFERROR(INDEX(_xlfn.UNIQUE(TRIM(_xlfn.TEXTSPLIT(Table2614256789[[#This Row],[Selection Options]:[Selection Options]],","))),,R$11),"")</f>
        <v xml:space="preserve">
 0%: Not currently supported</v>
      </c>
      <c r="S36" s="29" t="str" cm="1">
        <f t="array" ref="S36">IFERROR(INDEX(_xlfn.UNIQUE(TRIM(_xlfn.TEXTSPLIT(Table2614256789[[#This Row],[Selection Options]:[Selection Options]],","))),,S$11),"")</f>
        <v/>
      </c>
      <c r="T36" s="29" t="str" cm="1">
        <f t="array" ref="T36">IFERROR(INDEX(_xlfn.UNIQUE(TRIM(_xlfn.TEXTSPLIT(Table2614256789[[#This Row],[Selection Options]:[Selection Options]],","))),,T$11),"")</f>
        <v/>
      </c>
      <c r="U36" s="29" t="str" cm="1">
        <f t="array" ref="U36">IFERROR(INDEX(_xlfn.UNIQUE(TRIM(_xlfn.TEXTSPLIT(Table2614256789[[#This Row],[Selection Options]:[Selection Options]],","))),,U$11),"")</f>
        <v/>
      </c>
      <c r="V36" s="29" t="str" cm="1">
        <f t="array" ref="V36">IFERROR(INDEX(_xlfn.UNIQUE(TRIM(_xlfn.TEXTSPLIT(Table2614256789[[#This Row],[Selection Options]:[Selection Options]],","))),,V$11),"")</f>
        <v/>
      </c>
      <c r="W36" s="29" t="str" cm="1">
        <f t="array" ref="W36">IFERROR(INDEX(_xlfn.UNIQUE(TRIM(_xlfn.TEXTSPLIT(Table2614256789[[#This Row],[Selection Options]:[Selection Options]],","))),,W$11),"")</f>
        <v/>
      </c>
      <c r="X36" s="29" t="str" cm="1">
        <f t="array" ref="X36">IFERROR(INDEX(_xlfn.UNIQUE(TRIM(_xlfn.TEXTSPLIT(Table2614256789[[#This Row],[Selection Options]:[Selection Options]],","))),,X$11),"")</f>
        <v/>
      </c>
      <c r="Y36" s="30" cm="1">
        <f t="array" ref="Y36">IF(Table2614256789[[#This Row],[1]]="","",Table2614256789[[#This Row],[Weight]:[Weight]]-(Table2614256789[[#This Row],[Weight]:[Weight]]*((_xlfn.XMATCH(Table2614256789[[#This Row],[1]],Table2614256789[[#This Row],[1]:[11]],0))-1)/(COUNTA(Table2614256789[[#This Row],[1]:[11]])-COUNTBLANK(Table2614256789[[#This Row],[1]:[11]])-1)))</f>
        <v>1.1479591836734693E-3</v>
      </c>
      <c r="Z36" s="30" cm="1">
        <f t="array" ref="Z36">IF(Table2614256789[[#This Row],[2]]="","",Table2614256789[[#This Row],[Weight]:[Weight]]-(Table2614256789[[#This Row],[Weight]:[Weight]]*((_xlfn.XMATCH(Table2614256789[[#This Row],[2]],Table2614256789[[#This Row],[1]:[11]],0))-1)/(COUNTA(Table2614256789[[#This Row],[1]:[11]])-COUNTBLANK(Table2614256789[[#This Row],[1]:[11]])-1)))</f>
        <v>8.6096938775510196E-4</v>
      </c>
      <c r="AA36" s="30" cm="1">
        <f t="array" ref="AA36">IF(Table2614256789[[#This Row],[3]]="","",Table2614256789[[#This Row],[Weight]:[Weight]]-(Table2614256789[[#This Row],[Weight]:[Weight]]*((_xlfn.XMATCH(Table2614256789[[#This Row],[3]],Table2614256789[[#This Row],[1]:[11]],0))-1)/(COUNTA(Table2614256789[[#This Row],[1]:[11]])-COUNTBLANK(Table2614256789[[#This Row],[1]:[11]])-1)))</f>
        <v>5.7397959183673464E-4</v>
      </c>
      <c r="AB36" s="30" cm="1">
        <f t="array" ref="AB36">IF(Table2614256789[[#This Row],[4]]="","",Table2614256789[[#This Row],[Weight]:[Weight]]-(Table2614256789[[#This Row],[Weight]:[Weight]]*((_xlfn.XMATCH(Table2614256789[[#This Row],[4]],Table2614256789[[#This Row],[1]:[11]],0))-1)/(COUNTA(Table2614256789[[#This Row],[1]:[11]])-COUNTBLANK(Table2614256789[[#This Row],[1]:[11]])-1)))</f>
        <v>2.8698979591836732E-4</v>
      </c>
      <c r="AC36" s="30" cm="1">
        <f t="array" ref="AC36">IF(Table2614256789[[#This Row],[5]]="","",Table2614256789[[#This Row],[Weight]:[Weight]]-(Table2614256789[[#This Row],[Weight]:[Weight]]*((_xlfn.XMATCH(Table2614256789[[#This Row],[5]],Table2614256789[[#This Row],[1]:[11]],0))-1)/(COUNTA(Table2614256789[[#This Row],[1]:[11]])-COUNTBLANK(Table2614256789[[#This Row],[1]:[11]])-1)))</f>
        <v>0</v>
      </c>
      <c r="AD36" s="30" t="str" cm="1">
        <f t="array" ref="AD36">IF(Table2614256789[[#This Row],[6]]="","",Table2614256789[[#This Row],[Weight]:[Weight]]-(Table2614256789[[#This Row],[Weight]:[Weight]]*((_xlfn.XMATCH(Table2614256789[[#This Row],[6]],Table2614256789[[#This Row],[1]:[11]],0))-1)/(COUNTA(Table2614256789[[#This Row],[1]:[11]])-COUNTBLANK(Table2614256789[[#This Row],[1]:[11]])-1)))</f>
        <v/>
      </c>
      <c r="AE36" s="30" t="str" cm="1">
        <f t="array" ref="AE36">IF(Table2614256789[[#This Row],[7]]="","",Table2614256789[[#This Row],[Weight]:[Weight]]-(Table2614256789[[#This Row],[Weight]:[Weight]]*((_xlfn.XMATCH(Table2614256789[[#This Row],[7]],Table2614256789[[#This Row],[1]:[11]],0))-1)/(COUNTA(Table2614256789[[#This Row],[1]:[11]])-COUNTBLANK(Table2614256789[[#This Row],[1]:[11]])-1)))</f>
        <v/>
      </c>
      <c r="AF36" s="30" t="str" cm="1">
        <f t="array" ref="AF36">IF(Table2614256789[[#This Row],[8]]="","",Table2614256789[[#This Row],[Weight]:[Weight]]-(Table2614256789[[#This Row],[Weight]:[Weight]]*((_xlfn.XMATCH(Table2614256789[[#This Row],[8]],Table2614256789[[#This Row],[1]:[11]],0))-1)/(COUNTA(Table2614256789[[#This Row],[1]:[11]])-COUNTBLANK(Table2614256789[[#This Row],[1]:[11]])-1)))</f>
        <v/>
      </c>
      <c r="AG36" s="30" t="str" cm="1">
        <f t="array" ref="AG36">IF(Table2614256789[[#This Row],[9]]="","",Table2614256789[[#This Row],[Weight]:[Weight]]-(Table2614256789[[#This Row],[Weight]:[Weight]]*((_xlfn.XMATCH(Table2614256789[[#This Row],[9]],Table2614256789[[#This Row],[1]:[11]],0))-1)/(COUNTA(Table2614256789[[#This Row],[1]:[11]])-COUNTBLANK(Table2614256789[[#This Row],[1]:[11]])-1)))</f>
        <v/>
      </c>
      <c r="AH36" s="30" t="str" cm="1">
        <f t="array" ref="AH36">IF(Table2614256789[[#This Row],[10]]="","",Table2614256789[[#This Row],[Weight]:[Weight]]-(Table2614256789[[#This Row],[Weight]:[Weight]]*((_xlfn.XMATCH(Table2614256789[[#This Row],[10]],Table2614256789[[#This Row],[1]:[11]],0))-1)/(COUNTA(Table2614256789[[#This Row],[1]:[11]])-COUNTBLANK(Table2614256789[[#This Row],[1]:[11]])-1)))</f>
        <v/>
      </c>
      <c r="AI36" s="30" t="str" cm="1">
        <f t="array" ref="AI36">IF(Table2614256789[[#This Row],[11]]="","",Table2614256789[[#This Row],[Weight]:[Weight]]-(Table2614256789[[#This Row],[Weight]:[Weight]]*((_xlfn.XMATCH(Table2614256789[[#This Row],[11]],Table2614256789[[#This Row],[1]:[11]],0))-1)/(COUNTA(Table2614256789[[#This Row],[1]:[11]])-COUNTBLANK(Table2614256789[[#This Row],[1]:[11]])-1)))</f>
        <v/>
      </c>
    </row>
    <row r="37" spans="1:35" ht="108" x14ac:dyDescent="0.2">
      <c r="A37" s="20">
        <v>25</v>
      </c>
      <c r="B37" s="90" t="s">
        <v>513</v>
      </c>
      <c r="C37" s="119" t="s">
        <v>215</v>
      </c>
      <c r="D37" s="153"/>
      <c r="E37" s="153"/>
      <c r="F37" s="121" t="s">
        <v>60</v>
      </c>
      <c r="G37" s="148" cm="1">
        <f t="array" ref="G37">_xlfn.IFS(F37="","",F37="No interest",0,F37="Nice to have",1,F37="Useful",2,F37="Important",3,F37="Very important",4,F37="Critical",5,F37="Show stopper",6)</f>
        <v>6</v>
      </c>
      <c r="H37" s="149">
        <f t="shared" si="1"/>
        <v>1.1479591836734693E-3</v>
      </c>
      <c r="I37" s="150" t="s">
        <v>321</v>
      </c>
      <c r="J37" s="35" t="str" cm="1">
        <f t="array" ref="J37">_xlfn.TEXTJOIN(","&amp;CHAR(10),,TEXT(Table2614256789[[#This Row],[12]:[22]],"0,00%"))</f>
        <v>0,00%,
0,00%,
0,00%,
0,00%,
0,00%</v>
      </c>
      <c r="K37" s="26"/>
      <c r="L37" s="27" t="e">
        <f>H37-(H37*((MATCH(Table2614256789[[#This Row],[Evaluators Response (SELECT)]],Table2614256789[[#This Row],[1]:[11]],0)-1)/(COUNTA(Table2614256789[[#This Row],[1]:[11]])-COUNTBLANK(Table2614256789[[#This Row],[1]:[11]])-1)))</f>
        <v>#N/A</v>
      </c>
      <c r="M37" s="28"/>
      <c r="N37" s="29" t="str" cm="1">
        <f t="array" ref="N37">IFERROR(INDEX(_xlfn.UNIQUE(TRIM(_xlfn.TEXTSPLIT(Table2614256789[[#This Row],[Selection Options]:[Selection Options]],","))),,N$11),"")</f>
        <v>100%: Supported as delivered "out of the box"</v>
      </c>
      <c r="O37" s="29" t="str" cm="1">
        <f t="array" ref="O37">IFERROR(INDEX(_xlfn.UNIQUE(TRIM(_xlfn.TEXTSPLIT(Table2614256789[[#This Row],[Selection Options]:[Selection Options]],","))),,O$11),"")</f>
        <v xml:space="preserve">
75%: Supported via modifications (config)</v>
      </c>
      <c r="P37" s="29" t="str" cm="1">
        <f t="array" ref="P37">IFERROR(INDEX(_xlfn.UNIQUE(TRIM(_xlfn.TEXTSPLIT(Table2614256789[[#This Row],[Selection Options]:[Selection Options]],","))),,P$11),"")</f>
        <v xml:space="preserve">
50%: Supported via a third party solution</v>
      </c>
      <c r="Q37" s="29" t="str" cm="1">
        <f t="array" ref="Q37">IFERROR(INDEX(_xlfn.UNIQUE(TRIM(_xlfn.TEXTSPLIT(Table2614256789[[#This Row],[Selection Options]:[Selection Options]],","))),,Q$11),"")</f>
        <v xml:space="preserve">
25%: Supported via customisation (source code changes)</v>
      </c>
      <c r="R37" s="29" t="str" cm="1">
        <f t="array" ref="R37">IFERROR(INDEX(_xlfn.UNIQUE(TRIM(_xlfn.TEXTSPLIT(Table2614256789[[#This Row],[Selection Options]:[Selection Options]],","))),,R$11),"")</f>
        <v xml:space="preserve">
 0%: Not currently supported</v>
      </c>
      <c r="S37" s="29" t="str" cm="1">
        <f t="array" ref="S37">IFERROR(INDEX(_xlfn.UNIQUE(TRIM(_xlfn.TEXTSPLIT(Table2614256789[[#This Row],[Selection Options]:[Selection Options]],","))),,S$11),"")</f>
        <v/>
      </c>
      <c r="T37" s="29" t="str" cm="1">
        <f t="array" ref="T37">IFERROR(INDEX(_xlfn.UNIQUE(TRIM(_xlfn.TEXTSPLIT(Table2614256789[[#This Row],[Selection Options]:[Selection Options]],","))),,T$11),"")</f>
        <v/>
      </c>
      <c r="U37" s="29" t="str" cm="1">
        <f t="array" ref="U37">IFERROR(INDEX(_xlfn.UNIQUE(TRIM(_xlfn.TEXTSPLIT(Table2614256789[[#This Row],[Selection Options]:[Selection Options]],","))),,U$11),"")</f>
        <v/>
      </c>
      <c r="V37" s="29" t="str" cm="1">
        <f t="array" ref="V37">IFERROR(INDEX(_xlfn.UNIQUE(TRIM(_xlfn.TEXTSPLIT(Table2614256789[[#This Row],[Selection Options]:[Selection Options]],","))),,V$11),"")</f>
        <v/>
      </c>
      <c r="W37" s="29" t="str" cm="1">
        <f t="array" ref="W37">IFERROR(INDEX(_xlfn.UNIQUE(TRIM(_xlfn.TEXTSPLIT(Table2614256789[[#This Row],[Selection Options]:[Selection Options]],","))),,W$11),"")</f>
        <v/>
      </c>
      <c r="X37" s="29" t="str" cm="1">
        <f t="array" ref="X37">IFERROR(INDEX(_xlfn.UNIQUE(TRIM(_xlfn.TEXTSPLIT(Table2614256789[[#This Row],[Selection Options]:[Selection Options]],","))),,X$11),"")</f>
        <v/>
      </c>
      <c r="Y37" s="30" cm="1">
        <f t="array" ref="Y37">IF(Table2614256789[[#This Row],[1]]="","",Table2614256789[[#This Row],[Weight]:[Weight]]-(Table2614256789[[#This Row],[Weight]:[Weight]]*((_xlfn.XMATCH(Table2614256789[[#This Row],[1]],Table2614256789[[#This Row],[1]:[11]],0))-1)/(COUNTA(Table2614256789[[#This Row],[1]:[11]])-COUNTBLANK(Table2614256789[[#This Row],[1]:[11]])-1)))</f>
        <v>1.1479591836734693E-3</v>
      </c>
      <c r="Z37" s="30" cm="1">
        <f t="array" ref="Z37">IF(Table2614256789[[#This Row],[2]]="","",Table2614256789[[#This Row],[Weight]:[Weight]]-(Table2614256789[[#This Row],[Weight]:[Weight]]*((_xlfn.XMATCH(Table2614256789[[#This Row],[2]],Table2614256789[[#This Row],[1]:[11]],0))-1)/(COUNTA(Table2614256789[[#This Row],[1]:[11]])-COUNTBLANK(Table2614256789[[#This Row],[1]:[11]])-1)))</f>
        <v>8.6096938775510196E-4</v>
      </c>
      <c r="AA37" s="30" cm="1">
        <f t="array" ref="AA37">IF(Table2614256789[[#This Row],[3]]="","",Table2614256789[[#This Row],[Weight]:[Weight]]-(Table2614256789[[#This Row],[Weight]:[Weight]]*((_xlfn.XMATCH(Table2614256789[[#This Row],[3]],Table2614256789[[#This Row],[1]:[11]],0))-1)/(COUNTA(Table2614256789[[#This Row],[1]:[11]])-COUNTBLANK(Table2614256789[[#This Row],[1]:[11]])-1)))</f>
        <v>5.7397959183673464E-4</v>
      </c>
      <c r="AB37" s="30" cm="1">
        <f t="array" ref="AB37">IF(Table2614256789[[#This Row],[4]]="","",Table2614256789[[#This Row],[Weight]:[Weight]]-(Table2614256789[[#This Row],[Weight]:[Weight]]*((_xlfn.XMATCH(Table2614256789[[#This Row],[4]],Table2614256789[[#This Row],[1]:[11]],0))-1)/(COUNTA(Table2614256789[[#This Row],[1]:[11]])-COUNTBLANK(Table2614256789[[#This Row],[1]:[11]])-1)))</f>
        <v>2.8698979591836732E-4</v>
      </c>
      <c r="AC37" s="30" cm="1">
        <f t="array" ref="AC37">IF(Table2614256789[[#This Row],[5]]="","",Table2614256789[[#This Row],[Weight]:[Weight]]-(Table2614256789[[#This Row],[Weight]:[Weight]]*((_xlfn.XMATCH(Table2614256789[[#This Row],[5]],Table2614256789[[#This Row],[1]:[11]],0))-1)/(COUNTA(Table2614256789[[#This Row],[1]:[11]])-COUNTBLANK(Table2614256789[[#This Row],[1]:[11]])-1)))</f>
        <v>0</v>
      </c>
      <c r="AD37" s="30" t="str" cm="1">
        <f t="array" ref="AD37">IF(Table2614256789[[#This Row],[6]]="","",Table2614256789[[#This Row],[Weight]:[Weight]]-(Table2614256789[[#This Row],[Weight]:[Weight]]*((_xlfn.XMATCH(Table2614256789[[#This Row],[6]],Table2614256789[[#This Row],[1]:[11]],0))-1)/(COUNTA(Table2614256789[[#This Row],[1]:[11]])-COUNTBLANK(Table2614256789[[#This Row],[1]:[11]])-1)))</f>
        <v/>
      </c>
      <c r="AE37" s="30" t="str" cm="1">
        <f t="array" ref="AE37">IF(Table2614256789[[#This Row],[7]]="","",Table2614256789[[#This Row],[Weight]:[Weight]]-(Table2614256789[[#This Row],[Weight]:[Weight]]*((_xlfn.XMATCH(Table2614256789[[#This Row],[7]],Table2614256789[[#This Row],[1]:[11]],0))-1)/(COUNTA(Table2614256789[[#This Row],[1]:[11]])-COUNTBLANK(Table2614256789[[#This Row],[1]:[11]])-1)))</f>
        <v/>
      </c>
      <c r="AF37" s="30" t="str" cm="1">
        <f t="array" ref="AF37">IF(Table2614256789[[#This Row],[8]]="","",Table2614256789[[#This Row],[Weight]:[Weight]]-(Table2614256789[[#This Row],[Weight]:[Weight]]*((_xlfn.XMATCH(Table2614256789[[#This Row],[8]],Table2614256789[[#This Row],[1]:[11]],0))-1)/(COUNTA(Table2614256789[[#This Row],[1]:[11]])-COUNTBLANK(Table2614256789[[#This Row],[1]:[11]])-1)))</f>
        <v/>
      </c>
      <c r="AG37" s="30" t="str" cm="1">
        <f t="array" ref="AG37">IF(Table2614256789[[#This Row],[9]]="","",Table2614256789[[#This Row],[Weight]:[Weight]]-(Table2614256789[[#This Row],[Weight]:[Weight]]*((_xlfn.XMATCH(Table2614256789[[#This Row],[9]],Table2614256789[[#This Row],[1]:[11]],0))-1)/(COUNTA(Table2614256789[[#This Row],[1]:[11]])-COUNTBLANK(Table2614256789[[#This Row],[1]:[11]])-1)))</f>
        <v/>
      </c>
      <c r="AH37" s="30" t="str" cm="1">
        <f t="array" ref="AH37">IF(Table2614256789[[#This Row],[10]]="","",Table2614256789[[#This Row],[Weight]:[Weight]]-(Table2614256789[[#This Row],[Weight]:[Weight]]*((_xlfn.XMATCH(Table2614256789[[#This Row],[10]],Table2614256789[[#This Row],[1]:[11]],0))-1)/(COUNTA(Table2614256789[[#This Row],[1]:[11]])-COUNTBLANK(Table2614256789[[#This Row],[1]:[11]])-1)))</f>
        <v/>
      </c>
      <c r="AI37" s="30" t="str" cm="1">
        <f t="array" ref="AI37">IF(Table2614256789[[#This Row],[11]]="","",Table2614256789[[#This Row],[Weight]:[Weight]]-(Table2614256789[[#This Row],[Weight]:[Weight]]*((_xlfn.XMATCH(Table2614256789[[#This Row],[11]],Table2614256789[[#This Row],[1]:[11]],0))-1)/(COUNTA(Table2614256789[[#This Row],[1]:[11]])-COUNTBLANK(Table2614256789[[#This Row],[1]:[11]])-1)))</f>
        <v/>
      </c>
    </row>
    <row r="38" spans="1:35" ht="108" x14ac:dyDescent="0.2">
      <c r="A38" s="20">
        <v>26</v>
      </c>
      <c r="B38" s="90" t="s">
        <v>514</v>
      </c>
      <c r="C38" s="119" t="s">
        <v>215</v>
      </c>
      <c r="D38" s="153"/>
      <c r="E38" s="153"/>
      <c r="F38" s="121" t="s">
        <v>60</v>
      </c>
      <c r="G38" s="148" cm="1">
        <f t="array" ref="G38">_xlfn.IFS(F38="","",F38="No interest",0,F38="Nice to have",1,F38="Useful",2,F38="Important",3,F38="Very important",4,F38="Critical",5,F38="Show stopper",6)</f>
        <v>6</v>
      </c>
      <c r="H38" s="149">
        <f t="shared" si="1"/>
        <v>1.1479591836734693E-3</v>
      </c>
      <c r="I38" s="150" t="s">
        <v>321</v>
      </c>
      <c r="J38" s="35" t="str" cm="1">
        <f t="array" ref="J38">_xlfn.TEXTJOIN(","&amp;CHAR(10),,TEXT(Table2614256789[[#This Row],[12]:[22]],"0,00%"))</f>
        <v>0,00%,
0,00%,
0,00%,
0,00%,
0,00%</v>
      </c>
      <c r="K38" s="26"/>
      <c r="L38" s="27" t="e">
        <f>H38-(H38*((MATCH(Table2614256789[[#This Row],[Evaluators Response (SELECT)]],Table2614256789[[#This Row],[1]:[11]],0)-1)/(COUNTA(Table2614256789[[#This Row],[1]:[11]])-COUNTBLANK(Table2614256789[[#This Row],[1]:[11]])-1)))</f>
        <v>#N/A</v>
      </c>
      <c r="M38" s="28"/>
      <c r="N38" s="29" t="str" cm="1">
        <f t="array" ref="N38">IFERROR(INDEX(_xlfn.UNIQUE(TRIM(_xlfn.TEXTSPLIT(Table2614256789[[#This Row],[Selection Options]:[Selection Options]],","))),,N$11),"")</f>
        <v>100%: Supported as delivered "out of the box"</v>
      </c>
      <c r="O38" s="29" t="str" cm="1">
        <f t="array" ref="O38">IFERROR(INDEX(_xlfn.UNIQUE(TRIM(_xlfn.TEXTSPLIT(Table2614256789[[#This Row],[Selection Options]:[Selection Options]],","))),,O$11),"")</f>
        <v xml:space="preserve">
75%: Supported via modifications (config)</v>
      </c>
      <c r="P38" s="29" t="str" cm="1">
        <f t="array" ref="P38">IFERROR(INDEX(_xlfn.UNIQUE(TRIM(_xlfn.TEXTSPLIT(Table2614256789[[#This Row],[Selection Options]:[Selection Options]],","))),,P$11),"")</f>
        <v xml:space="preserve">
50%: Supported via a third party solution</v>
      </c>
      <c r="Q38" s="29" t="str" cm="1">
        <f t="array" ref="Q38">IFERROR(INDEX(_xlfn.UNIQUE(TRIM(_xlfn.TEXTSPLIT(Table2614256789[[#This Row],[Selection Options]:[Selection Options]],","))),,Q$11),"")</f>
        <v xml:space="preserve">
25%: Supported via customisation (source code changes)</v>
      </c>
      <c r="R38" s="29" t="str" cm="1">
        <f t="array" ref="R38">IFERROR(INDEX(_xlfn.UNIQUE(TRIM(_xlfn.TEXTSPLIT(Table2614256789[[#This Row],[Selection Options]:[Selection Options]],","))),,R$11),"")</f>
        <v xml:space="preserve">
 0%: Not currently supported</v>
      </c>
      <c r="S38" s="29" t="str" cm="1">
        <f t="array" ref="S38">IFERROR(INDEX(_xlfn.UNIQUE(TRIM(_xlfn.TEXTSPLIT(Table2614256789[[#This Row],[Selection Options]:[Selection Options]],","))),,S$11),"")</f>
        <v/>
      </c>
      <c r="T38" s="29" t="str" cm="1">
        <f t="array" ref="T38">IFERROR(INDEX(_xlfn.UNIQUE(TRIM(_xlfn.TEXTSPLIT(Table2614256789[[#This Row],[Selection Options]:[Selection Options]],","))),,T$11),"")</f>
        <v/>
      </c>
      <c r="U38" s="29" t="str" cm="1">
        <f t="array" ref="U38">IFERROR(INDEX(_xlfn.UNIQUE(TRIM(_xlfn.TEXTSPLIT(Table2614256789[[#This Row],[Selection Options]:[Selection Options]],","))),,U$11),"")</f>
        <v/>
      </c>
      <c r="V38" s="29" t="str" cm="1">
        <f t="array" ref="V38">IFERROR(INDEX(_xlfn.UNIQUE(TRIM(_xlfn.TEXTSPLIT(Table2614256789[[#This Row],[Selection Options]:[Selection Options]],","))),,V$11),"")</f>
        <v/>
      </c>
      <c r="W38" s="29" t="str" cm="1">
        <f t="array" ref="W38">IFERROR(INDEX(_xlfn.UNIQUE(TRIM(_xlfn.TEXTSPLIT(Table2614256789[[#This Row],[Selection Options]:[Selection Options]],","))),,W$11),"")</f>
        <v/>
      </c>
      <c r="X38" s="29" t="str" cm="1">
        <f t="array" ref="X38">IFERROR(INDEX(_xlfn.UNIQUE(TRIM(_xlfn.TEXTSPLIT(Table2614256789[[#This Row],[Selection Options]:[Selection Options]],","))),,X$11),"")</f>
        <v/>
      </c>
      <c r="Y38" s="30" cm="1">
        <f t="array" ref="Y38">IF(Table2614256789[[#This Row],[1]]="","",Table2614256789[[#This Row],[Weight]:[Weight]]-(Table2614256789[[#This Row],[Weight]:[Weight]]*((_xlfn.XMATCH(Table2614256789[[#This Row],[1]],Table2614256789[[#This Row],[1]:[11]],0))-1)/(COUNTA(Table2614256789[[#This Row],[1]:[11]])-COUNTBLANK(Table2614256789[[#This Row],[1]:[11]])-1)))</f>
        <v>1.1479591836734693E-3</v>
      </c>
      <c r="Z38" s="30" cm="1">
        <f t="array" ref="Z38">IF(Table2614256789[[#This Row],[2]]="","",Table2614256789[[#This Row],[Weight]:[Weight]]-(Table2614256789[[#This Row],[Weight]:[Weight]]*((_xlfn.XMATCH(Table2614256789[[#This Row],[2]],Table2614256789[[#This Row],[1]:[11]],0))-1)/(COUNTA(Table2614256789[[#This Row],[1]:[11]])-COUNTBLANK(Table2614256789[[#This Row],[1]:[11]])-1)))</f>
        <v>8.6096938775510196E-4</v>
      </c>
      <c r="AA38" s="30" cm="1">
        <f t="array" ref="AA38">IF(Table2614256789[[#This Row],[3]]="","",Table2614256789[[#This Row],[Weight]:[Weight]]-(Table2614256789[[#This Row],[Weight]:[Weight]]*((_xlfn.XMATCH(Table2614256789[[#This Row],[3]],Table2614256789[[#This Row],[1]:[11]],0))-1)/(COUNTA(Table2614256789[[#This Row],[1]:[11]])-COUNTBLANK(Table2614256789[[#This Row],[1]:[11]])-1)))</f>
        <v>5.7397959183673464E-4</v>
      </c>
      <c r="AB38" s="30" cm="1">
        <f t="array" ref="AB38">IF(Table2614256789[[#This Row],[4]]="","",Table2614256789[[#This Row],[Weight]:[Weight]]-(Table2614256789[[#This Row],[Weight]:[Weight]]*((_xlfn.XMATCH(Table2614256789[[#This Row],[4]],Table2614256789[[#This Row],[1]:[11]],0))-1)/(COUNTA(Table2614256789[[#This Row],[1]:[11]])-COUNTBLANK(Table2614256789[[#This Row],[1]:[11]])-1)))</f>
        <v>2.8698979591836732E-4</v>
      </c>
      <c r="AC38" s="30" cm="1">
        <f t="array" ref="AC38">IF(Table2614256789[[#This Row],[5]]="","",Table2614256789[[#This Row],[Weight]:[Weight]]-(Table2614256789[[#This Row],[Weight]:[Weight]]*((_xlfn.XMATCH(Table2614256789[[#This Row],[5]],Table2614256789[[#This Row],[1]:[11]],0))-1)/(COUNTA(Table2614256789[[#This Row],[1]:[11]])-COUNTBLANK(Table2614256789[[#This Row],[1]:[11]])-1)))</f>
        <v>0</v>
      </c>
      <c r="AD38" s="30" t="str" cm="1">
        <f t="array" ref="AD38">IF(Table2614256789[[#This Row],[6]]="","",Table2614256789[[#This Row],[Weight]:[Weight]]-(Table2614256789[[#This Row],[Weight]:[Weight]]*((_xlfn.XMATCH(Table2614256789[[#This Row],[6]],Table2614256789[[#This Row],[1]:[11]],0))-1)/(COUNTA(Table2614256789[[#This Row],[1]:[11]])-COUNTBLANK(Table2614256789[[#This Row],[1]:[11]])-1)))</f>
        <v/>
      </c>
      <c r="AE38" s="30" t="str" cm="1">
        <f t="array" ref="AE38">IF(Table2614256789[[#This Row],[7]]="","",Table2614256789[[#This Row],[Weight]:[Weight]]-(Table2614256789[[#This Row],[Weight]:[Weight]]*((_xlfn.XMATCH(Table2614256789[[#This Row],[7]],Table2614256789[[#This Row],[1]:[11]],0))-1)/(COUNTA(Table2614256789[[#This Row],[1]:[11]])-COUNTBLANK(Table2614256789[[#This Row],[1]:[11]])-1)))</f>
        <v/>
      </c>
      <c r="AF38" s="30" t="str" cm="1">
        <f t="array" ref="AF38">IF(Table2614256789[[#This Row],[8]]="","",Table2614256789[[#This Row],[Weight]:[Weight]]-(Table2614256789[[#This Row],[Weight]:[Weight]]*((_xlfn.XMATCH(Table2614256789[[#This Row],[8]],Table2614256789[[#This Row],[1]:[11]],0))-1)/(COUNTA(Table2614256789[[#This Row],[1]:[11]])-COUNTBLANK(Table2614256789[[#This Row],[1]:[11]])-1)))</f>
        <v/>
      </c>
      <c r="AG38" s="30" t="str" cm="1">
        <f t="array" ref="AG38">IF(Table2614256789[[#This Row],[9]]="","",Table2614256789[[#This Row],[Weight]:[Weight]]-(Table2614256789[[#This Row],[Weight]:[Weight]]*((_xlfn.XMATCH(Table2614256789[[#This Row],[9]],Table2614256789[[#This Row],[1]:[11]],0))-1)/(COUNTA(Table2614256789[[#This Row],[1]:[11]])-COUNTBLANK(Table2614256789[[#This Row],[1]:[11]])-1)))</f>
        <v/>
      </c>
      <c r="AH38" s="30" t="str" cm="1">
        <f t="array" ref="AH38">IF(Table2614256789[[#This Row],[10]]="","",Table2614256789[[#This Row],[Weight]:[Weight]]-(Table2614256789[[#This Row],[Weight]:[Weight]]*((_xlfn.XMATCH(Table2614256789[[#This Row],[10]],Table2614256789[[#This Row],[1]:[11]],0))-1)/(COUNTA(Table2614256789[[#This Row],[1]:[11]])-COUNTBLANK(Table2614256789[[#This Row],[1]:[11]])-1)))</f>
        <v/>
      </c>
      <c r="AI38" s="30" t="str" cm="1">
        <f t="array" ref="AI38">IF(Table2614256789[[#This Row],[11]]="","",Table2614256789[[#This Row],[Weight]:[Weight]]-(Table2614256789[[#This Row],[Weight]:[Weight]]*((_xlfn.XMATCH(Table2614256789[[#This Row],[11]],Table2614256789[[#This Row],[1]:[11]],0))-1)/(COUNTA(Table2614256789[[#This Row],[1]:[11]])-COUNTBLANK(Table2614256789[[#This Row],[1]:[11]])-1)))</f>
        <v/>
      </c>
    </row>
    <row r="39" spans="1:35" ht="108" x14ac:dyDescent="0.2">
      <c r="A39" s="20">
        <v>27</v>
      </c>
      <c r="B39" s="90" t="s">
        <v>515</v>
      </c>
      <c r="C39" s="119" t="s">
        <v>215</v>
      </c>
      <c r="D39" s="153"/>
      <c r="E39" s="153"/>
      <c r="F39" s="121" t="s">
        <v>60</v>
      </c>
      <c r="G39" s="148" cm="1">
        <f t="array" ref="G39">_xlfn.IFS(F39="","",F39="No interest",0,F39="Nice to have",1,F39="Useful",2,F39="Important",3,F39="Very important",4,F39="Critical",5,F39="Show stopper",6)</f>
        <v>6</v>
      </c>
      <c r="H39" s="149">
        <f t="shared" si="1"/>
        <v>1.1479591836734693E-3</v>
      </c>
      <c r="I39" s="150" t="s">
        <v>321</v>
      </c>
      <c r="J39" s="35" t="str" cm="1">
        <f t="array" ref="J39">_xlfn.TEXTJOIN(","&amp;CHAR(10),,TEXT(Table2614256789[[#This Row],[12]:[22]],"0,00%"))</f>
        <v>0,00%,
0,00%,
0,00%,
0,00%,
0,00%</v>
      </c>
      <c r="K39" s="26"/>
      <c r="L39" s="27" t="e">
        <f>H39-(H39*((MATCH(Table2614256789[[#This Row],[Evaluators Response (SELECT)]],Table2614256789[[#This Row],[1]:[11]],0)-1)/(COUNTA(Table2614256789[[#This Row],[1]:[11]])-COUNTBLANK(Table2614256789[[#This Row],[1]:[11]])-1)))</f>
        <v>#N/A</v>
      </c>
      <c r="M39" s="28"/>
      <c r="N39" s="29" t="str" cm="1">
        <f t="array" ref="N39">IFERROR(INDEX(_xlfn.UNIQUE(TRIM(_xlfn.TEXTSPLIT(Table2614256789[[#This Row],[Selection Options]:[Selection Options]],","))),,N$11),"")</f>
        <v>100%: Supported as delivered "out of the box"</v>
      </c>
      <c r="O39" s="29" t="str" cm="1">
        <f t="array" ref="O39">IFERROR(INDEX(_xlfn.UNIQUE(TRIM(_xlfn.TEXTSPLIT(Table2614256789[[#This Row],[Selection Options]:[Selection Options]],","))),,O$11),"")</f>
        <v xml:space="preserve">
75%: Supported via modifications (config)</v>
      </c>
      <c r="P39" s="29" t="str" cm="1">
        <f t="array" ref="P39">IFERROR(INDEX(_xlfn.UNIQUE(TRIM(_xlfn.TEXTSPLIT(Table2614256789[[#This Row],[Selection Options]:[Selection Options]],","))),,P$11),"")</f>
        <v xml:space="preserve">
50%: Supported via a third party solution</v>
      </c>
      <c r="Q39" s="29" t="str" cm="1">
        <f t="array" ref="Q39">IFERROR(INDEX(_xlfn.UNIQUE(TRIM(_xlfn.TEXTSPLIT(Table2614256789[[#This Row],[Selection Options]:[Selection Options]],","))),,Q$11),"")</f>
        <v xml:space="preserve">
25%: Supported via customisation (source code changes)</v>
      </c>
      <c r="R39" s="29" t="str" cm="1">
        <f t="array" ref="R39">IFERROR(INDEX(_xlfn.UNIQUE(TRIM(_xlfn.TEXTSPLIT(Table2614256789[[#This Row],[Selection Options]:[Selection Options]],","))),,R$11),"")</f>
        <v xml:space="preserve">
 0%: Not currently supported</v>
      </c>
      <c r="S39" s="29" t="str" cm="1">
        <f t="array" ref="S39">IFERROR(INDEX(_xlfn.UNIQUE(TRIM(_xlfn.TEXTSPLIT(Table2614256789[[#This Row],[Selection Options]:[Selection Options]],","))),,S$11),"")</f>
        <v/>
      </c>
      <c r="T39" s="29" t="str" cm="1">
        <f t="array" ref="T39">IFERROR(INDEX(_xlfn.UNIQUE(TRIM(_xlfn.TEXTSPLIT(Table2614256789[[#This Row],[Selection Options]:[Selection Options]],","))),,T$11),"")</f>
        <v/>
      </c>
      <c r="U39" s="29" t="str" cm="1">
        <f t="array" ref="U39">IFERROR(INDEX(_xlfn.UNIQUE(TRIM(_xlfn.TEXTSPLIT(Table2614256789[[#This Row],[Selection Options]:[Selection Options]],","))),,U$11),"")</f>
        <v/>
      </c>
      <c r="V39" s="29" t="str" cm="1">
        <f t="array" ref="V39">IFERROR(INDEX(_xlfn.UNIQUE(TRIM(_xlfn.TEXTSPLIT(Table2614256789[[#This Row],[Selection Options]:[Selection Options]],","))),,V$11),"")</f>
        <v/>
      </c>
      <c r="W39" s="29" t="str" cm="1">
        <f t="array" ref="W39">IFERROR(INDEX(_xlfn.UNIQUE(TRIM(_xlfn.TEXTSPLIT(Table2614256789[[#This Row],[Selection Options]:[Selection Options]],","))),,W$11),"")</f>
        <v/>
      </c>
      <c r="X39" s="29" t="str" cm="1">
        <f t="array" ref="X39">IFERROR(INDEX(_xlfn.UNIQUE(TRIM(_xlfn.TEXTSPLIT(Table2614256789[[#This Row],[Selection Options]:[Selection Options]],","))),,X$11),"")</f>
        <v/>
      </c>
      <c r="Y39" s="30" cm="1">
        <f t="array" ref="Y39">IF(Table2614256789[[#This Row],[1]]="","",Table2614256789[[#This Row],[Weight]:[Weight]]-(Table2614256789[[#This Row],[Weight]:[Weight]]*((_xlfn.XMATCH(Table2614256789[[#This Row],[1]],Table2614256789[[#This Row],[1]:[11]],0))-1)/(COUNTA(Table2614256789[[#This Row],[1]:[11]])-COUNTBLANK(Table2614256789[[#This Row],[1]:[11]])-1)))</f>
        <v>1.1479591836734693E-3</v>
      </c>
      <c r="Z39" s="30" cm="1">
        <f t="array" ref="Z39">IF(Table2614256789[[#This Row],[2]]="","",Table2614256789[[#This Row],[Weight]:[Weight]]-(Table2614256789[[#This Row],[Weight]:[Weight]]*((_xlfn.XMATCH(Table2614256789[[#This Row],[2]],Table2614256789[[#This Row],[1]:[11]],0))-1)/(COUNTA(Table2614256789[[#This Row],[1]:[11]])-COUNTBLANK(Table2614256789[[#This Row],[1]:[11]])-1)))</f>
        <v>8.6096938775510196E-4</v>
      </c>
      <c r="AA39" s="30" cm="1">
        <f t="array" ref="AA39">IF(Table2614256789[[#This Row],[3]]="","",Table2614256789[[#This Row],[Weight]:[Weight]]-(Table2614256789[[#This Row],[Weight]:[Weight]]*((_xlfn.XMATCH(Table2614256789[[#This Row],[3]],Table2614256789[[#This Row],[1]:[11]],0))-1)/(COUNTA(Table2614256789[[#This Row],[1]:[11]])-COUNTBLANK(Table2614256789[[#This Row],[1]:[11]])-1)))</f>
        <v>5.7397959183673464E-4</v>
      </c>
      <c r="AB39" s="30" cm="1">
        <f t="array" ref="AB39">IF(Table2614256789[[#This Row],[4]]="","",Table2614256789[[#This Row],[Weight]:[Weight]]-(Table2614256789[[#This Row],[Weight]:[Weight]]*((_xlfn.XMATCH(Table2614256789[[#This Row],[4]],Table2614256789[[#This Row],[1]:[11]],0))-1)/(COUNTA(Table2614256789[[#This Row],[1]:[11]])-COUNTBLANK(Table2614256789[[#This Row],[1]:[11]])-1)))</f>
        <v>2.8698979591836732E-4</v>
      </c>
      <c r="AC39" s="30" cm="1">
        <f t="array" ref="AC39">IF(Table2614256789[[#This Row],[5]]="","",Table2614256789[[#This Row],[Weight]:[Weight]]-(Table2614256789[[#This Row],[Weight]:[Weight]]*((_xlfn.XMATCH(Table2614256789[[#This Row],[5]],Table2614256789[[#This Row],[1]:[11]],0))-1)/(COUNTA(Table2614256789[[#This Row],[1]:[11]])-COUNTBLANK(Table2614256789[[#This Row],[1]:[11]])-1)))</f>
        <v>0</v>
      </c>
      <c r="AD39" s="30" t="str" cm="1">
        <f t="array" ref="AD39">IF(Table2614256789[[#This Row],[6]]="","",Table2614256789[[#This Row],[Weight]:[Weight]]-(Table2614256789[[#This Row],[Weight]:[Weight]]*((_xlfn.XMATCH(Table2614256789[[#This Row],[6]],Table2614256789[[#This Row],[1]:[11]],0))-1)/(COUNTA(Table2614256789[[#This Row],[1]:[11]])-COUNTBLANK(Table2614256789[[#This Row],[1]:[11]])-1)))</f>
        <v/>
      </c>
      <c r="AE39" s="30" t="str" cm="1">
        <f t="array" ref="AE39">IF(Table2614256789[[#This Row],[7]]="","",Table2614256789[[#This Row],[Weight]:[Weight]]-(Table2614256789[[#This Row],[Weight]:[Weight]]*((_xlfn.XMATCH(Table2614256789[[#This Row],[7]],Table2614256789[[#This Row],[1]:[11]],0))-1)/(COUNTA(Table2614256789[[#This Row],[1]:[11]])-COUNTBLANK(Table2614256789[[#This Row],[1]:[11]])-1)))</f>
        <v/>
      </c>
      <c r="AF39" s="30" t="str" cm="1">
        <f t="array" ref="AF39">IF(Table2614256789[[#This Row],[8]]="","",Table2614256789[[#This Row],[Weight]:[Weight]]-(Table2614256789[[#This Row],[Weight]:[Weight]]*((_xlfn.XMATCH(Table2614256789[[#This Row],[8]],Table2614256789[[#This Row],[1]:[11]],0))-1)/(COUNTA(Table2614256789[[#This Row],[1]:[11]])-COUNTBLANK(Table2614256789[[#This Row],[1]:[11]])-1)))</f>
        <v/>
      </c>
      <c r="AG39" s="30" t="str" cm="1">
        <f t="array" ref="AG39">IF(Table2614256789[[#This Row],[9]]="","",Table2614256789[[#This Row],[Weight]:[Weight]]-(Table2614256789[[#This Row],[Weight]:[Weight]]*((_xlfn.XMATCH(Table2614256789[[#This Row],[9]],Table2614256789[[#This Row],[1]:[11]],0))-1)/(COUNTA(Table2614256789[[#This Row],[1]:[11]])-COUNTBLANK(Table2614256789[[#This Row],[1]:[11]])-1)))</f>
        <v/>
      </c>
      <c r="AH39" s="30" t="str" cm="1">
        <f t="array" ref="AH39">IF(Table2614256789[[#This Row],[10]]="","",Table2614256789[[#This Row],[Weight]:[Weight]]-(Table2614256789[[#This Row],[Weight]:[Weight]]*((_xlfn.XMATCH(Table2614256789[[#This Row],[10]],Table2614256789[[#This Row],[1]:[11]],0))-1)/(COUNTA(Table2614256789[[#This Row],[1]:[11]])-COUNTBLANK(Table2614256789[[#This Row],[1]:[11]])-1)))</f>
        <v/>
      </c>
      <c r="AI39" s="30" t="str" cm="1">
        <f t="array" ref="AI39">IF(Table2614256789[[#This Row],[11]]="","",Table2614256789[[#This Row],[Weight]:[Weight]]-(Table2614256789[[#This Row],[Weight]:[Weight]]*((_xlfn.XMATCH(Table2614256789[[#This Row],[11]],Table2614256789[[#This Row],[1]:[11]],0))-1)/(COUNTA(Table2614256789[[#This Row],[1]:[11]])-COUNTBLANK(Table2614256789[[#This Row],[1]:[11]])-1)))</f>
        <v/>
      </c>
    </row>
    <row r="40" spans="1:35" ht="108" x14ac:dyDescent="0.2">
      <c r="A40" s="20">
        <v>28</v>
      </c>
      <c r="B40" s="90" t="s">
        <v>516</v>
      </c>
      <c r="C40" s="119" t="s">
        <v>215</v>
      </c>
      <c r="D40" s="153"/>
      <c r="E40" s="153"/>
      <c r="F40" s="121" t="s">
        <v>188</v>
      </c>
      <c r="G40" s="148" cm="1">
        <f t="array" ref="G40">_xlfn.IFS(F40="","",F40="No interest",0,F40="Nice to have",1,F40="Useful",2,F40="Important",3,F40="Very important",4,F40="Critical",5,F40="Show stopper",6)</f>
        <v>5</v>
      </c>
      <c r="H40" s="149">
        <f t="shared" si="1"/>
        <v>9.5663265306122447E-4</v>
      </c>
      <c r="I40" s="150" t="s">
        <v>321</v>
      </c>
      <c r="J40" s="35" t="str" cm="1">
        <f t="array" ref="J40">_xlfn.TEXTJOIN(","&amp;CHAR(10),,TEXT(Table2614256789[[#This Row],[12]:[22]],"0,00%"))</f>
        <v>0,00%,
0,00%,
0,00%,
0,00%,
0,00%</v>
      </c>
      <c r="K40" s="26"/>
      <c r="L40" s="27" t="e">
        <f>H40-(H40*((MATCH(Table2614256789[[#This Row],[Evaluators Response (SELECT)]],Table2614256789[[#This Row],[1]:[11]],0)-1)/(COUNTA(Table2614256789[[#This Row],[1]:[11]])-COUNTBLANK(Table2614256789[[#This Row],[1]:[11]])-1)))</f>
        <v>#N/A</v>
      </c>
      <c r="M40" s="28"/>
      <c r="N40" s="29" t="str" cm="1">
        <f t="array" ref="N40">IFERROR(INDEX(_xlfn.UNIQUE(TRIM(_xlfn.TEXTSPLIT(Table2614256789[[#This Row],[Selection Options]:[Selection Options]],","))),,N$11),"")</f>
        <v>100%: Supported as delivered "out of the box"</v>
      </c>
      <c r="O40" s="29" t="str" cm="1">
        <f t="array" ref="O40">IFERROR(INDEX(_xlfn.UNIQUE(TRIM(_xlfn.TEXTSPLIT(Table2614256789[[#This Row],[Selection Options]:[Selection Options]],","))),,O$11),"")</f>
        <v xml:space="preserve">
75%: Supported via modifications (config)</v>
      </c>
      <c r="P40" s="29" t="str" cm="1">
        <f t="array" ref="P40">IFERROR(INDEX(_xlfn.UNIQUE(TRIM(_xlfn.TEXTSPLIT(Table2614256789[[#This Row],[Selection Options]:[Selection Options]],","))),,P$11),"")</f>
        <v xml:space="preserve">
50%: Supported via a third party solution</v>
      </c>
      <c r="Q40" s="29" t="str" cm="1">
        <f t="array" ref="Q40">IFERROR(INDEX(_xlfn.UNIQUE(TRIM(_xlfn.TEXTSPLIT(Table2614256789[[#This Row],[Selection Options]:[Selection Options]],","))),,Q$11),"")</f>
        <v xml:space="preserve">
25%: Supported via customisation (source code changes)</v>
      </c>
      <c r="R40" s="29" t="str" cm="1">
        <f t="array" ref="R40">IFERROR(INDEX(_xlfn.UNIQUE(TRIM(_xlfn.TEXTSPLIT(Table2614256789[[#This Row],[Selection Options]:[Selection Options]],","))),,R$11),"")</f>
        <v xml:space="preserve">
 0%: Not currently supported</v>
      </c>
      <c r="S40" s="29" t="str" cm="1">
        <f t="array" ref="S40">IFERROR(INDEX(_xlfn.UNIQUE(TRIM(_xlfn.TEXTSPLIT(Table2614256789[[#This Row],[Selection Options]:[Selection Options]],","))),,S$11),"")</f>
        <v/>
      </c>
      <c r="T40" s="29" t="str" cm="1">
        <f t="array" ref="T40">IFERROR(INDEX(_xlfn.UNIQUE(TRIM(_xlfn.TEXTSPLIT(Table2614256789[[#This Row],[Selection Options]:[Selection Options]],","))),,T$11),"")</f>
        <v/>
      </c>
      <c r="U40" s="29" t="str" cm="1">
        <f t="array" ref="U40">IFERROR(INDEX(_xlfn.UNIQUE(TRIM(_xlfn.TEXTSPLIT(Table2614256789[[#This Row],[Selection Options]:[Selection Options]],","))),,U$11),"")</f>
        <v/>
      </c>
      <c r="V40" s="29" t="str" cm="1">
        <f t="array" ref="V40">IFERROR(INDEX(_xlfn.UNIQUE(TRIM(_xlfn.TEXTSPLIT(Table2614256789[[#This Row],[Selection Options]:[Selection Options]],","))),,V$11),"")</f>
        <v/>
      </c>
      <c r="W40" s="29" t="str" cm="1">
        <f t="array" ref="W40">IFERROR(INDEX(_xlfn.UNIQUE(TRIM(_xlfn.TEXTSPLIT(Table2614256789[[#This Row],[Selection Options]:[Selection Options]],","))),,W$11),"")</f>
        <v/>
      </c>
      <c r="X40" s="29" t="str" cm="1">
        <f t="array" ref="X40">IFERROR(INDEX(_xlfn.UNIQUE(TRIM(_xlfn.TEXTSPLIT(Table2614256789[[#This Row],[Selection Options]:[Selection Options]],","))),,X$11),"")</f>
        <v/>
      </c>
      <c r="Y40" s="30" cm="1">
        <f t="array" ref="Y40">IF(Table2614256789[[#This Row],[1]]="","",Table2614256789[[#This Row],[Weight]:[Weight]]-(Table2614256789[[#This Row],[Weight]:[Weight]]*((_xlfn.XMATCH(Table2614256789[[#This Row],[1]],Table2614256789[[#This Row],[1]:[11]],0))-1)/(COUNTA(Table2614256789[[#This Row],[1]:[11]])-COUNTBLANK(Table2614256789[[#This Row],[1]:[11]])-1)))</f>
        <v>9.5663265306122447E-4</v>
      </c>
      <c r="Z40" s="30" cm="1">
        <f t="array" ref="Z40">IF(Table2614256789[[#This Row],[2]]="","",Table2614256789[[#This Row],[Weight]:[Weight]]-(Table2614256789[[#This Row],[Weight]:[Weight]]*((_xlfn.XMATCH(Table2614256789[[#This Row],[2]],Table2614256789[[#This Row],[1]:[11]],0))-1)/(COUNTA(Table2614256789[[#This Row],[1]:[11]])-COUNTBLANK(Table2614256789[[#This Row],[1]:[11]])-1)))</f>
        <v>7.174744897959183E-4</v>
      </c>
      <c r="AA40" s="30" cm="1">
        <f t="array" ref="AA40">IF(Table2614256789[[#This Row],[3]]="","",Table2614256789[[#This Row],[Weight]:[Weight]]-(Table2614256789[[#This Row],[Weight]:[Weight]]*((_xlfn.XMATCH(Table2614256789[[#This Row],[3]],Table2614256789[[#This Row],[1]:[11]],0))-1)/(COUNTA(Table2614256789[[#This Row],[1]:[11]])-COUNTBLANK(Table2614256789[[#This Row],[1]:[11]])-1)))</f>
        <v>4.7831632653061223E-4</v>
      </c>
      <c r="AB40" s="30" cm="1">
        <f t="array" ref="AB40">IF(Table2614256789[[#This Row],[4]]="","",Table2614256789[[#This Row],[Weight]:[Weight]]-(Table2614256789[[#This Row],[Weight]:[Weight]]*((_xlfn.XMATCH(Table2614256789[[#This Row],[4]],Table2614256789[[#This Row],[1]:[11]],0))-1)/(COUNTA(Table2614256789[[#This Row],[1]:[11]])-COUNTBLANK(Table2614256789[[#This Row],[1]:[11]])-1)))</f>
        <v>2.3915816326530617E-4</v>
      </c>
      <c r="AC40" s="30" cm="1">
        <f t="array" ref="AC40">IF(Table2614256789[[#This Row],[5]]="","",Table2614256789[[#This Row],[Weight]:[Weight]]-(Table2614256789[[#This Row],[Weight]:[Weight]]*((_xlfn.XMATCH(Table2614256789[[#This Row],[5]],Table2614256789[[#This Row],[1]:[11]],0))-1)/(COUNTA(Table2614256789[[#This Row],[1]:[11]])-COUNTBLANK(Table2614256789[[#This Row],[1]:[11]])-1)))</f>
        <v>0</v>
      </c>
      <c r="AD40" s="30" t="str" cm="1">
        <f t="array" ref="AD40">IF(Table2614256789[[#This Row],[6]]="","",Table2614256789[[#This Row],[Weight]:[Weight]]-(Table2614256789[[#This Row],[Weight]:[Weight]]*((_xlfn.XMATCH(Table2614256789[[#This Row],[6]],Table2614256789[[#This Row],[1]:[11]],0))-1)/(COUNTA(Table2614256789[[#This Row],[1]:[11]])-COUNTBLANK(Table2614256789[[#This Row],[1]:[11]])-1)))</f>
        <v/>
      </c>
      <c r="AE40" s="30" t="str" cm="1">
        <f t="array" ref="AE40">IF(Table2614256789[[#This Row],[7]]="","",Table2614256789[[#This Row],[Weight]:[Weight]]-(Table2614256789[[#This Row],[Weight]:[Weight]]*((_xlfn.XMATCH(Table2614256789[[#This Row],[7]],Table2614256789[[#This Row],[1]:[11]],0))-1)/(COUNTA(Table2614256789[[#This Row],[1]:[11]])-COUNTBLANK(Table2614256789[[#This Row],[1]:[11]])-1)))</f>
        <v/>
      </c>
      <c r="AF40" s="30" t="str" cm="1">
        <f t="array" ref="AF40">IF(Table2614256789[[#This Row],[8]]="","",Table2614256789[[#This Row],[Weight]:[Weight]]-(Table2614256789[[#This Row],[Weight]:[Weight]]*((_xlfn.XMATCH(Table2614256789[[#This Row],[8]],Table2614256789[[#This Row],[1]:[11]],0))-1)/(COUNTA(Table2614256789[[#This Row],[1]:[11]])-COUNTBLANK(Table2614256789[[#This Row],[1]:[11]])-1)))</f>
        <v/>
      </c>
      <c r="AG40" s="30" t="str" cm="1">
        <f t="array" ref="AG40">IF(Table2614256789[[#This Row],[9]]="","",Table2614256789[[#This Row],[Weight]:[Weight]]-(Table2614256789[[#This Row],[Weight]:[Weight]]*((_xlfn.XMATCH(Table2614256789[[#This Row],[9]],Table2614256789[[#This Row],[1]:[11]],0))-1)/(COUNTA(Table2614256789[[#This Row],[1]:[11]])-COUNTBLANK(Table2614256789[[#This Row],[1]:[11]])-1)))</f>
        <v/>
      </c>
      <c r="AH40" s="30" t="str" cm="1">
        <f t="array" ref="AH40">IF(Table2614256789[[#This Row],[10]]="","",Table2614256789[[#This Row],[Weight]:[Weight]]-(Table2614256789[[#This Row],[Weight]:[Weight]]*((_xlfn.XMATCH(Table2614256789[[#This Row],[10]],Table2614256789[[#This Row],[1]:[11]],0))-1)/(COUNTA(Table2614256789[[#This Row],[1]:[11]])-COUNTBLANK(Table2614256789[[#This Row],[1]:[11]])-1)))</f>
        <v/>
      </c>
      <c r="AI40" s="30" t="str" cm="1">
        <f t="array" ref="AI40">IF(Table2614256789[[#This Row],[11]]="","",Table2614256789[[#This Row],[Weight]:[Weight]]-(Table2614256789[[#This Row],[Weight]:[Weight]]*((_xlfn.XMATCH(Table2614256789[[#This Row],[11]],Table2614256789[[#This Row],[1]:[11]],0))-1)/(COUNTA(Table2614256789[[#This Row],[1]:[11]])-COUNTBLANK(Table2614256789[[#This Row],[1]:[11]])-1)))</f>
        <v/>
      </c>
    </row>
    <row r="41" spans="1:35" ht="108" x14ac:dyDescent="0.2">
      <c r="A41" s="20">
        <v>29</v>
      </c>
      <c r="B41" s="90" t="s">
        <v>517</v>
      </c>
      <c r="C41" s="119" t="s">
        <v>215</v>
      </c>
      <c r="D41" s="153"/>
      <c r="E41" s="153"/>
      <c r="F41" s="121" t="s">
        <v>60</v>
      </c>
      <c r="G41" s="148" cm="1">
        <f t="array" ref="G41">_xlfn.IFS(F41="","",F41="No interest",0,F41="Nice to have",1,F41="Useful",2,F41="Important",3,F41="Very important",4,F41="Critical",5,F41="Show stopper",6)</f>
        <v>6</v>
      </c>
      <c r="H41" s="149">
        <f t="shared" si="1"/>
        <v>1.1479591836734693E-3</v>
      </c>
      <c r="I41" s="150" t="s">
        <v>321</v>
      </c>
      <c r="J41" s="35" t="str" cm="1">
        <f t="array" ref="J41">_xlfn.TEXTJOIN(","&amp;CHAR(10),,TEXT(Table2614256789[[#This Row],[12]:[22]],"0,00%"))</f>
        <v>0,00%,
0,00%,
0,00%,
0,00%,
0,00%</v>
      </c>
      <c r="K41" s="26"/>
      <c r="L41" s="27" t="e">
        <f>H41-(H41*((MATCH(Table2614256789[[#This Row],[Evaluators Response (SELECT)]],Table2614256789[[#This Row],[1]:[11]],0)-1)/(COUNTA(Table2614256789[[#This Row],[1]:[11]])-COUNTBLANK(Table2614256789[[#This Row],[1]:[11]])-1)))</f>
        <v>#N/A</v>
      </c>
      <c r="M41" s="28"/>
      <c r="N41" s="29" t="str" cm="1">
        <f t="array" ref="N41">IFERROR(INDEX(_xlfn.UNIQUE(TRIM(_xlfn.TEXTSPLIT(Table2614256789[[#This Row],[Selection Options]:[Selection Options]],","))),,N$11),"")</f>
        <v>100%: Supported as delivered "out of the box"</v>
      </c>
      <c r="O41" s="29" t="str" cm="1">
        <f t="array" ref="O41">IFERROR(INDEX(_xlfn.UNIQUE(TRIM(_xlfn.TEXTSPLIT(Table2614256789[[#This Row],[Selection Options]:[Selection Options]],","))),,O$11),"")</f>
        <v xml:space="preserve">
75%: Supported via modifications (config)</v>
      </c>
      <c r="P41" s="29" t="str" cm="1">
        <f t="array" ref="P41">IFERROR(INDEX(_xlfn.UNIQUE(TRIM(_xlfn.TEXTSPLIT(Table2614256789[[#This Row],[Selection Options]:[Selection Options]],","))),,P$11),"")</f>
        <v xml:space="preserve">
50%: Supported via a third party solution</v>
      </c>
      <c r="Q41" s="29" t="str" cm="1">
        <f t="array" ref="Q41">IFERROR(INDEX(_xlfn.UNIQUE(TRIM(_xlfn.TEXTSPLIT(Table2614256789[[#This Row],[Selection Options]:[Selection Options]],","))),,Q$11),"")</f>
        <v xml:space="preserve">
25%: Supported via customisation (source code changes)</v>
      </c>
      <c r="R41" s="29" t="str" cm="1">
        <f t="array" ref="R41">IFERROR(INDEX(_xlfn.UNIQUE(TRIM(_xlfn.TEXTSPLIT(Table2614256789[[#This Row],[Selection Options]:[Selection Options]],","))),,R$11),"")</f>
        <v xml:space="preserve">
 0%: Not currently supported</v>
      </c>
      <c r="S41" s="29" t="str" cm="1">
        <f t="array" ref="S41">IFERROR(INDEX(_xlfn.UNIQUE(TRIM(_xlfn.TEXTSPLIT(Table2614256789[[#This Row],[Selection Options]:[Selection Options]],","))),,S$11),"")</f>
        <v/>
      </c>
      <c r="T41" s="29" t="str" cm="1">
        <f t="array" ref="T41">IFERROR(INDEX(_xlfn.UNIQUE(TRIM(_xlfn.TEXTSPLIT(Table2614256789[[#This Row],[Selection Options]:[Selection Options]],","))),,T$11),"")</f>
        <v/>
      </c>
      <c r="U41" s="29" t="str" cm="1">
        <f t="array" ref="U41">IFERROR(INDEX(_xlfn.UNIQUE(TRIM(_xlfn.TEXTSPLIT(Table2614256789[[#This Row],[Selection Options]:[Selection Options]],","))),,U$11),"")</f>
        <v/>
      </c>
      <c r="V41" s="29" t="str" cm="1">
        <f t="array" ref="V41">IFERROR(INDEX(_xlfn.UNIQUE(TRIM(_xlfn.TEXTSPLIT(Table2614256789[[#This Row],[Selection Options]:[Selection Options]],","))),,V$11),"")</f>
        <v/>
      </c>
      <c r="W41" s="29" t="str" cm="1">
        <f t="array" ref="W41">IFERROR(INDEX(_xlfn.UNIQUE(TRIM(_xlfn.TEXTSPLIT(Table2614256789[[#This Row],[Selection Options]:[Selection Options]],","))),,W$11),"")</f>
        <v/>
      </c>
      <c r="X41" s="29" t="str" cm="1">
        <f t="array" ref="X41">IFERROR(INDEX(_xlfn.UNIQUE(TRIM(_xlfn.TEXTSPLIT(Table2614256789[[#This Row],[Selection Options]:[Selection Options]],","))),,X$11),"")</f>
        <v/>
      </c>
      <c r="Y41" s="30" cm="1">
        <f t="array" ref="Y41">IF(Table2614256789[[#This Row],[1]]="","",Table2614256789[[#This Row],[Weight]:[Weight]]-(Table2614256789[[#This Row],[Weight]:[Weight]]*((_xlfn.XMATCH(Table2614256789[[#This Row],[1]],Table2614256789[[#This Row],[1]:[11]],0))-1)/(COUNTA(Table2614256789[[#This Row],[1]:[11]])-COUNTBLANK(Table2614256789[[#This Row],[1]:[11]])-1)))</f>
        <v>1.1479591836734693E-3</v>
      </c>
      <c r="Z41" s="30" cm="1">
        <f t="array" ref="Z41">IF(Table2614256789[[#This Row],[2]]="","",Table2614256789[[#This Row],[Weight]:[Weight]]-(Table2614256789[[#This Row],[Weight]:[Weight]]*((_xlfn.XMATCH(Table2614256789[[#This Row],[2]],Table2614256789[[#This Row],[1]:[11]],0))-1)/(COUNTA(Table2614256789[[#This Row],[1]:[11]])-COUNTBLANK(Table2614256789[[#This Row],[1]:[11]])-1)))</f>
        <v>8.6096938775510196E-4</v>
      </c>
      <c r="AA41" s="30" cm="1">
        <f t="array" ref="AA41">IF(Table2614256789[[#This Row],[3]]="","",Table2614256789[[#This Row],[Weight]:[Weight]]-(Table2614256789[[#This Row],[Weight]:[Weight]]*((_xlfn.XMATCH(Table2614256789[[#This Row],[3]],Table2614256789[[#This Row],[1]:[11]],0))-1)/(COUNTA(Table2614256789[[#This Row],[1]:[11]])-COUNTBLANK(Table2614256789[[#This Row],[1]:[11]])-1)))</f>
        <v>5.7397959183673464E-4</v>
      </c>
      <c r="AB41" s="30" cm="1">
        <f t="array" ref="AB41">IF(Table2614256789[[#This Row],[4]]="","",Table2614256789[[#This Row],[Weight]:[Weight]]-(Table2614256789[[#This Row],[Weight]:[Weight]]*((_xlfn.XMATCH(Table2614256789[[#This Row],[4]],Table2614256789[[#This Row],[1]:[11]],0))-1)/(COUNTA(Table2614256789[[#This Row],[1]:[11]])-COUNTBLANK(Table2614256789[[#This Row],[1]:[11]])-1)))</f>
        <v>2.8698979591836732E-4</v>
      </c>
      <c r="AC41" s="30" cm="1">
        <f t="array" ref="AC41">IF(Table2614256789[[#This Row],[5]]="","",Table2614256789[[#This Row],[Weight]:[Weight]]-(Table2614256789[[#This Row],[Weight]:[Weight]]*((_xlfn.XMATCH(Table2614256789[[#This Row],[5]],Table2614256789[[#This Row],[1]:[11]],0))-1)/(COUNTA(Table2614256789[[#This Row],[1]:[11]])-COUNTBLANK(Table2614256789[[#This Row],[1]:[11]])-1)))</f>
        <v>0</v>
      </c>
      <c r="AD41" s="30" t="str" cm="1">
        <f t="array" ref="AD41">IF(Table2614256789[[#This Row],[6]]="","",Table2614256789[[#This Row],[Weight]:[Weight]]-(Table2614256789[[#This Row],[Weight]:[Weight]]*((_xlfn.XMATCH(Table2614256789[[#This Row],[6]],Table2614256789[[#This Row],[1]:[11]],0))-1)/(COUNTA(Table2614256789[[#This Row],[1]:[11]])-COUNTBLANK(Table2614256789[[#This Row],[1]:[11]])-1)))</f>
        <v/>
      </c>
      <c r="AE41" s="30" t="str" cm="1">
        <f t="array" ref="AE41">IF(Table2614256789[[#This Row],[7]]="","",Table2614256789[[#This Row],[Weight]:[Weight]]-(Table2614256789[[#This Row],[Weight]:[Weight]]*((_xlfn.XMATCH(Table2614256789[[#This Row],[7]],Table2614256789[[#This Row],[1]:[11]],0))-1)/(COUNTA(Table2614256789[[#This Row],[1]:[11]])-COUNTBLANK(Table2614256789[[#This Row],[1]:[11]])-1)))</f>
        <v/>
      </c>
      <c r="AF41" s="30" t="str" cm="1">
        <f t="array" ref="AF41">IF(Table2614256789[[#This Row],[8]]="","",Table2614256789[[#This Row],[Weight]:[Weight]]-(Table2614256789[[#This Row],[Weight]:[Weight]]*((_xlfn.XMATCH(Table2614256789[[#This Row],[8]],Table2614256789[[#This Row],[1]:[11]],0))-1)/(COUNTA(Table2614256789[[#This Row],[1]:[11]])-COUNTBLANK(Table2614256789[[#This Row],[1]:[11]])-1)))</f>
        <v/>
      </c>
      <c r="AG41" s="30" t="str" cm="1">
        <f t="array" ref="AG41">IF(Table2614256789[[#This Row],[9]]="","",Table2614256789[[#This Row],[Weight]:[Weight]]-(Table2614256789[[#This Row],[Weight]:[Weight]]*((_xlfn.XMATCH(Table2614256789[[#This Row],[9]],Table2614256789[[#This Row],[1]:[11]],0))-1)/(COUNTA(Table2614256789[[#This Row],[1]:[11]])-COUNTBLANK(Table2614256789[[#This Row],[1]:[11]])-1)))</f>
        <v/>
      </c>
      <c r="AH41" s="30" t="str" cm="1">
        <f t="array" ref="AH41">IF(Table2614256789[[#This Row],[10]]="","",Table2614256789[[#This Row],[Weight]:[Weight]]-(Table2614256789[[#This Row],[Weight]:[Weight]]*((_xlfn.XMATCH(Table2614256789[[#This Row],[10]],Table2614256789[[#This Row],[1]:[11]],0))-1)/(COUNTA(Table2614256789[[#This Row],[1]:[11]])-COUNTBLANK(Table2614256789[[#This Row],[1]:[11]])-1)))</f>
        <v/>
      </c>
      <c r="AI41" s="30" t="str" cm="1">
        <f t="array" ref="AI41">IF(Table2614256789[[#This Row],[11]]="","",Table2614256789[[#This Row],[Weight]:[Weight]]-(Table2614256789[[#This Row],[Weight]:[Weight]]*((_xlfn.XMATCH(Table2614256789[[#This Row],[11]],Table2614256789[[#This Row],[1]:[11]],0))-1)/(COUNTA(Table2614256789[[#This Row],[1]:[11]])-COUNTBLANK(Table2614256789[[#This Row],[1]:[11]])-1)))</f>
        <v/>
      </c>
    </row>
    <row r="42" spans="1:35" ht="108" x14ac:dyDescent="0.2">
      <c r="A42" s="20">
        <v>30</v>
      </c>
      <c r="B42" s="90" t="s">
        <v>518</v>
      </c>
      <c r="C42" s="119" t="s">
        <v>215</v>
      </c>
      <c r="D42" s="153"/>
      <c r="E42" s="153"/>
      <c r="F42" s="121" t="s">
        <v>60</v>
      </c>
      <c r="G42" s="148" cm="1">
        <f t="array" ref="G42">_xlfn.IFS(F42="","",F42="No interest",0,F42="Nice to have",1,F42="Useful",2,F42="Important",3,F42="Very important",4,F42="Critical",5,F42="Show stopper",6)</f>
        <v>6</v>
      </c>
      <c r="H42" s="149">
        <f t="shared" si="1"/>
        <v>1.1479591836734693E-3</v>
      </c>
      <c r="I42" s="150" t="s">
        <v>321</v>
      </c>
      <c r="J42" s="35" t="str" cm="1">
        <f t="array" ref="J42">_xlfn.TEXTJOIN(","&amp;CHAR(10),,TEXT(Table2614256789[[#This Row],[12]:[22]],"0,00%"))</f>
        <v>0,00%,
0,00%,
0,00%,
0,00%,
0,00%</v>
      </c>
      <c r="K42" s="26"/>
      <c r="L42" s="27" t="e">
        <f>H42-(H42*((MATCH(Table2614256789[[#This Row],[Evaluators Response (SELECT)]],Table2614256789[[#This Row],[1]:[11]],0)-1)/(COUNTA(Table2614256789[[#This Row],[1]:[11]])-COUNTBLANK(Table2614256789[[#This Row],[1]:[11]])-1)))</f>
        <v>#N/A</v>
      </c>
      <c r="M42" s="28"/>
      <c r="N42" s="29" t="str" cm="1">
        <f t="array" ref="N42">IFERROR(INDEX(_xlfn.UNIQUE(TRIM(_xlfn.TEXTSPLIT(Table2614256789[[#This Row],[Selection Options]:[Selection Options]],","))),,N$11),"")</f>
        <v>100%: Supported as delivered "out of the box"</v>
      </c>
      <c r="O42" s="29" t="str" cm="1">
        <f t="array" ref="O42">IFERROR(INDEX(_xlfn.UNIQUE(TRIM(_xlfn.TEXTSPLIT(Table2614256789[[#This Row],[Selection Options]:[Selection Options]],","))),,O$11),"")</f>
        <v xml:space="preserve">
75%: Supported via modifications (config)</v>
      </c>
      <c r="P42" s="29" t="str" cm="1">
        <f t="array" ref="P42">IFERROR(INDEX(_xlfn.UNIQUE(TRIM(_xlfn.TEXTSPLIT(Table2614256789[[#This Row],[Selection Options]:[Selection Options]],","))),,P$11),"")</f>
        <v xml:space="preserve">
50%: Supported via a third party solution</v>
      </c>
      <c r="Q42" s="29" t="str" cm="1">
        <f t="array" ref="Q42">IFERROR(INDEX(_xlfn.UNIQUE(TRIM(_xlfn.TEXTSPLIT(Table2614256789[[#This Row],[Selection Options]:[Selection Options]],","))),,Q$11),"")</f>
        <v xml:space="preserve">
25%: Supported via customisation (source code changes)</v>
      </c>
      <c r="R42" s="29" t="str" cm="1">
        <f t="array" ref="R42">IFERROR(INDEX(_xlfn.UNIQUE(TRIM(_xlfn.TEXTSPLIT(Table2614256789[[#This Row],[Selection Options]:[Selection Options]],","))),,R$11),"")</f>
        <v xml:space="preserve">
 0%: Not currently supported</v>
      </c>
      <c r="S42" s="29" t="str" cm="1">
        <f t="array" ref="S42">IFERROR(INDEX(_xlfn.UNIQUE(TRIM(_xlfn.TEXTSPLIT(Table2614256789[[#This Row],[Selection Options]:[Selection Options]],","))),,S$11),"")</f>
        <v/>
      </c>
      <c r="T42" s="29" t="str" cm="1">
        <f t="array" ref="T42">IFERROR(INDEX(_xlfn.UNIQUE(TRIM(_xlfn.TEXTSPLIT(Table2614256789[[#This Row],[Selection Options]:[Selection Options]],","))),,T$11),"")</f>
        <v/>
      </c>
      <c r="U42" s="29" t="str" cm="1">
        <f t="array" ref="U42">IFERROR(INDEX(_xlfn.UNIQUE(TRIM(_xlfn.TEXTSPLIT(Table2614256789[[#This Row],[Selection Options]:[Selection Options]],","))),,U$11),"")</f>
        <v/>
      </c>
      <c r="V42" s="29" t="str" cm="1">
        <f t="array" ref="V42">IFERROR(INDEX(_xlfn.UNIQUE(TRIM(_xlfn.TEXTSPLIT(Table2614256789[[#This Row],[Selection Options]:[Selection Options]],","))),,V$11),"")</f>
        <v/>
      </c>
      <c r="W42" s="29" t="str" cm="1">
        <f t="array" ref="W42">IFERROR(INDEX(_xlfn.UNIQUE(TRIM(_xlfn.TEXTSPLIT(Table2614256789[[#This Row],[Selection Options]:[Selection Options]],","))),,W$11),"")</f>
        <v/>
      </c>
      <c r="X42" s="29" t="str" cm="1">
        <f t="array" ref="X42">IFERROR(INDEX(_xlfn.UNIQUE(TRIM(_xlfn.TEXTSPLIT(Table2614256789[[#This Row],[Selection Options]:[Selection Options]],","))),,X$11),"")</f>
        <v/>
      </c>
      <c r="Y42" s="30" cm="1">
        <f t="array" ref="Y42">IF(Table2614256789[[#This Row],[1]]="","",Table2614256789[[#This Row],[Weight]:[Weight]]-(Table2614256789[[#This Row],[Weight]:[Weight]]*((_xlfn.XMATCH(Table2614256789[[#This Row],[1]],Table2614256789[[#This Row],[1]:[11]],0))-1)/(COUNTA(Table2614256789[[#This Row],[1]:[11]])-COUNTBLANK(Table2614256789[[#This Row],[1]:[11]])-1)))</f>
        <v>1.1479591836734693E-3</v>
      </c>
      <c r="Z42" s="30" cm="1">
        <f t="array" ref="Z42">IF(Table2614256789[[#This Row],[2]]="","",Table2614256789[[#This Row],[Weight]:[Weight]]-(Table2614256789[[#This Row],[Weight]:[Weight]]*((_xlfn.XMATCH(Table2614256789[[#This Row],[2]],Table2614256789[[#This Row],[1]:[11]],0))-1)/(COUNTA(Table2614256789[[#This Row],[1]:[11]])-COUNTBLANK(Table2614256789[[#This Row],[1]:[11]])-1)))</f>
        <v>8.6096938775510196E-4</v>
      </c>
      <c r="AA42" s="30" cm="1">
        <f t="array" ref="AA42">IF(Table2614256789[[#This Row],[3]]="","",Table2614256789[[#This Row],[Weight]:[Weight]]-(Table2614256789[[#This Row],[Weight]:[Weight]]*((_xlfn.XMATCH(Table2614256789[[#This Row],[3]],Table2614256789[[#This Row],[1]:[11]],0))-1)/(COUNTA(Table2614256789[[#This Row],[1]:[11]])-COUNTBLANK(Table2614256789[[#This Row],[1]:[11]])-1)))</f>
        <v>5.7397959183673464E-4</v>
      </c>
      <c r="AB42" s="30" cm="1">
        <f t="array" ref="AB42">IF(Table2614256789[[#This Row],[4]]="","",Table2614256789[[#This Row],[Weight]:[Weight]]-(Table2614256789[[#This Row],[Weight]:[Weight]]*((_xlfn.XMATCH(Table2614256789[[#This Row],[4]],Table2614256789[[#This Row],[1]:[11]],0))-1)/(COUNTA(Table2614256789[[#This Row],[1]:[11]])-COUNTBLANK(Table2614256789[[#This Row],[1]:[11]])-1)))</f>
        <v>2.8698979591836732E-4</v>
      </c>
      <c r="AC42" s="30" cm="1">
        <f t="array" ref="AC42">IF(Table2614256789[[#This Row],[5]]="","",Table2614256789[[#This Row],[Weight]:[Weight]]-(Table2614256789[[#This Row],[Weight]:[Weight]]*((_xlfn.XMATCH(Table2614256789[[#This Row],[5]],Table2614256789[[#This Row],[1]:[11]],0))-1)/(COUNTA(Table2614256789[[#This Row],[1]:[11]])-COUNTBLANK(Table2614256789[[#This Row],[1]:[11]])-1)))</f>
        <v>0</v>
      </c>
      <c r="AD42" s="30" t="str" cm="1">
        <f t="array" ref="AD42">IF(Table2614256789[[#This Row],[6]]="","",Table2614256789[[#This Row],[Weight]:[Weight]]-(Table2614256789[[#This Row],[Weight]:[Weight]]*((_xlfn.XMATCH(Table2614256789[[#This Row],[6]],Table2614256789[[#This Row],[1]:[11]],0))-1)/(COUNTA(Table2614256789[[#This Row],[1]:[11]])-COUNTBLANK(Table2614256789[[#This Row],[1]:[11]])-1)))</f>
        <v/>
      </c>
      <c r="AE42" s="30" t="str" cm="1">
        <f t="array" ref="AE42">IF(Table2614256789[[#This Row],[7]]="","",Table2614256789[[#This Row],[Weight]:[Weight]]-(Table2614256789[[#This Row],[Weight]:[Weight]]*((_xlfn.XMATCH(Table2614256789[[#This Row],[7]],Table2614256789[[#This Row],[1]:[11]],0))-1)/(COUNTA(Table2614256789[[#This Row],[1]:[11]])-COUNTBLANK(Table2614256789[[#This Row],[1]:[11]])-1)))</f>
        <v/>
      </c>
      <c r="AF42" s="30" t="str" cm="1">
        <f t="array" ref="AF42">IF(Table2614256789[[#This Row],[8]]="","",Table2614256789[[#This Row],[Weight]:[Weight]]-(Table2614256789[[#This Row],[Weight]:[Weight]]*((_xlfn.XMATCH(Table2614256789[[#This Row],[8]],Table2614256789[[#This Row],[1]:[11]],0))-1)/(COUNTA(Table2614256789[[#This Row],[1]:[11]])-COUNTBLANK(Table2614256789[[#This Row],[1]:[11]])-1)))</f>
        <v/>
      </c>
      <c r="AG42" s="30" t="str" cm="1">
        <f t="array" ref="AG42">IF(Table2614256789[[#This Row],[9]]="","",Table2614256789[[#This Row],[Weight]:[Weight]]-(Table2614256789[[#This Row],[Weight]:[Weight]]*((_xlfn.XMATCH(Table2614256789[[#This Row],[9]],Table2614256789[[#This Row],[1]:[11]],0))-1)/(COUNTA(Table2614256789[[#This Row],[1]:[11]])-COUNTBLANK(Table2614256789[[#This Row],[1]:[11]])-1)))</f>
        <v/>
      </c>
      <c r="AH42" s="30" t="str" cm="1">
        <f t="array" ref="AH42">IF(Table2614256789[[#This Row],[10]]="","",Table2614256789[[#This Row],[Weight]:[Weight]]-(Table2614256789[[#This Row],[Weight]:[Weight]]*((_xlfn.XMATCH(Table2614256789[[#This Row],[10]],Table2614256789[[#This Row],[1]:[11]],0))-1)/(COUNTA(Table2614256789[[#This Row],[1]:[11]])-COUNTBLANK(Table2614256789[[#This Row],[1]:[11]])-1)))</f>
        <v/>
      </c>
      <c r="AI42" s="30" t="str" cm="1">
        <f t="array" ref="AI42">IF(Table2614256789[[#This Row],[11]]="","",Table2614256789[[#This Row],[Weight]:[Weight]]-(Table2614256789[[#This Row],[Weight]:[Weight]]*((_xlfn.XMATCH(Table2614256789[[#This Row],[11]],Table2614256789[[#This Row],[1]:[11]],0))-1)/(COUNTA(Table2614256789[[#This Row],[1]:[11]])-COUNTBLANK(Table2614256789[[#This Row],[1]:[11]])-1)))</f>
        <v/>
      </c>
    </row>
    <row r="43" spans="1:35" ht="156" x14ac:dyDescent="0.2">
      <c r="A43" s="20">
        <v>31</v>
      </c>
      <c r="B43" s="90" t="s">
        <v>519</v>
      </c>
      <c r="C43" s="119" t="s">
        <v>215</v>
      </c>
      <c r="D43" s="153"/>
      <c r="E43" s="153"/>
      <c r="F43" s="121" t="s">
        <v>60</v>
      </c>
      <c r="G43" s="148" cm="1">
        <f t="array" ref="G43">_xlfn.IFS(F43="","",F43="No interest",0,F43="Nice to have",1,F43="Useful",2,F43="Important",3,F43="Very important",4,F43="Critical",5,F43="Show stopper",6)</f>
        <v>6</v>
      </c>
      <c r="H43" s="149">
        <f t="shared" si="1"/>
        <v>1.1479591836734693E-3</v>
      </c>
      <c r="I43" s="150" t="s">
        <v>321</v>
      </c>
      <c r="J43" s="35" t="str" cm="1">
        <f t="array" ref="J43">_xlfn.TEXTJOIN(","&amp;CHAR(10),,TEXT(Table2614256789[[#This Row],[12]:[22]],"0,00%"))</f>
        <v>0,00%,
0,00%,
0,00%,
0,00%,
0,00%</v>
      </c>
      <c r="K43" s="26"/>
      <c r="L43" s="27" t="e">
        <f>H43-(H43*((MATCH(Table2614256789[[#This Row],[Evaluators Response (SELECT)]],Table2614256789[[#This Row],[1]:[11]],0)-1)/(COUNTA(Table2614256789[[#This Row],[1]:[11]])-COUNTBLANK(Table2614256789[[#This Row],[1]:[11]])-1)))</f>
        <v>#N/A</v>
      </c>
      <c r="M43" s="28"/>
      <c r="N43" s="29" t="str" cm="1">
        <f t="array" ref="N43">IFERROR(INDEX(_xlfn.UNIQUE(TRIM(_xlfn.TEXTSPLIT(Table2614256789[[#This Row],[Selection Options]:[Selection Options]],","))),,N$11),"")</f>
        <v>100%: Supported as delivered "out of the box"</v>
      </c>
      <c r="O43" s="29" t="str" cm="1">
        <f t="array" ref="O43">IFERROR(INDEX(_xlfn.UNIQUE(TRIM(_xlfn.TEXTSPLIT(Table2614256789[[#This Row],[Selection Options]:[Selection Options]],","))),,O$11),"")</f>
        <v xml:space="preserve">
75%: Supported via modifications (config)</v>
      </c>
      <c r="P43" s="29" t="str" cm="1">
        <f t="array" ref="P43">IFERROR(INDEX(_xlfn.UNIQUE(TRIM(_xlfn.TEXTSPLIT(Table2614256789[[#This Row],[Selection Options]:[Selection Options]],","))),,P$11),"")</f>
        <v xml:space="preserve">
50%: Supported via a third party solution</v>
      </c>
      <c r="Q43" s="29" t="str" cm="1">
        <f t="array" ref="Q43">IFERROR(INDEX(_xlfn.UNIQUE(TRIM(_xlfn.TEXTSPLIT(Table2614256789[[#This Row],[Selection Options]:[Selection Options]],","))),,Q$11),"")</f>
        <v xml:space="preserve">
25%: Supported via customisation (source code changes)</v>
      </c>
      <c r="R43" s="29" t="str" cm="1">
        <f t="array" ref="R43">IFERROR(INDEX(_xlfn.UNIQUE(TRIM(_xlfn.TEXTSPLIT(Table2614256789[[#This Row],[Selection Options]:[Selection Options]],","))),,R$11),"")</f>
        <v xml:space="preserve">
 0%: Not currently supported</v>
      </c>
      <c r="S43" s="29" t="str" cm="1">
        <f t="array" ref="S43">IFERROR(INDEX(_xlfn.UNIQUE(TRIM(_xlfn.TEXTSPLIT(Table2614256789[[#This Row],[Selection Options]:[Selection Options]],","))),,S$11),"")</f>
        <v/>
      </c>
      <c r="T43" s="29" t="str" cm="1">
        <f t="array" ref="T43">IFERROR(INDEX(_xlfn.UNIQUE(TRIM(_xlfn.TEXTSPLIT(Table2614256789[[#This Row],[Selection Options]:[Selection Options]],","))),,T$11),"")</f>
        <v/>
      </c>
      <c r="U43" s="29" t="str" cm="1">
        <f t="array" ref="U43">IFERROR(INDEX(_xlfn.UNIQUE(TRIM(_xlfn.TEXTSPLIT(Table2614256789[[#This Row],[Selection Options]:[Selection Options]],","))),,U$11),"")</f>
        <v/>
      </c>
      <c r="V43" s="29" t="str" cm="1">
        <f t="array" ref="V43">IFERROR(INDEX(_xlfn.UNIQUE(TRIM(_xlfn.TEXTSPLIT(Table2614256789[[#This Row],[Selection Options]:[Selection Options]],","))),,V$11),"")</f>
        <v/>
      </c>
      <c r="W43" s="29" t="str" cm="1">
        <f t="array" ref="W43">IFERROR(INDEX(_xlfn.UNIQUE(TRIM(_xlfn.TEXTSPLIT(Table2614256789[[#This Row],[Selection Options]:[Selection Options]],","))),,W$11),"")</f>
        <v/>
      </c>
      <c r="X43" s="29" t="str" cm="1">
        <f t="array" ref="X43">IFERROR(INDEX(_xlfn.UNIQUE(TRIM(_xlfn.TEXTSPLIT(Table2614256789[[#This Row],[Selection Options]:[Selection Options]],","))),,X$11),"")</f>
        <v/>
      </c>
      <c r="Y43" s="30" cm="1">
        <f t="array" ref="Y43">IF(Table2614256789[[#This Row],[1]]="","",Table2614256789[[#This Row],[Weight]:[Weight]]-(Table2614256789[[#This Row],[Weight]:[Weight]]*((_xlfn.XMATCH(Table2614256789[[#This Row],[1]],Table2614256789[[#This Row],[1]:[11]],0))-1)/(COUNTA(Table2614256789[[#This Row],[1]:[11]])-COUNTBLANK(Table2614256789[[#This Row],[1]:[11]])-1)))</f>
        <v>1.1479591836734693E-3</v>
      </c>
      <c r="Z43" s="30" cm="1">
        <f t="array" ref="Z43">IF(Table2614256789[[#This Row],[2]]="","",Table2614256789[[#This Row],[Weight]:[Weight]]-(Table2614256789[[#This Row],[Weight]:[Weight]]*((_xlfn.XMATCH(Table2614256789[[#This Row],[2]],Table2614256789[[#This Row],[1]:[11]],0))-1)/(COUNTA(Table2614256789[[#This Row],[1]:[11]])-COUNTBLANK(Table2614256789[[#This Row],[1]:[11]])-1)))</f>
        <v>8.6096938775510196E-4</v>
      </c>
      <c r="AA43" s="30" cm="1">
        <f t="array" ref="AA43">IF(Table2614256789[[#This Row],[3]]="","",Table2614256789[[#This Row],[Weight]:[Weight]]-(Table2614256789[[#This Row],[Weight]:[Weight]]*((_xlfn.XMATCH(Table2614256789[[#This Row],[3]],Table2614256789[[#This Row],[1]:[11]],0))-1)/(COUNTA(Table2614256789[[#This Row],[1]:[11]])-COUNTBLANK(Table2614256789[[#This Row],[1]:[11]])-1)))</f>
        <v>5.7397959183673464E-4</v>
      </c>
      <c r="AB43" s="30" cm="1">
        <f t="array" ref="AB43">IF(Table2614256789[[#This Row],[4]]="","",Table2614256789[[#This Row],[Weight]:[Weight]]-(Table2614256789[[#This Row],[Weight]:[Weight]]*((_xlfn.XMATCH(Table2614256789[[#This Row],[4]],Table2614256789[[#This Row],[1]:[11]],0))-1)/(COUNTA(Table2614256789[[#This Row],[1]:[11]])-COUNTBLANK(Table2614256789[[#This Row],[1]:[11]])-1)))</f>
        <v>2.8698979591836732E-4</v>
      </c>
      <c r="AC43" s="30" cm="1">
        <f t="array" ref="AC43">IF(Table2614256789[[#This Row],[5]]="","",Table2614256789[[#This Row],[Weight]:[Weight]]-(Table2614256789[[#This Row],[Weight]:[Weight]]*((_xlfn.XMATCH(Table2614256789[[#This Row],[5]],Table2614256789[[#This Row],[1]:[11]],0))-1)/(COUNTA(Table2614256789[[#This Row],[1]:[11]])-COUNTBLANK(Table2614256789[[#This Row],[1]:[11]])-1)))</f>
        <v>0</v>
      </c>
      <c r="AD43" s="30" t="str" cm="1">
        <f t="array" ref="AD43">IF(Table2614256789[[#This Row],[6]]="","",Table2614256789[[#This Row],[Weight]:[Weight]]-(Table2614256789[[#This Row],[Weight]:[Weight]]*((_xlfn.XMATCH(Table2614256789[[#This Row],[6]],Table2614256789[[#This Row],[1]:[11]],0))-1)/(COUNTA(Table2614256789[[#This Row],[1]:[11]])-COUNTBLANK(Table2614256789[[#This Row],[1]:[11]])-1)))</f>
        <v/>
      </c>
      <c r="AE43" s="30" t="str" cm="1">
        <f t="array" ref="AE43">IF(Table2614256789[[#This Row],[7]]="","",Table2614256789[[#This Row],[Weight]:[Weight]]-(Table2614256789[[#This Row],[Weight]:[Weight]]*((_xlfn.XMATCH(Table2614256789[[#This Row],[7]],Table2614256789[[#This Row],[1]:[11]],0))-1)/(COUNTA(Table2614256789[[#This Row],[1]:[11]])-COUNTBLANK(Table2614256789[[#This Row],[1]:[11]])-1)))</f>
        <v/>
      </c>
      <c r="AF43" s="30" t="str" cm="1">
        <f t="array" ref="AF43">IF(Table2614256789[[#This Row],[8]]="","",Table2614256789[[#This Row],[Weight]:[Weight]]-(Table2614256789[[#This Row],[Weight]:[Weight]]*((_xlfn.XMATCH(Table2614256789[[#This Row],[8]],Table2614256789[[#This Row],[1]:[11]],0))-1)/(COUNTA(Table2614256789[[#This Row],[1]:[11]])-COUNTBLANK(Table2614256789[[#This Row],[1]:[11]])-1)))</f>
        <v/>
      </c>
      <c r="AG43" s="30" t="str" cm="1">
        <f t="array" ref="AG43">IF(Table2614256789[[#This Row],[9]]="","",Table2614256789[[#This Row],[Weight]:[Weight]]-(Table2614256789[[#This Row],[Weight]:[Weight]]*((_xlfn.XMATCH(Table2614256789[[#This Row],[9]],Table2614256789[[#This Row],[1]:[11]],0))-1)/(COUNTA(Table2614256789[[#This Row],[1]:[11]])-COUNTBLANK(Table2614256789[[#This Row],[1]:[11]])-1)))</f>
        <v/>
      </c>
      <c r="AH43" s="30" t="str" cm="1">
        <f t="array" ref="AH43">IF(Table2614256789[[#This Row],[10]]="","",Table2614256789[[#This Row],[Weight]:[Weight]]-(Table2614256789[[#This Row],[Weight]:[Weight]]*((_xlfn.XMATCH(Table2614256789[[#This Row],[10]],Table2614256789[[#This Row],[1]:[11]],0))-1)/(COUNTA(Table2614256789[[#This Row],[1]:[11]])-COUNTBLANK(Table2614256789[[#This Row],[1]:[11]])-1)))</f>
        <v/>
      </c>
      <c r="AI43" s="30" t="str" cm="1">
        <f t="array" ref="AI43">IF(Table2614256789[[#This Row],[11]]="","",Table2614256789[[#This Row],[Weight]:[Weight]]-(Table2614256789[[#This Row],[Weight]:[Weight]]*((_xlfn.XMATCH(Table2614256789[[#This Row],[11]],Table2614256789[[#This Row],[1]:[11]],0))-1)/(COUNTA(Table2614256789[[#This Row],[1]:[11]])-COUNTBLANK(Table2614256789[[#This Row],[1]:[11]])-1)))</f>
        <v/>
      </c>
    </row>
    <row r="44" spans="1:35" ht="108" x14ac:dyDescent="0.2">
      <c r="A44" s="20">
        <v>32</v>
      </c>
      <c r="B44" s="90" t="s">
        <v>520</v>
      </c>
      <c r="C44" s="119" t="s">
        <v>215</v>
      </c>
      <c r="D44" s="153"/>
      <c r="E44" s="153"/>
      <c r="F44" s="121" t="s">
        <v>60</v>
      </c>
      <c r="G44" s="148" cm="1">
        <f t="array" ref="G44">_xlfn.IFS(F44="","",F44="No interest",0,F44="Nice to have",1,F44="Useful",2,F44="Important",3,F44="Very important",4,F44="Critical",5,F44="Show stopper",6)</f>
        <v>6</v>
      </c>
      <c r="H44" s="149">
        <f t="shared" si="1"/>
        <v>1.1479591836734693E-3</v>
      </c>
      <c r="I44" s="150" t="s">
        <v>321</v>
      </c>
      <c r="J44" s="35" t="str" cm="1">
        <f t="array" ref="J44">_xlfn.TEXTJOIN(","&amp;CHAR(10),,TEXT(Table2614256789[[#This Row],[12]:[22]],"0,00%"))</f>
        <v>0,00%,
0,00%,
0,00%,
0,00%,
0,00%</v>
      </c>
      <c r="K44" s="26"/>
      <c r="L44" s="27" t="e">
        <f>H44-(H44*((MATCH(Table2614256789[[#This Row],[Evaluators Response (SELECT)]],Table2614256789[[#This Row],[1]:[11]],0)-1)/(COUNTA(Table2614256789[[#This Row],[1]:[11]])-COUNTBLANK(Table2614256789[[#This Row],[1]:[11]])-1)))</f>
        <v>#N/A</v>
      </c>
      <c r="M44" s="28"/>
      <c r="N44" s="29" t="str" cm="1">
        <f t="array" ref="N44">IFERROR(INDEX(_xlfn.UNIQUE(TRIM(_xlfn.TEXTSPLIT(Table2614256789[[#This Row],[Selection Options]:[Selection Options]],","))),,N$11),"")</f>
        <v>100%: Supported as delivered "out of the box"</v>
      </c>
      <c r="O44" s="29" t="str" cm="1">
        <f t="array" ref="O44">IFERROR(INDEX(_xlfn.UNIQUE(TRIM(_xlfn.TEXTSPLIT(Table2614256789[[#This Row],[Selection Options]:[Selection Options]],","))),,O$11),"")</f>
        <v xml:space="preserve">
75%: Supported via modifications (config)</v>
      </c>
      <c r="P44" s="29" t="str" cm="1">
        <f t="array" ref="P44">IFERROR(INDEX(_xlfn.UNIQUE(TRIM(_xlfn.TEXTSPLIT(Table2614256789[[#This Row],[Selection Options]:[Selection Options]],","))),,P$11),"")</f>
        <v xml:space="preserve">
50%: Supported via a third party solution</v>
      </c>
      <c r="Q44" s="29" t="str" cm="1">
        <f t="array" ref="Q44">IFERROR(INDEX(_xlfn.UNIQUE(TRIM(_xlfn.TEXTSPLIT(Table2614256789[[#This Row],[Selection Options]:[Selection Options]],","))),,Q$11),"")</f>
        <v xml:space="preserve">
25%: Supported via customisation (source code changes)</v>
      </c>
      <c r="R44" s="29" t="str" cm="1">
        <f t="array" ref="R44">IFERROR(INDEX(_xlfn.UNIQUE(TRIM(_xlfn.TEXTSPLIT(Table2614256789[[#This Row],[Selection Options]:[Selection Options]],","))),,R$11),"")</f>
        <v xml:space="preserve">
 0%: Not currently supported</v>
      </c>
      <c r="S44" s="29" t="str" cm="1">
        <f t="array" ref="S44">IFERROR(INDEX(_xlfn.UNIQUE(TRIM(_xlfn.TEXTSPLIT(Table2614256789[[#This Row],[Selection Options]:[Selection Options]],","))),,S$11),"")</f>
        <v/>
      </c>
      <c r="T44" s="29" t="str" cm="1">
        <f t="array" ref="T44">IFERROR(INDEX(_xlfn.UNIQUE(TRIM(_xlfn.TEXTSPLIT(Table2614256789[[#This Row],[Selection Options]:[Selection Options]],","))),,T$11),"")</f>
        <v/>
      </c>
      <c r="U44" s="29" t="str" cm="1">
        <f t="array" ref="U44">IFERROR(INDEX(_xlfn.UNIQUE(TRIM(_xlfn.TEXTSPLIT(Table2614256789[[#This Row],[Selection Options]:[Selection Options]],","))),,U$11),"")</f>
        <v/>
      </c>
      <c r="V44" s="29" t="str" cm="1">
        <f t="array" ref="V44">IFERROR(INDEX(_xlfn.UNIQUE(TRIM(_xlfn.TEXTSPLIT(Table2614256789[[#This Row],[Selection Options]:[Selection Options]],","))),,V$11),"")</f>
        <v/>
      </c>
      <c r="W44" s="29" t="str" cm="1">
        <f t="array" ref="W44">IFERROR(INDEX(_xlfn.UNIQUE(TRIM(_xlfn.TEXTSPLIT(Table2614256789[[#This Row],[Selection Options]:[Selection Options]],","))),,W$11),"")</f>
        <v/>
      </c>
      <c r="X44" s="29" t="str" cm="1">
        <f t="array" ref="X44">IFERROR(INDEX(_xlfn.UNIQUE(TRIM(_xlfn.TEXTSPLIT(Table2614256789[[#This Row],[Selection Options]:[Selection Options]],","))),,X$11),"")</f>
        <v/>
      </c>
      <c r="Y44" s="30" cm="1">
        <f t="array" ref="Y44">IF(Table2614256789[[#This Row],[1]]="","",Table2614256789[[#This Row],[Weight]:[Weight]]-(Table2614256789[[#This Row],[Weight]:[Weight]]*((_xlfn.XMATCH(Table2614256789[[#This Row],[1]],Table2614256789[[#This Row],[1]:[11]],0))-1)/(COUNTA(Table2614256789[[#This Row],[1]:[11]])-COUNTBLANK(Table2614256789[[#This Row],[1]:[11]])-1)))</f>
        <v>1.1479591836734693E-3</v>
      </c>
      <c r="Z44" s="30" cm="1">
        <f t="array" ref="Z44">IF(Table2614256789[[#This Row],[2]]="","",Table2614256789[[#This Row],[Weight]:[Weight]]-(Table2614256789[[#This Row],[Weight]:[Weight]]*((_xlfn.XMATCH(Table2614256789[[#This Row],[2]],Table2614256789[[#This Row],[1]:[11]],0))-1)/(COUNTA(Table2614256789[[#This Row],[1]:[11]])-COUNTBLANK(Table2614256789[[#This Row],[1]:[11]])-1)))</f>
        <v>8.6096938775510196E-4</v>
      </c>
      <c r="AA44" s="30" cm="1">
        <f t="array" ref="AA44">IF(Table2614256789[[#This Row],[3]]="","",Table2614256789[[#This Row],[Weight]:[Weight]]-(Table2614256789[[#This Row],[Weight]:[Weight]]*((_xlfn.XMATCH(Table2614256789[[#This Row],[3]],Table2614256789[[#This Row],[1]:[11]],0))-1)/(COUNTA(Table2614256789[[#This Row],[1]:[11]])-COUNTBLANK(Table2614256789[[#This Row],[1]:[11]])-1)))</f>
        <v>5.7397959183673464E-4</v>
      </c>
      <c r="AB44" s="30" cm="1">
        <f t="array" ref="AB44">IF(Table2614256789[[#This Row],[4]]="","",Table2614256789[[#This Row],[Weight]:[Weight]]-(Table2614256789[[#This Row],[Weight]:[Weight]]*((_xlfn.XMATCH(Table2614256789[[#This Row],[4]],Table2614256789[[#This Row],[1]:[11]],0))-1)/(COUNTA(Table2614256789[[#This Row],[1]:[11]])-COUNTBLANK(Table2614256789[[#This Row],[1]:[11]])-1)))</f>
        <v>2.8698979591836732E-4</v>
      </c>
      <c r="AC44" s="30" cm="1">
        <f t="array" ref="AC44">IF(Table2614256789[[#This Row],[5]]="","",Table2614256789[[#This Row],[Weight]:[Weight]]-(Table2614256789[[#This Row],[Weight]:[Weight]]*((_xlfn.XMATCH(Table2614256789[[#This Row],[5]],Table2614256789[[#This Row],[1]:[11]],0))-1)/(COUNTA(Table2614256789[[#This Row],[1]:[11]])-COUNTBLANK(Table2614256789[[#This Row],[1]:[11]])-1)))</f>
        <v>0</v>
      </c>
      <c r="AD44" s="30" t="str" cm="1">
        <f t="array" ref="AD44">IF(Table2614256789[[#This Row],[6]]="","",Table2614256789[[#This Row],[Weight]:[Weight]]-(Table2614256789[[#This Row],[Weight]:[Weight]]*((_xlfn.XMATCH(Table2614256789[[#This Row],[6]],Table2614256789[[#This Row],[1]:[11]],0))-1)/(COUNTA(Table2614256789[[#This Row],[1]:[11]])-COUNTBLANK(Table2614256789[[#This Row],[1]:[11]])-1)))</f>
        <v/>
      </c>
      <c r="AE44" s="30" t="str" cm="1">
        <f t="array" ref="AE44">IF(Table2614256789[[#This Row],[7]]="","",Table2614256789[[#This Row],[Weight]:[Weight]]-(Table2614256789[[#This Row],[Weight]:[Weight]]*((_xlfn.XMATCH(Table2614256789[[#This Row],[7]],Table2614256789[[#This Row],[1]:[11]],0))-1)/(COUNTA(Table2614256789[[#This Row],[1]:[11]])-COUNTBLANK(Table2614256789[[#This Row],[1]:[11]])-1)))</f>
        <v/>
      </c>
      <c r="AF44" s="30" t="str" cm="1">
        <f t="array" ref="AF44">IF(Table2614256789[[#This Row],[8]]="","",Table2614256789[[#This Row],[Weight]:[Weight]]-(Table2614256789[[#This Row],[Weight]:[Weight]]*((_xlfn.XMATCH(Table2614256789[[#This Row],[8]],Table2614256789[[#This Row],[1]:[11]],0))-1)/(COUNTA(Table2614256789[[#This Row],[1]:[11]])-COUNTBLANK(Table2614256789[[#This Row],[1]:[11]])-1)))</f>
        <v/>
      </c>
      <c r="AG44" s="30" t="str" cm="1">
        <f t="array" ref="AG44">IF(Table2614256789[[#This Row],[9]]="","",Table2614256789[[#This Row],[Weight]:[Weight]]-(Table2614256789[[#This Row],[Weight]:[Weight]]*((_xlfn.XMATCH(Table2614256789[[#This Row],[9]],Table2614256789[[#This Row],[1]:[11]],0))-1)/(COUNTA(Table2614256789[[#This Row],[1]:[11]])-COUNTBLANK(Table2614256789[[#This Row],[1]:[11]])-1)))</f>
        <v/>
      </c>
      <c r="AH44" s="30" t="str" cm="1">
        <f t="array" ref="AH44">IF(Table2614256789[[#This Row],[10]]="","",Table2614256789[[#This Row],[Weight]:[Weight]]-(Table2614256789[[#This Row],[Weight]:[Weight]]*((_xlfn.XMATCH(Table2614256789[[#This Row],[10]],Table2614256789[[#This Row],[1]:[11]],0))-1)/(COUNTA(Table2614256789[[#This Row],[1]:[11]])-COUNTBLANK(Table2614256789[[#This Row],[1]:[11]])-1)))</f>
        <v/>
      </c>
      <c r="AI44" s="30" t="str" cm="1">
        <f t="array" ref="AI44">IF(Table2614256789[[#This Row],[11]]="","",Table2614256789[[#This Row],[Weight]:[Weight]]-(Table2614256789[[#This Row],[Weight]:[Weight]]*((_xlfn.XMATCH(Table2614256789[[#This Row],[11]],Table2614256789[[#This Row],[1]:[11]],0))-1)/(COUNTA(Table2614256789[[#This Row],[1]:[11]])-COUNTBLANK(Table2614256789[[#This Row],[1]:[11]])-1)))</f>
        <v/>
      </c>
    </row>
    <row r="45" spans="1:35" ht="108" x14ac:dyDescent="0.2">
      <c r="A45" s="20">
        <v>33</v>
      </c>
      <c r="B45" s="90" t="s">
        <v>521</v>
      </c>
      <c r="C45" s="119" t="s">
        <v>215</v>
      </c>
      <c r="D45" s="153"/>
      <c r="E45" s="153"/>
      <c r="F45" s="121" t="s">
        <v>60</v>
      </c>
      <c r="G45" s="148" cm="1">
        <f t="array" ref="G45">_xlfn.IFS(F45="","",F45="No interest",0,F45="Nice to have",1,F45="Useful",2,F45="Important",3,F45="Very important",4,F45="Critical",5,F45="Show stopper",6)</f>
        <v>6</v>
      </c>
      <c r="H45" s="149">
        <f t="shared" si="1"/>
        <v>1.1479591836734693E-3</v>
      </c>
      <c r="I45" s="150" t="s">
        <v>321</v>
      </c>
      <c r="J45" s="35" t="str" cm="1">
        <f t="array" ref="J45">_xlfn.TEXTJOIN(","&amp;CHAR(10),,TEXT(Table2614256789[[#This Row],[12]:[22]],"0,00%"))</f>
        <v>0,00%,
0,00%,
0,00%,
0,00%,
0,00%</v>
      </c>
      <c r="K45" s="26"/>
      <c r="L45" s="27" t="e">
        <f>H45-(H45*((MATCH(Table2614256789[[#This Row],[Evaluators Response (SELECT)]],Table2614256789[[#This Row],[1]:[11]],0)-1)/(COUNTA(Table2614256789[[#This Row],[1]:[11]])-COUNTBLANK(Table2614256789[[#This Row],[1]:[11]])-1)))</f>
        <v>#N/A</v>
      </c>
      <c r="M45" s="28"/>
      <c r="N45" s="29" t="str" cm="1">
        <f t="array" ref="N45">IFERROR(INDEX(_xlfn.UNIQUE(TRIM(_xlfn.TEXTSPLIT(Table2614256789[[#This Row],[Selection Options]:[Selection Options]],","))),,N$11),"")</f>
        <v>100%: Supported as delivered "out of the box"</v>
      </c>
      <c r="O45" s="29" t="str" cm="1">
        <f t="array" ref="O45">IFERROR(INDEX(_xlfn.UNIQUE(TRIM(_xlfn.TEXTSPLIT(Table2614256789[[#This Row],[Selection Options]:[Selection Options]],","))),,O$11),"")</f>
        <v xml:space="preserve">
75%: Supported via modifications (config)</v>
      </c>
      <c r="P45" s="29" t="str" cm="1">
        <f t="array" ref="P45">IFERROR(INDEX(_xlfn.UNIQUE(TRIM(_xlfn.TEXTSPLIT(Table2614256789[[#This Row],[Selection Options]:[Selection Options]],","))),,P$11),"")</f>
        <v xml:space="preserve">
50%: Supported via a third party solution</v>
      </c>
      <c r="Q45" s="29" t="str" cm="1">
        <f t="array" ref="Q45">IFERROR(INDEX(_xlfn.UNIQUE(TRIM(_xlfn.TEXTSPLIT(Table2614256789[[#This Row],[Selection Options]:[Selection Options]],","))),,Q$11),"")</f>
        <v xml:space="preserve">
25%: Supported via customisation (source code changes)</v>
      </c>
      <c r="R45" s="29" t="str" cm="1">
        <f t="array" ref="R45">IFERROR(INDEX(_xlfn.UNIQUE(TRIM(_xlfn.TEXTSPLIT(Table2614256789[[#This Row],[Selection Options]:[Selection Options]],","))),,R$11),"")</f>
        <v xml:space="preserve">
 0%: Not currently supported</v>
      </c>
      <c r="S45" s="29" t="str" cm="1">
        <f t="array" ref="S45">IFERROR(INDEX(_xlfn.UNIQUE(TRIM(_xlfn.TEXTSPLIT(Table2614256789[[#This Row],[Selection Options]:[Selection Options]],","))),,S$11),"")</f>
        <v/>
      </c>
      <c r="T45" s="29" t="str" cm="1">
        <f t="array" ref="T45">IFERROR(INDEX(_xlfn.UNIQUE(TRIM(_xlfn.TEXTSPLIT(Table2614256789[[#This Row],[Selection Options]:[Selection Options]],","))),,T$11),"")</f>
        <v/>
      </c>
      <c r="U45" s="29" t="str" cm="1">
        <f t="array" ref="U45">IFERROR(INDEX(_xlfn.UNIQUE(TRIM(_xlfn.TEXTSPLIT(Table2614256789[[#This Row],[Selection Options]:[Selection Options]],","))),,U$11),"")</f>
        <v/>
      </c>
      <c r="V45" s="29" t="str" cm="1">
        <f t="array" ref="V45">IFERROR(INDEX(_xlfn.UNIQUE(TRIM(_xlfn.TEXTSPLIT(Table2614256789[[#This Row],[Selection Options]:[Selection Options]],","))),,V$11),"")</f>
        <v/>
      </c>
      <c r="W45" s="29" t="str" cm="1">
        <f t="array" ref="W45">IFERROR(INDEX(_xlfn.UNIQUE(TRIM(_xlfn.TEXTSPLIT(Table2614256789[[#This Row],[Selection Options]:[Selection Options]],","))),,W$11),"")</f>
        <v/>
      </c>
      <c r="X45" s="29" t="str" cm="1">
        <f t="array" ref="X45">IFERROR(INDEX(_xlfn.UNIQUE(TRIM(_xlfn.TEXTSPLIT(Table2614256789[[#This Row],[Selection Options]:[Selection Options]],","))),,X$11),"")</f>
        <v/>
      </c>
      <c r="Y45" s="30" cm="1">
        <f t="array" ref="Y45">IF(Table2614256789[[#This Row],[1]]="","",Table2614256789[[#This Row],[Weight]:[Weight]]-(Table2614256789[[#This Row],[Weight]:[Weight]]*((_xlfn.XMATCH(Table2614256789[[#This Row],[1]],Table2614256789[[#This Row],[1]:[11]],0))-1)/(COUNTA(Table2614256789[[#This Row],[1]:[11]])-COUNTBLANK(Table2614256789[[#This Row],[1]:[11]])-1)))</f>
        <v>1.1479591836734693E-3</v>
      </c>
      <c r="Z45" s="30" cm="1">
        <f t="array" ref="Z45">IF(Table2614256789[[#This Row],[2]]="","",Table2614256789[[#This Row],[Weight]:[Weight]]-(Table2614256789[[#This Row],[Weight]:[Weight]]*((_xlfn.XMATCH(Table2614256789[[#This Row],[2]],Table2614256789[[#This Row],[1]:[11]],0))-1)/(COUNTA(Table2614256789[[#This Row],[1]:[11]])-COUNTBLANK(Table2614256789[[#This Row],[1]:[11]])-1)))</f>
        <v>8.6096938775510196E-4</v>
      </c>
      <c r="AA45" s="30" cm="1">
        <f t="array" ref="AA45">IF(Table2614256789[[#This Row],[3]]="","",Table2614256789[[#This Row],[Weight]:[Weight]]-(Table2614256789[[#This Row],[Weight]:[Weight]]*((_xlfn.XMATCH(Table2614256789[[#This Row],[3]],Table2614256789[[#This Row],[1]:[11]],0))-1)/(COUNTA(Table2614256789[[#This Row],[1]:[11]])-COUNTBLANK(Table2614256789[[#This Row],[1]:[11]])-1)))</f>
        <v>5.7397959183673464E-4</v>
      </c>
      <c r="AB45" s="30" cm="1">
        <f t="array" ref="AB45">IF(Table2614256789[[#This Row],[4]]="","",Table2614256789[[#This Row],[Weight]:[Weight]]-(Table2614256789[[#This Row],[Weight]:[Weight]]*((_xlfn.XMATCH(Table2614256789[[#This Row],[4]],Table2614256789[[#This Row],[1]:[11]],0))-1)/(COUNTA(Table2614256789[[#This Row],[1]:[11]])-COUNTBLANK(Table2614256789[[#This Row],[1]:[11]])-1)))</f>
        <v>2.8698979591836732E-4</v>
      </c>
      <c r="AC45" s="30" cm="1">
        <f t="array" ref="AC45">IF(Table2614256789[[#This Row],[5]]="","",Table2614256789[[#This Row],[Weight]:[Weight]]-(Table2614256789[[#This Row],[Weight]:[Weight]]*((_xlfn.XMATCH(Table2614256789[[#This Row],[5]],Table2614256789[[#This Row],[1]:[11]],0))-1)/(COUNTA(Table2614256789[[#This Row],[1]:[11]])-COUNTBLANK(Table2614256789[[#This Row],[1]:[11]])-1)))</f>
        <v>0</v>
      </c>
      <c r="AD45" s="30" t="str" cm="1">
        <f t="array" ref="AD45">IF(Table2614256789[[#This Row],[6]]="","",Table2614256789[[#This Row],[Weight]:[Weight]]-(Table2614256789[[#This Row],[Weight]:[Weight]]*((_xlfn.XMATCH(Table2614256789[[#This Row],[6]],Table2614256789[[#This Row],[1]:[11]],0))-1)/(COUNTA(Table2614256789[[#This Row],[1]:[11]])-COUNTBLANK(Table2614256789[[#This Row],[1]:[11]])-1)))</f>
        <v/>
      </c>
      <c r="AE45" s="30" t="str" cm="1">
        <f t="array" ref="AE45">IF(Table2614256789[[#This Row],[7]]="","",Table2614256789[[#This Row],[Weight]:[Weight]]-(Table2614256789[[#This Row],[Weight]:[Weight]]*((_xlfn.XMATCH(Table2614256789[[#This Row],[7]],Table2614256789[[#This Row],[1]:[11]],0))-1)/(COUNTA(Table2614256789[[#This Row],[1]:[11]])-COUNTBLANK(Table2614256789[[#This Row],[1]:[11]])-1)))</f>
        <v/>
      </c>
      <c r="AF45" s="30" t="str" cm="1">
        <f t="array" ref="AF45">IF(Table2614256789[[#This Row],[8]]="","",Table2614256789[[#This Row],[Weight]:[Weight]]-(Table2614256789[[#This Row],[Weight]:[Weight]]*((_xlfn.XMATCH(Table2614256789[[#This Row],[8]],Table2614256789[[#This Row],[1]:[11]],0))-1)/(COUNTA(Table2614256789[[#This Row],[1]:[11]])-COUNTBLANK(Table2614256789[[#This Row],[1]:[11]])-1)))</f>
        <v/>
      </c>
      <c r="AG45" s="30" t="str" cm="1">
        <f t="array" ref="AG45">IF(Table2614256789[[#This Row],[9]]="","",Table2614256789[[#This Row],[Weight]:[Weight]]-(Table2614256789[[#This Row],[Weight]:[Weight]]*((_xlfn.XMATCH(Table2614256789[[#This Row],[9]],Table2614256789[[#This Row],[1]:[11]],0))-1)/(COUNTA(Table2614256789[[#This Row],[1]:[11]])-COUNTBLANK(Table2614256789[[#This Row],[1]:[11]])-1)))</f>
        <v/>
      </c>
      <c r="AH45" s="30" t="str" cm="1">
        <f t="array" ref="AH45">IF(Table2614256789[[#This Row],[10]]="","",Table2614256789[[#This Row],[Weight]:[Weight]]-(Table2614256789[[#This Row],[Weight]:[Weight]]*((_xlfn.XMATCH(Table2614256789[[#This Row],[10]],Table2614256789[[#This Row],[1]:[11]],0))-1)/(COUNTA(Table2614256789[[#This Row],[1]:[11]])-COUNTBLANK(Table2614256789[[#This Row],[1]:[11]])-1)))</f>
        <v/>
      </c>
      <c r="AI45" s="30" t="str" cm="1">
        <f t="array" ref="AI45">IF(Table2614256789[[#This Row],[11]]="","",Table2614256789[[#This Row],[Weight]:[Weight]]-(Table2614256789[[#This Row],[Weight]:[Weight]]*((_xlfn.XMATCH(Table2614256789[[#This Row],[11]],Table2614256789[[#This Row],[1]:[11]],0))-1)/(COUNTA(Table2614256789[[#This Row],[1]:[11]])-COUNTBLANK(Table2614256789[[#This Row],[1]:[11]])-1)))</f>
        <v/>
      </c>
    </row>
    <row r="46" spans="1:35" ht="108" x14ac:dyDescent="0.2">
      <c r="A46" s="20">
        <v>34</v>
      </c>
      <c r="B46" s="90" t="s">
        <v>522</v>
      </c>
      <c r="C46" s="119" t="s">
        <v>215</v>
      </c>
      <c r="D46" s="153"/>
      <c r="E46" s="153"/>
      <c r="F46" s="121" t="s">
        <v>60</v>
      </c>
      <c r="G46" s="148" cm="1">
        <f t="array" ref="G46">_xlfn.IFS(F46="","",F46="No interest",0,F46="Nice to have",1,F46="Useful",2,F46="Important",3,F46="Very important",4,F46="Critical",5,F46="Show stopper",6)</f>
        <v>6</v>
      </c>
      <c r="H46" s="149">
        <f t="shared" si="1"/>
        <v>1.1479591836734693E-3</v>
      </c>
      <c r="I46" s="150" t="s">
        <v>321</v>
      </c>
      <c r="J46" s="35" t="str" cm="1">
        <f t="array" ref="J46">_xlfn.TEXTJOIN(","&amp;CHAR(10),,TEXT(Table2614256789[[#This Row],[12]:[22]],"0,00%"))</f>
        <v>0,00%,
0,00%,
0,00%,
0,00%,
0,00%</v>
      </c>
      <c r="K46" s="26"/>
      <c r="L46" s="27" t="e">
        <f>H46-(H46*((MATCH(Table2614256789[[#This Row],[Evaluators Response (SELECT)]],Table2614256789[[#This Row],[1]:[11]],0)-1)/(COUNTA(Table2614256789[[#This Row],[1]:[11]])-COUNTBLANK(Table2614256789[[#This Row],[1]:[11]])-1)))</f>
        <v>#N/A</v>
      </c>
      <c r="M46" s="28"/>
      <c r="N46" s="29" t="str" cm="1">
        <f t="array" ref="N46">IFERROR(INDEX(_xlfn.UNIQUE(TRIM(_xlfn.TEXTSPLIT(Table2614256789[[#This Row],[Selection Options]:[Selection Options]],","))),,N$11),"")</f>
        <v>100%: Supported as delivered "out of the box"</v>
      </c>
      <c r="O46" s="29" t="str" cm="1">
        <f t="array" ref="O46">IFERROR(INDEX(_xlfn.UNIQUE(TRIM(_xlfn.TEXTSPLIT(Table2614256789[[#This Row],[Selection Options]:[Selection Options]],","))),,O$11),"")</f>
        <v xml:space="preserve">
75%: Supported via modifications (config)</v>
      </c>
      <c r="P46" s="29" t="str" cm="1">
        <f t="array" ref="P46">IFERROR(INDEX(_xlfn.UNIQUE(TRIM(_xlfn.TEXTSPLIT(Table2614256789[[#This Row],[Selection Options]:[Selection Options]],","))),,P$11),"")</f>
        <v xml:space="preserve">
50%: Supported via a third party solution</v>
      </c>
      <c r="Q46" s="29" t="str" cm="1">
        <f t="array" ref="Q46">IFERROR(INDEX(_xlfn.UNIQUE(TRIM(_xlfn.TEXTSPLIT(Table2614256789[[#This Row],[Selection Options]:[Selection Options]],","))),,Q$11),"")</f>
        <v xml:space="preserve">
25%: Supported via customisation (source code changes)</v>
      </c>
      <c r="R46" s="29" t="str" cm="1">
        <f t="array" ref="R46">IFERROR(INDEX(_xlfn.UNIQUE(TRIM(_xlfn.TEXTSPLIT(Table2614256789[[#This Row],[Selection Options]:[Selection Options]],","))),,R$11),"")</f>
        <v xml:space="preserve">
 0%: Not currently supported</v>
      </c>
      <c r="S46" s="29" t="str" cm="1">
        <f t="array" ref="S46">IFERROR(INDEX(_xlfn.UNIQUE(TRIM(_xlfn.TEXTSPLIT(Table2614256789[[#This Row],[Selection Options]:[Selection Options]],","))),,S$11),"")</f>
        <v/>
      </c>
      <c r="T46" s="29" t="str" cm="1">
        <f t="array" ref="T46">IFERROR(INDEX(_xlfn.UNIQUE(TRIM(_xlfn.TEXTSPLIT(Table2614256789[[#This Row],[Selection Options]:[Selection Options]],","))),,T$11),"")</f>
        <v/>
      </c>
      <c r="U46" s="29" t="str" cm="1">
        <f t="array" ref="U46">IFERROR(INDEX(_xlfn.UNIQUE(TRIM(_xlfn.TEXTSPLIT(Table2614256789[[#This Row],[Selection Options]:[Selection Options]],","))),,U$11),"")</f>
        <v/>
      </c>
      <c r="V46" s="29" t="str" cm="1">
        <f t="array" ref="V46">IFERROR(INDEX(_xlfn.UNIQUE(TRIM(_xlfn.TEXTSPLIT(Table2614256789[[#This Row],[Selection Options]:[Selection Options]],","))),,V$11),"")</f>
        <v/>
      </c>
      <c r="W46" s="29" t="str" cm="1">
        <f t="array" ref="W46">IFERROR(INDEX(_xlfn.UNIQUE(TRIM(_xlfn.TEXTSPLIT(Table2614256789[[#This Row],[Selection Options]:[Selection Options]],","))),,W$11),"")</f>
        <v/>
      </c>
      <c r="X46" s="29" t="str" cm="1">
        <f t="array" ref="X46">IFERROR(INDEX(_xlfn.UNIQUE(TRIM(_xlfn.TEXTSPLIT(Table2614256789[[#This Row],[Selection Options]:[Selection Options]],","))),,X$11),"")</f>
        <v/>
      </c>
      <c r="Y46" s="30" cm="1">
        <f t="array" ref="Y46">IF(Table2614256789[[#This Row],[1]]="","",Table2614256789[[#This Row],[Weight]:[Weight]]-(Table2614256789[[#This Row],[Weight]:[Weight]]*((_xlfn.XMATCH(Table2614256789[[#This Row],[1]],Table2614256789[[#This Row],[1]:[11]],0))-1)/(COUNTA(Table2614256789[[#This Row],[1]:[11]])-COUNTBLANK(Table2614256789[[#This Row],[1]:[11]])-1)))</f>
        <v>1.1479591836734693E-3</v>
      </c>
      <c r="Z46" s="30" cm="1">
        <f t="array" ref="Z46">IF(Table2614256789[[#This Row],[2]]="","",Table2614256789[[#This Row],[Weight]:[Weight]]-(Table2614256789[[#This Row],[Weight]:[Weight]]*((_xlfn.XMATCH(Table2614256789[[#This Row],[2]],Table2614256789[[#This Row],[1]:[11]],0))-1)/(COUNTA(Table2614256789[[#This Row],[1]:[11]])-COUNTBLANK(Table2614256789[[#This Row],[1]:[11]])-1)))</f>
        <v>8.6096938775510196E-4</v>
      </c>
      <c r="AA46" s="30" cm="1">
        <f t="array" ref="AA46">IF(Table2614256789[[#This Row],[3]]="","",Table2614256789[[#This Row],[Weight]:[Weight]]-(Table2614256789[[#This Row],[Weight]:[Weight]]*((_xlfn.XMATCH(Table2614256789[[#This Row],[3]],Table2614256789[[#This Row],[1]:[11]],0))-1)/(COUNTA(Table2614256789[[#This Row],[1]:[11]])-COUNTBLANK(Table2614256789[[#This Row],[1]:[11]])-1)))</f>
        <v>5.7397959183673464E-4</v>
      </c>
      <c r="AB46" s="30" cm="1">
        <f t="array" ref="AB46">IF(Table2614256789[[#This Row],[4]]="","",Table2614256789[[#This Row],[Weight]:[Weight]]-(Table2614256789[[#This Row],[Weight]:[Weight]]*((_xlfn.XMATCH(Table2614256789[[#This Row],[4]],Table2614256789[[#This Row],[1]:[11]],0))-1)/(COUNTA(Table2614256789[[#This Row],[1]:[11]])-COUNTBLANK(Table2614256789[[#This Row],[1]:[11]])-1)))</f>
        <v>2.8698979591836732E-4</v>
      </c>
      <c r="AC46" s="30" cm="1">
        <f t="array" ref="AC46">IF(Table2614256789[[#This Row],[5]]="","",Table2614256789[[#This Row],[Weight]:[Weight]]-(Table2614256789[[#This Row],[Weight]:[Weight]]*((_xlfn.XMATCH(Table2614256789[[#This Row],[5]],Table2614256789[[#This Row],[1]:[11]],0))-1)/(COUNTA(Table2614256789[[#This Row],[1]:[11]])-COUNTBLANK(Table2614256789[[#This Row],[1]:[11]])-1)))</f>
        <v>0</v>
      </c>
      <c r="AD46" s="30" t="str" cm="1">
        <f t="array" ref="AD46">IF(Table2614256789[[#This Row],[6]]="","",Table2614256789[[#This Row],[Weight]:[Weight]]-(Table2614256789[[#This Row],[Weight]:[Weight]]*((_xlfn.XMATCH(Table2614256789[[#This Row],[6]],Table2614256789[[#This Row],[1]:[11]],0))-1)/(COUNTA(Table2614256789[[#This Row],[1]:[11]])-COUNTBLANK(Table2614256789[[#This Row],[1]:[11]])-1)))</f>
        <v/>
      </c>
      <c r="AE46" s="30" t="str" cm="1">
        <f t="array" ref="AE46">IF(Table2614256789[[#This Row],[7]]="","",Table2614256789[[#This Row],[Weight]:[Weight]]-(Table2614256789[[#This Row],[Weight]:[Weight]]*((_xlfn.XMATCH(Table2614256789[[#This Row],[7]],Table2614256789[[#This Row],[1]:[11]],0))-1)/(COUNTA(Table2614256789[[#This Row],[1]:[11]])-COUNTBLANK(Table2614256789[[#This Row],[1]:[11]])-1)))</f>
        <v/>
      </c>
      <c r="AF46" s="30" t="str" cm="1">
        <f t="array" ref="AF46">IF(Table2614256789[[#This Row],[8]]="","",Table2614256789[[#This Row],[Weight]:[Weight]]-(Table2614256789[[#This Row],[Weight]:[Weight]]*((_xlfn.XMATCH(Table2614256789[[#This Row],[8]],Table2614256789[[#This Row],[1]:[11]],0))-1)/(COUNTA(Table2614256789[[#This Row],[1]:[11]])-COUNTBLANK(Table2614256789[[#This Row],[1]:[11]])-1)))</f>
        <v/>
      </c>
      <c r="AG46" s="30" t="str" cm="1">
        <f t="array" ref="AG46">IF(Table2614256789[[#This Row],[9]]="","",Table2614256789[[#This Row],[Weight]:[Weight]]-(Table2614256789[[#This Row],[Weight]:[Weight]]*((_xlfn.XMATCH(Table2614256789[[#This Row],[9]],Table2614256789[[#This Row],[1]:[11]],0))-1)/(COUNTA(Table2614256789[[#This Row],[1]:[11]])-COUNTBLANK(Table2614256789[[#This Row],[1]:[11]])-1)))</f>
        <v/>
      </c>
      <c r="AH46" s="30" t="str" cm="1">
        <f t="array" ref="AH46">IF(Table2614256789[[#This Row],[10]]="","",Table2614256789[[#This Row],[Weight]:[Weight]]-(Table2614256789[[#This Row],[Weight]:[Weight]]*((_xlfn.XMATCH(Table2614256789[[#This Row],[10]],Table2614256789[[#This Row],[1]:[11]],0))-1)/(COUNTA(Table2614256789[[#This Row],[1]:[11]])-COUNTBLANK(Table2614256789[[#This Row],[1]:[11]])-1)))</f>
        <v/>
      </c>
      <c r="AI46" s="30" t="str" cm="1">
        <f t="array" ref="AI46">IF(Table2614256789[[#This Row],[11]]="","",Table2614256789[[#This Row],[Weight]:[Weight]]-(Table2614256789[[#This Row],[Weight]:[Weight]]*((_xlfn.XMATCH(Table2614256789[[#This Row],[11]],Table2614256789[[#This Row],[1]:[11]],0))-1)/(COUNTA(Table2614256789[[#This Row],[1]:[11]])-COUNTBLANK(Table2614256789[[#This Row],[1]:[11]])-1)))</f>
        <v/>
      </c>
    </row>
  </sheetData>
  <sheetProtection insertRows="0" insertHyperlinks="0" deleteRows="0" autoFilter="0"/>
  <mergeCells count="4">
    <mergeCell ref="E2:F3"/>
    <mergeCell ref="A10:A11"/>
    <mergeCell ref="B10:C11"/>
    <mergeCell ref="D10:E11"/>
  </mergeCells>
  <conditionalFormatting sqref="K13:K46">
    <cfRule type="expression" dxfId="327" priority="1">
      <formula>COUNTIF(N13:X13,K13)&lt;&gt;1</formula>
    </cfRule>
  </conditionalFormatting>
  <dataValidations count="4">
    <dataValidation type="list" allowBlank="1" showInputMessage="1" showErrorMessage="1" sqref="M14" xr:uid="{AD605D03-ED56-484A-A26B-477AA6C31CEE}">
      <formula1>_xlfn.UNIQUE(TRIM(_xlfn.TEXTSPLIT(#REF!,",")))</formula1>
    </dataValidation>
    <dataValidation type="list" allowBlank="1" showInputMessage="1" showErrorMessage="1" sqref="F13:F46" xr:uid="{34F3ADCC-CF24-4999-9C72-9B29A105B189}">
      <formula1>"No interest,Nice to have,Useful,Important,Very important,Critical,Show stopper"</formula1>
    </dataValidation>
    <dataValidation type="list" allowBlank="1" showInputMessage="1" showErrorMessage="1" sqref="H13:H46" xr:uid="{D006C61B-F9A8-4A0C-838C-EDEE5918AB68}">
      <formula1>N13:R13</formula1>
    </dataValidation>
    <dataValidation type="list" allowBlank="1" showInputMessage="1" showErrorMessage="1" sqref="K13:K46" xr:uid="{C27F8B14-D3C8-4EF7-9E2F-D48037EFB6DB}">
      <formula1>$N13:$X13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EE9D3-1538-4E86-968E-D5A63B8E2843}">
  <sheetPr>
    <tabColor rgb="FF92D050"/>
    <pageSetUpPr fitToPage="1"/>
  </sheetPr>
  <dimension ref="A2:AI33"/>
  <sheetViews>
    <sheetView zoomScale="80" zoomScaleNormal="100" workbookViewId="0">
      <selection activeCell="M1" sqref="M1:AL104857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30.285156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72</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Summary'!C21</f>
        <v>3.7499999999999999E-2</v>
      </c>
      <c r="G11" s="43">
        <f>SUM(Table261425678911[Priority])</f>
        <v>114</v>
      </c>
      <c r="H11" s="8">
        <f>SUM(Table261425678911[Weight])</f>
        <v>3.7499999999999985E-2</v>
      </c>
      <c r="I11" s="7"/>
      <c r="J11" s="7"/>
      <c r="K11" s="9" t="s">
        <v>17</v>
      </c>
      <c r="L11" s="8" t="e">
        <f>SUM(Table261425678911[Score])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08" x14ac:dyDescent="0.2">
      <c r="A13" s="20">
        <v>1</v>
      </c>
      <c r="B13" s="90" t="s">
        <v>523</v>
      </c>
      <c r="C13" s="119" t="s">
        <v>215</v>
      </c>
      <c r="D13" s="90"/>
      <c r="E13" s="90" t="s">
        <v>55</v>
      </c>
      <c r="F13" s="120" t="s">
        <v>60</v>
      </c>
      <c r="G13" s="148" cm="1">
        <f t="array" ref="G13">_xlfn.IFS(F13="","",F13="No interest",0,F13="Nice to have",1,F13="Useful",2,F13="Important",3,F13="Very important",4,F13="Critical",5,F13="Show stopper",6)</f>
        <v>6</v>
      </c>
      <c r="H13" s="149">
        <f t="shared" ref="H13:H16" si="0">(G13/$G$11)*$F$11</f>
        <v>1.9736842105263154E-3</v>
      </c>
      <c r="I13" s="150" t="s">
        <v>321</v>
      </c>
      <c r="J13" s="25" t="str" cm="1">
        <f t="array" ref="J13">_xlfn.TEXTJOIN(","&amp;CHAR(10),,TEXT(Table261425678911[[#This Row],[12]:[22]],"0,00%"))</f>
        <v>0,00%,
0,00%,
0,00%,
0,00%,
0,00%</v>
      </c>
      <c r="K13" s="26"/>
      <c r="L13" s="27" t="e">
        <f>H13-(H13*((MATCH(Table261425678911[[#This Row],[Evaluators Response (SELECT)]],Table261425678911[[#This Row],[1]:[11]],0)-1)/(COUNTA(Table261425678911[[#This Row],[1]:[11]])-COUNTBLANK(Table261425678911[[#This Row],[1]:[11]])-1)))</f>
        <v>#N/A</v>
      </c>
      <c r="M13" s="28"/>
      <c r="N13" s="29" t="str" cm="1">
        <f t="array" ref="N13">IFERROR(INDEX(_xlfn.UNIQUE(TRIM(_xlfn.TEXTSPLIT(Table261425678911[[#This Row],[Selection Options]:[Selection Options]],","))),,N$11),"")</f>
        <v>100%: Supported as delivered "out of the box"</v>
      </c>
      <c r="O13" s="29" t="str" cm="1">
        <f t="array" ref="O13">IFERROR(INDEX(_xlfn.UNIQUE(TRIM(_xlfn.TEXTSPLIT(Table261425678911[[#This Row],[Selection Options]:[Selection Options]],","))),,O$11),"")</f>
        <v xml:space="preserve">
75%: Supported via modifications (config)</v>
      </c>
      <c r="P13" s="29" t="str" cm="1">
        <f t="array" ref="P13">IFERROR(INDEX(_xlfn.UNIQUE(TRIM(_xlfn.TEXTSPLIT(Table261425678911[[#This Row],[Selection Options]:[Selection Options]],","))),,P$11),"")</f>
        <v xml:space="preserve">
50%: Supported via a third party solution</v>
      </c>
      <c r="Q13" s="29" t="str" cm="1">
        <f t="array" ref="Q13">IFERROR(INDEX(_xlfn.UNIQUE(TRIM(_xlfn.TEXTSPLIT(Table261425678911[[#This Row],[Selection Options]:[Selection Options]],","))),,Q$11),"")</f>
        <v xml:space="preserve">
25%: Supported via customisation (source code changes)</v>
      </c>
      <c r="R13" s="29" t="str" cm="1">
        <f t="array" ref="R13">IFERROR(INDEX(_xlfn.UNIQUE(TRIM(_xlfn.TEXTSPLIT(Table261425678911[[#This Row],[Selection Options]:[Selection Options]],","))),,R$11),"")</f>
        <v xml:space="preserve">
 0%: Not currently supported</v>
      </c>
      <c r="S13" s="29" t="str" cm="1">
        <f t="array" ref="S13">IFERROR(INDEX(_xlfn.UNIQUE(TRIM(_xlfn.TEXTSPLIT(Table261425678911[[#This Row],[Selection Options]:[Selection Options]],","))),,S$11),"")</f>
        <v/>
      </c>
      <c r="T13" s="29" t="str" cm="1">
        <f t="array" ref="T13">IFERROR(INDEX(_xlfn.UNIQUE(TRIM(_xlfn.TEXTSPLIT(Table261425678911[[#This Row],[Selection Options]:[Selection Options]],","))),,T$11),"")</f>
        <v/>
      </c>
      <c r="U13" s="29" t="str" cm="1">
        <f t="array" ref="U13">IFERROR(INDEX(_xlfn.UNIQUE(TRIM(_xlfn.TEXTSPLIT(Table261425678911[[#This Row],[Selection Options]:[Selection Options]],","))),,U$11),"")</f>
        <v/>
      </c>
      <c r="V13" s="29" t="str" cm="1">
        <f t="array" ref="V13">IFERROR(INDEX(_xlfn.UNIQUE(TRIM(_xlfn.TEXTSPLIT(Table261425678911[[#This Row],[Selection Options]:[Selection Options]],","))),,V$11),"")</f>
        <v/>
      </c>
      <c r="W13" s="29" t="str" cm="1">
        <f t="array" ref="W13">IFERROR(INDEX(_xlfn.UNIQUE(TRIM(_xlfn.TEXTSPLIT(Table261425678911[[#This Row],[Selection Options]:[Selection Options]],","))),,W$11),"")</f>
        <v/>
      </c>
      <c r="X13" s="29" t="str" cm="1">
        <f t="array" ref="X13">IFERROR(INDEX(_xlfn.UNIQUE(TRIM(_xlfn.TEXTSPLIT(Table261425678911[[#This Row],[Selection Options]:[Selection Options]],","))),,X$11),"")</f>
        <v/>
      </c>
      <c r="Y13" s="30" cm="1">
        <f t="array" ref="Y13">IF(Table261425678911[[#This Row],[1]]="","",Table261425678911[[#This Row],[Weight]:[Weight]]-(Table261425678911[[#This Row],[Weight]:[Weight]]*((_xlfn.XMATCH(Table261425678911[[#This Row],[1]],Table261425678911[[#This Row],[1]:[11]],0))-1)/(COUNTA(Table261425678911[[#This Row],[1]:[11]])-COUNTBLANK(Table261425678911[[#This Row],[1]:[11]])-1)))</f>
        <v>1.9736842105263154E-3</v>
      </c>
      <c r="Z13" s="30" cm="1">
        <f t="array" ref="Z13">IF(Table261425678911[[#This Row],[2]]="","",Table261425678911[[#This Row],[Weight]:[Weight]]-(Table261425678911[[#This Row],[Weight]:[Weight]]*((_xlfn.XMATCH(Table261425678911[[#This Row],[2]],Table261425678911[[#This Row],[1]:[11]],0))-1)/(COUNTA(Table261425678911[[#This Row],[1]:[11]])-COUNTBLANK(Table261425678911[[#This Row],[1]:[11]])-1)))</f>
        <v>1.4802631578947367E-3</v>
      </c>
      <c r="AA13" s="30" cm="1">
        <f t="array" ref="AA13">IF(Table261425678911[[#This Row],[3]]="","",Table261425678911[[#This Row],[Weight]:[Weight]]-(Table261425678911[[#This Row],[Weight]:[Weight]]*((_xlfn.XMATCH(Table261425678911[[#This Row],[3]],Table261425678911[[#This Row],[1]:[11]],0))-1)/(COUNTA(Table261425678911[[#This Row],[1]:[11]])-COUNTBLANK(Table261425678911[[#This Row],[1]:[11]])-1)))</f>
        <v>9.8684210526315771E-4</v>
      </c>
      <c r="AB13" s="30" cm="1">
        <f t="array" ref="AB13">IF(Table261425678911[[#This Row],[4]]="","",Table261425678911[[#This Row],[Weight]:[Weight]]-(Table261425678911[[#This Row],[Weight]:[Weight]]*((_xlfn.XMATCH(Table261425678911[[#This Row],[4]],Table261425678911[[#This Row],[1]:[11]],0))-1)/(COUNTA(Table261425678911[[#This Row],[1]:[11]])-COUNTBLANK(Table261425678911[[#This Row],[1]:[11]])-1)))</f>
        <v>4.9342105263157875E-4</v>
      </c>
      <c r="AC13" s="30" cm="1">
        <f t="array" ref="AC13">IF(Table261425678911[[#This Row],[5]]="","",Table261425678911[[#This Row],[Weight]:[Weight]]-(Table261425678911[[#This Row],[Weight]:[Weight]]*((_xlfn.XMATCH(Table261425678911[[#This Row],[5]],Table261425678911[[#This Row],[1]:[11]],0))-1)/(COUNTA(Table261425678911[[#This Row],[1]:[11]])-COUNTBLANK(Table261425678911[[#This Row],[1]:[11]])-1)))</f>
        <v>0</v>
      </c>
      <c r="AD13" s="30" t="str" cm="1">
        <f t="array" ref="AD13">IF(Table261425678911[[#This Row],[6]]="","",Table261425678911[[#This Row],[Weight]:[Weight]]-(Table261425678911[[#This Row],[Weight]:[Weight]]*((_xlfn.XMATCH(Table261425678911[[#This Row],[6]],Table261425678911[[#This Row],[1]:[11]],0))-1)/(COUNTA(Table261425678911[[#This Row],[1]:[11]])-COUNTBLANK(Table261425678911[[#This Row],[1]:[11]])-1)))</f>
        <v/>
      </c>
      <c r="AE13" s="30" t="str" cm="1">
        <f t="array" ref="AE13">IF(Table261425678911[[#This Row],[7]]="","",Table261425678911[[#This Row],[Weight]:[Weight]]-(Table261425678911[[#This Row],[Weight]:[Weight]]*((_xlfn.XMATCH(Table261425678911[[#This Row],[7]],Table261425678911[[#This Row],[1]:[11]],0))-1)/(COUNTA(Table261425678911[[#This Row],[1]:[11]])-COUNTBLANK(Table261425678911[[#This Row],[1]:[11]])-1)))</f>
        <v/>
      </c>
      <c r="AF13" s="30" t="str" cm="1">
        <f t="array" ref="AF13">IF(Table261425678911[[#This Row],[8]]="","",Table261425678911[[#This Row],[Weight]:[Weight]]-(Table261425678911[[#This Row],[Weight]:[Weight]]*((_xlfn.XMATCH(Table261425678911[[#This Row],[8]],Table261425678911[[#This Row],[1]:[11]],0))-1)/(COUNTA(Table261425678911[[#This Row],[1]:[11]])-COUNTBLANK(Table261425678911[[#This Row],[1]:[11]])-1)))</f>
        <v/>
      </c>
      <c r="AG13" s="30" t="str" cm="1">
        <f t="array" ref="AG13">IF(Table261425678911[[#This Row],[9]]="","",Table261425678911[[#This Row],[Weight]:[Weight]]-(Table261425678911[[#This Row],[Weight]:[Weight]]*((_xlfn.XMATCH(Table261425678911[[#This Row],[9]],Table261425678911[[#This Row],[1]:[11]],0))-1)/(COUNTA(Table261425678911[[#This Row],[1]:[11]])-COUNTBLANK(Table261425678911[[#This Row],[1]:[11]])-1)))</f>
        <v/>
      </c>
      <c r="AH13" s="30" t="str" cm="1">
        <f t="array" ref="AH13">IF(Table261425678911[[#This Row],[10]]="","",Table261425678911[[#This Row],[Weight]:[Weight]]-(Table261425678911[[#This Row],[Weight]:[Weight]]*((_xlfn.XMATCH(Table261425678911[[#This Row],[10]],Table261425678911[[#This Row],[1]:[11]],0))-1)/(COUNTA(Table261425678911[[#This Row],[1]:[11]])-COUNTBLANK(Table261425678911[[#This Row],[1]:[11]])-1)))</f>
        <v/>
      </c>
      <c r="AI13" s="30" t="str" cm="1">
        <f t="array" ref="AI13">IF(Table261425678911[[#This Row],[11]]="","",Table261425678911[[#This Row],[Weight]:[Weight]]-(Table261425678911[[#This Row],[Weight]:[Weight]]*((_xlfn.XMATCH(Table261425678911[[#This Row],[11]],Table261425678911[[#This Row],[1]:[11]],0))-1)/(COUNTA(Table261425678911[[#This Row],[1]:[11]])-COUNTBLANK(Table261425678911[[#This Row],[1]:[11]])-1)))</f>
        <v/>
      </c>
    </row>
    <row r="14" spans="1:35" ht="108" x14ac:dyDescent="0.2">
      <c r="A14" s="20">
        <v>2</v>
      </c>
      <c r="B14" s="90" t="s">
        <v>524</v>
      </c>
      <c r="C14" s="119" t="s">
        <v>215</v>
      </c>
      <c r="D14" s="146"/>
      <c r="E14" s="146"/>
      <c r="F14" s="120" t="s">
        <v>60</v>
      </c>
      <c r="G14" s="148" cm="1">
        <f t="array" ref="G14">_xlfn.IFS(F14="","",F14="No interest",0,F14="Nice to have",1,F14="Useful",2,F14="Important",3,F14="Very important",4,F14="Critical",5,F14="Show stopper",6)</f>
        <v>6</v>
      </c>
      <c r="H14" s="149">
        <f t="shared" si="0"/>
        <v>1.9736842105263154E-3</v>
      </c>
      <c r="I14" s="150" t="s">
        <v>321</v>
      </c>
      <c r="J14" s="25" t="str" cm="1">
        <f t="array" ref="J14">_xlfn.TEXTJOIN(","&amp;CHAR(10),,TEXT(Table261425678911[[#This Row],[12]:[22]],"0,00%"))</f>
        <v>0,00%,
0,00%,
0,00%,
0,00%,
0,00%</v>
      </c>
      <c r="K14" s="26"/>
      <c r="L14" s="27" t="e">
        <f>H14-(H14*((MATCH(Table261425678911[[#This Row],[Evaluators Response (SELECT)]],Table261425678911[[#This Row],[1]:[11]],0)-1)/(COUNTA(Table261425678911[[#This Row],[1]:[11]])-COUNTBLANK(Table261425678911[[#This Row],[1]:[11]])-1)))</f>
        <v>#N/A</v>
      </c>
      <c r="M14" s="28"/>
      <c r="N14" s="29" t="str" cm="1">
        <f t="array" ref="N14">IFERROR(INDEX(_xlfn.UNIQUE(TRIM(_xlfn.TEXTSPLIT(Table261425678911[[#This Row],[Selection Options]:[Selection Options]],","))),,N$11),"")</f>
        <v>100%: Supported as delivered "out of the box"</v>
      </c>
      <c r="O14" s="29" t="str" cm="1">
        <f t="array" ref="O14">IFERROR(INDEX(_xlfn.UNIQUE(TRIM(_xlfn.TEXTSPLIT(Table261425678911[[#This Row],[Selection Options]:[Selection Options]],","))),,O$11),"")</f>
        <v xml:space="preserve">
75%: Supported via modifications (config)</v>
      </c>
      <c r="P14" s="29" t="str" cm="1">
        <f t="array" ref="P14">IFERROR(INDEX(_xlfn.UNIQUE(TRIM(_xlfn.TEXTSPLIT(Table261425678911[[#This Row],[Selection Options]:[Selection Options]],","))),,P$11),"")</f>
        <v xml:space="preserve">
50%: Supported via a third party solution</v>
      </c>
      <c r="Q14" s="29" t="str" cm="1">
        <f t="array" ref="Q14">IFERROR(INDEX(_xlfn.UNIQUE(TRIM(_xlfn.TEXTSPLIT(Table261425678911[[#This Row],[Selection Options]:[Selection Options]],","))),,Q$11),"")</f>
        <v xml:space="preserve">
25%: Supported via customisation (source code changes)</v>
      </c>
      <c r="R14" s="29" t="str" cm="1">
        <f t="array" ref="R14">IFERROR(INDEX(_xlfn.UNIQUE(TRIM(_xlfn.TEXTSPLIT(Table261425678911[[#This Row],[Selection Options]:[Selection Options]],","))),,R$11),"")</f>
        <v xml:space="preserve">
 0%: Not currently supported</v>
      </c>
      <c r="S14" s="29" t="str" cm="1">
        <f t="array" ref="S14">IFERROR(INDEX(_xlfn.UNIQUE(TRIM(_xlfn.TEXTSPLIT(Table261425678911[[#This Row],[Selection Options]:[Selection Options]],","))),,S$11),"")</f>
        <v/>
      </c>
      <c r="T14" s="29" t="str" cm="1">
        <f t="array" ref="T14">IFERROR(INDEX(_xlfn.UNIQUE(TRIM(_xlfn.TEXTSPLIT(Table261425678911[[#This Row],[Selection Options]:[Selection Options]],","))),,T$11),"")</f>
        <v/>
      </c>
      <c r="U14" s="29" t="str" cm="1">
        <f t="array" ref="U14">IFERROR(INDEX(_xlfn.UNIQUE(TRIM(_xlfn.TEXTSPLIT(Table261425678911[[#This Row],[Selection Options]:[Selection Options]],","))),,U$11),"")</f>
        <v/>
      </c>
      <c r="V14" s="29" t="str" cm="1">
        <f t="array" ref="V14">IFERROR(INDEX(_xlfn.UNIQUE(TRIM(_xlfn.TEXTSPLIT(Table261425678911[[#This Row],[Selection Options]:[Selection Options]],","))),,V$11),"")</f>
        <v/>
      </c>
      <c r="W14" s="29" t="str" cm="1">
        <f t="array" ref="W14">IFERROR(INDEX(_xlfn.UNIQUE(TRIM(_xlfn.TEXTSPLIT(Table261425678911[[#This Row],[Selection Options]:[Selection Options]],","))),,W$11),"")</f>
        <v/>
      </c>
      <c r="X14" s="29" t="str" cm="1">
        <f t="array" ref="X14">IFERROR(INDEX(_xlfn.UNIQUE(TRIM(_xlfn.TEXTSPLIT(Table261425678911[[#This Row],[Selection Options]:[Selection Options]],","))),,X$11),"")</f>
        <v/>
      </c>
      <c r="Y14" s="30" cm="1">
        <f t="array" ref="Y14">IF(Table261425678911[[#This Row],[1]]="","",Table261425678911[[#This Row],[Weight]:[Weight]]-(Table261425678911[[#This Row],[Weight]:[Weight]]*((_xlfn.XMATCH(Table261425678911[[#This Row],[1]],Table261425678911[[#This Row],[1]:[11]],0))-1)/(COUNTA(Table261425678911[[#This Row],[1]:[11]])-COUNTBLANK(Table261425678911[[#This Row],[1]:[11]])-1)))</f>
        <v>1.9736842105263154E-3</v>
      </c>
      <c r="Z14" s="30" cm="1">
        <f t="array" ref="Z14">IF(Table261425678911[[#This Row],[2]]="","",Table261425678911[[#This Row],[Weight]:[Weight]]-(Table261425678911[[#This Row],[Weight]:[Weight]]*((_xlfn.XMATCH(Table261425678911[[#This Row],[2]],Table261425678911[[#This Row],[1]:[11]],0))-1)/(COUNTA(Table261425678911[[#This Row],[1]:[11]])-COUNTBLANK(Table261425678911[[#This Row],[1]:[11]])-1)))</f>
        <v>1.4802631578947367E-3</v>
      </c>
      <c r="AA14" s="30" cm="1">
        <f t="array" ref="AA14">IF(Table261425678911[[#This Row],[3]]="","",Table261425678911[[#This Row],[Weight]:[Weight]]-(Table261425678911[[#This Row],[Weight]:[Weight]]*((_xlfn.XMATCH(Table261425678911[[#This Row],[3]],Table261425678911[[#This Row],[1]:[11]],0))-1)/(COUNTA(Table261425678911[[#This Row],[1]:[11]])-COUNTBLANK(Table261425678911[[#This Row],[1]:[11]])-1)))</f>
        <v>9.8684210526315771E-4</v>
      </c>
      <c r="AB14" s="30" cm="1">
        <f t="array" ref="AB14">IF(Table261425678911[[#This Row],[4]]="","",Table261425678911[[#This Row],[Weight]:[Weight]]-(Table261425678911[[#This Row],[Weight]:[Weight]]*((_xlfn.XMATCH(Table261425678911[[#This Row],[4]],Table261425678911[[#This Row],[1]:[11]],0))-1)/(COUNTA(Table261425678911[[#This Row],[1]:[11]])-COUNTBLANK(Table261425678911[[#This Row],[1]:[11]])-1)))</f>
        <v>4.9342105263157875E-4</v>
      </c>
      <c r="AC14" s="30" cm="1">
        <f t="array" ref="AC14">IF(Table261425678911[[#This Row],[5]]="","",Table261425678911[[#This Row],[Weight]:[Weight]]-(Table261425678911[[#This Row],[Weight]:[Weight]]*((_xlfn.XMATCH(Table261425678911[[#This Row],[5]],Table261425678911[[#This Row],[1]:[11]],0))-1)/(COUNTA(Table261425678911[[#This Row],[1]:[11]])-COUNTBLANK(Table261425678911[[#This Row],[1]:[11]])-1)))</f>
        <v>0</v>
      </c>
      <c r="AD14" s="30" t="str" cm="1">
        <f t="array" ref="AD14">IF(Table261425678911[[#This Row],[6]]="","",Table261425678911[[#This Row],[Weight]:[Weight]]-(Table261425678911[[#This Row],[Weight]:[Weight]]*((_xlfn.XMATCH(Table261425678911[[#This Row],[6]],Table261425678911[[#This Row],[1]:[11]],0))-1)/(COUNTA(Table261425678911[[#This Row],[1]:[11]])-COUNTBLANK(Table261425678911[[#This Row],[1]:[11]])-1)))</f>
        <v/>
      </c>
      <c r="AE14" s="30" t="str" cm="1">
        <f t="array" ref="AE14">IF(Table261425678911[[#This Row],[7]]="","",Table261425678911[[#This Row],[Weight]:[Weight]]-(Table261425678911[[#This Row],[Weight]:[Weight]]*((_xlfn.XMATCH(Table261425678911[[#This Row],[7]],Table261425678911[[#This Row],[1]:[11]],0))-1)/(COUNTA(Table261425678911[[#This Row],[1]:[11]])-COUNTBLANK(Table261425678911[[#This Row],[1]:[11]])-1)))</f>
        <v/>
      </c>
      <c r="AF14" s="30" t="str" cm="1">
        <f t="array" ref="AF14">IF(Table261425678911[[#This Row],[8]]="","",Table261425678911[[#This Row],[Weight]:[Weight]]-(Table261425678911[[#This Row],[Weight]:[Weight]]*((_xlfn.XMATCH(Table261425678911[[#This Row],[8]],Table261425678911[[#This Row],[1]:[11]],0))-1)/(COUNTA(Table261425678911[[#This Row],[1]:[11]])-COUNTBLANK(Table261425678911[[#This Row],[1]:[11]])-1)))</f>
        <v/>
      </c>
      <c r="AG14" s="30" t="str" cm="1">
        <f t="array" ref="AG14">IF(Table261425678911[[#This Row],[9]]="","",Table261425678911[[#This Row],[Weight]:[Weight]]-(Table261425678911[[#This Row],[Weight]:[Weight]]*((_xlfn.XMATCH(Table261425678911[[#This Row],[9]],Table261425678911[[#This Row],[1]:[11]],0))-1)/(COUNTA(Table261425678911[[#This Row],[1]:[11]])-COUNTBLANK(Table261425678911[[#This Row],[1]:[11]])-1)))</f>
        <v/>
      </c>
      <c r="AH14" s="30" t="str" cm="1">
        <f t="array" ref="AH14">IF(Table261425678911[[#This Row],[10]]="","",Table261425678911[[#This Row],[Weight]:[Weight]]-(Table261425678911[[#This Row],[Weight]:[Weight]]*((_xlfn.XMATCH(Table261425678911[[#This Row],[10]],Table261425678911[[#This Row],[1]:[11]],0))-1)/(COUNTA(Table261425678911[[#This Row],[1]:[11]])-COUNTBLANK(Table261425678911[[#This Row],[1]:[11]])-1)))</f>
        <v/>
      </c>
      <c r="AI14" s="30" t="str" cm="1">
        <f t="array" ref="AI14">IF(Table261425678911[[#This Row],[11]]="","",Table261425678911[[#This Row],[Weight]:[Weight]]-(Table261425678911[[#This Row],[Weight]:[Weight]]*((_xlfn.XMATCH(Table261425678911[[#This Row],[11]],Table261425678911[[#This Row],[1]:[11]],0))-1)/(COUNTA(Table261425678911[[#This Row],[1]:[11]])-COUNTBLANK(Table261425678911[[#This Row],[1]:[11]])-1)))</f>
        <v/>
      </c>
    </row>
    <row r="15" spans="1:35" ht="108" x14ac:dyDescent="0.2">
      <c r="A15" s="20">
        <v>3</v>
      </c>
      <c r="B15" s="119" t="s">
        <v>525</v>
      </c>
      <c r="C15" s="119" t="s">
        <v>215</v>
      </c>
      <c r="D15" s="147"/>
      <c r="E15" s="147"/>
      <c r="F15" s="121" t="s">
        <v>60</v>
      </c>
      <c r="G15" s="151" cm="1">
        <f t="array" ref="G15">_xlfn.IFS(F15="","",F15="No interest",0,F15="Nice to have",1,F15="Useful",2,F15="Important",3,F15="Very important",4,F15="Critical",5,F15="Show stopper",6)</f>
        <v>6</v>
      </c>
      <c r="H15" s="152">
        <f t="shared" si="0"/>
        <v>1.9736842105263154E-3</v>
      </c>
      <c r="I15" s="150" t="s">
        <v>321</v>
      </c>
      <c r="J15" s="35" t="str" cm="1">
        <f t="array" ref="J15">_xlfn.TEXTJOIN(","&amp;CHAR(10),,TEXT(Table261425678911[[#This Row],[12]:[22]],"0,00%"))</f>
        <v>0,00%,
0,00%,
0,00%,
0,00%,
0,00%</v>
      </c>
      <c r="K15" s="26"/>
      <c r="L15" s="37" t="e">
        <f>H15-(H15*((MATCH(Table261425678911[[#This Row],[Evaluators Response (SELECT)]],Table261425678911[[#This Row],[1]:[11]],0)-1)/(COUNTA(Table261425678911[[#This Row],[1]:[11]])-COUNTBLANK(Table261425678911[[#This Row],[1]:[11]])-1)))</f>
        <v>#N/A</v>
      </c>
      <c r="M15" s="38"/>
      <c r="N15" s="29" t="str" cm="1">
        <f t="array" ref="N15">IFERROR(INDEX(_xlfn.UNIQUE(TRIM(_xlfn.TEXTSPLIT(Table261425678911[[#This Row],[Selection Options]:[Selection Options]],","))),,N$11),"")</f>
        <v>100%: Supported as delivered "out of the box"</v>
      </c>
      <c r="O15" s="29" t="str" cm="1">
        <f t="array" ref="O15">IFERROR(INDEX(_xlfn.UNIQUE(TRIM(_xlfn.TEXTSPLIT(Table261425678911[[#This Row],[Selection Options]:[Selection Options]],","))),,O$11),"")</f>
        <v xml:space="preserve">
75%: Supported via modifications (config)</v>
      </c>
      <c r="P15" s="29" t="str" cm="1">
        <f t="array" ref="P15">IFERROR(INDEX(_xlfn.UNIQUE(TRIM(_xlfn.TEXTSPLIT(Table261425678911[[#This Row],[Selection Options]:[Selection Options]],","))),,P$11),"")</f>
        <v xml:space="preserve">
50%: Supported via a third party solution</v>
      </c>
      <c r="Q15" s="29" t="str" cm="1">
        <f t="array" ref="Q15">IFERROR(INDEX(_xlfn.UNIQUE(TRIM(_xlfn.TEXTSPLIT(Table261425678911[[#This Row],[Selection Options]:[Selection Options]],","))),,Q$11),"")</f>
        <v xml:space="preserve">
25%: Supported via customisation (source code changes)</v>
      </c>
      <c r="R15" s="29" t="str" cm="1">
        <f t="array" ref="R15">IFERROR(INDEX(_xlfn.UNIQUE(TRIM(_xlfn.TEXTSPLIT(Table261425678911[[#This Row],[Selection Options]:[Selection Options]],","))),,R$11),"")</f>
        <v xml:space="preserve">
 0%: Not currently supported</v>
      </c>
      <c r="S15" s="29" t="str" cm="1">
        <f t="array" ref="S15">IFERROR(INDEX(_xlfn.UNIQUE(TRIM(_xlfn.TEXTSPLIT(Table261425678911[[#This Row],[Selection Options]:[Selection Options]],","))),,S$11),"")</f>
        <v/>
      </c>
      <c r="T15" s="29" t="str" cm="1">
        <f t="array" ref="T15">IFERROR(INDEX(_xlfn.UNIQUE(TRIM(_xlfn.TEXTSPLIT(Table261425678911[[#This Row],[Selection Options]:[Selection Options]],","))),,T$11),"")</f>
        <v/>
      </c>
      <c r="U15" s="29" t="str" cm="1">
        <f t="array" ref="U15">IFERROR(INDEX(_xlfn.UNIQUE(TRIM(_xlfn.TEXTSPLIT(Table261425678911[[#This Row],[Selection Options]:[Selection Options]],","))),,U$11),"")</f>
        <v/>
      </c>
      <c r="V15" s="29" t="str" cm="1">
        <f t="array" ref="V15">IFERROR(INDEX(_xlfn.UNIQUE(TRIM(_xlfn.TEXTSPLIT(Table261425678911[[#This Row],[Selection Options]:[Selection Options]],","))),,V$11),"")</f>
        <v/>
      </c>
      <c r="W15" s="29" t="str" cm="1">
        <f t="array" ref="W15">IFERROR(INDEX(_xlfn.UNIQUE(TRIM(_xlfn.TEXTSPLIT(Table261425678911[[#This Row],[Selection Options]:[Selection Options]],","))),,W$11),"")</f>
        <v/>
      </c>
      <c r="X15" s="29" t="str" cm="1">
        <f t="array" ref="X15">IFERROR(INDEX(_xlfn.UNIQUE(TRIM(_xlfn.TEXTSPLIT(Table261425678911[[#This Row],[Selection Options]:[Selection Options]],","))),,X$11),"")</f>
        <v/>
      </c>
      <c r="Y15" s="30" cm="1">
        <f t="array" ref="Y15">IF(Table261425678911[[#This Row],[1]]="","",Table261425678911[[#This Row],[Weight]:[Weight]]-(Table261425678911[[#This Row],[Weight]:[Weight]]*((_xlfn.XMATCH(Table261425678911[[#This Row],[1]],Table261425678911[[#This Row],[1]:[11]],0))-1)/(COUNTA(Table261425678911[[#This Row],[1]:[11]])-COUNTBLANK(Table261425678911[[#This Row],[1]:[11]])-1)))</f>
        <v>1.9736842105263154E-3</v>
      </c>
      <c r="Z15" s="30" cm="1">
        <f t="array" ref="Z15">IF(Table261425678911[[#This Row],[2]]="","",Table261425678911[[#This Row],[Weight]:[Weight]]-(Table261425678911[[#This Row],[Weight]:[Weight]]*((_xlfn.XMATCH(Table261425678911[[#This Row],[2]],Table261425678911[[#This Row],[1]:[11]],0))-1)/(COUNTA(Table261425678911[[#This Row],[1]:[11]])-COUNTBLANK(Table261425678911[[#This Row],[1]:[11]])-1)))</f>
        <v>1.4802631578947367E-3</v>
      </c>
      <c r="AA15" s="30" cm="1">
        <f t="array" ref="AA15">IF(Table261425678911[[#This Row],[3]]="","",Table261425678911[[#This Row],[Weight]:[Weight]]-(Table261425678911[[#This Row],[Weight]:[Weight]]*((_xlfn.XMATCH(Table261425678911[[#This Row],[3]],Table261425678911[[#This Row],[1]:[11]],0))-1)/(COUNTA(Table261425678911[[#This Row],[1]:[11]])-COUNTBLANK(Table261425678911[[#This Row],[1]:[11]])-1)))</f>
        <v>9.8684210526315771E-4</v>
      </c>
      <c r="AB15" s="30" cm="1">
        <f t="array" ref="AB15">IF(Table261425678911[[#This Row],[4]]="","",Table261425678911[[#This Row],[Weight]:[Weight]]-(Table261425678911[[#This Row],[Weight]:[Weight]]*((_xlfn.XMATCH(Table261425678911[[#This Row],[4]],Table261425678911[[#This Row],[1]:[11]],0))-1)/(COUNTA(Table261425678911[[#This Row],[1]:[11]])-COUNTBLANK(Table261425678911[[#This Row],[1]:[11]])-1)))</f>
        <v>4.9342105263157875E-4</v>
      </c>
      <c r="AC15" s="30" cm="1">
        <f t="array" ref="AC15">IF(Table261425678911[[#This Row],[5]]="","",Table261425678911[[#This Row],[Weight]:[Weight]]-(Table261425678911[[#This Row],[Weight]:[Weight]]*((_xlfn.XMATCH(Table261425678911[[#This Row],[5]],Table261425678911[[#This Row],[1]:[11]],0))-1)/(COUNTA(Table261425678911[[#This Row],[1]:[11]])-COUNTBLANK(Table261425678911[[#This Row],[1]:[11]])-1)))</f>
        <v>0</v>
      </c>
      <c r="AD15" s="30" t="str" cm="1">
        <f t="array" ref="AD15">IF(Table261425678911[[#This Row],[6]]="","",Table261425678911[[#This Row],[Weight]:[Weight]]-(Table261425678911[[#This Row],[Weight]:[Weight]]*((_xlfn.XMATCH(Table261425678911[[#This Row],[6]],Table261425678911[[#This Row],[1]:[11]],0))-1)/(COUNTA(Table261425678911[[#This Row],[1]:[11]])-COUNTBLANK(Table261425678911[[#This Row],[1]:[11]])-1)))</f>
        <v/>
      </c>
      <c r="AE15" s="30" t="str" cm="1">
        <f t="array" ref="AE15">IF(Table261425678911[[#This Row],[7]]="","",Table261425678911[[#This Row],[Weight]:[Weight]]-(Table261425678911[[#This Row],[Weight]:[Weight]]*((_xlfn.XMATCH(Table261425678911[[#This Row],[7]],Table261425678911[[#This Row],[1]:[11]],0))-1)/(COUNTA(Table261425678911[[#This Row],[1]:[11]])-COUNTBLANK(Table261425678911[[#This Row],[1]:[11]])-1)))</f>
        <v/>
      </c>
      <c r="AF15" s="30" t="str" cm="1">
        <f t="array" ref="AF15">IF(Table261425678911[[#This Row],[8]]="","",Table261425678911[[#This Row],[Weight]:[Weight]]-(Table261425678911[[#This Row],[Weight]:[Weight]]*((_xlfn.XMATCH(Table261425678911[[#This Row],[8]],Table261425678911[[#This Row],[1]:[11]],0))-1)/(COUNTA(Table261425678911[[#This Row],[1]:[11]])-COUNTBLANK(Table261425678911[[#This Row],[1]:[11]])-1)))</f>
        <v/>
      </c>
      <c r="AG15" s="30" t="str" cm="1">
        <f t="array" ref="AG15">IF(Table261425678911[[#This Row],[9]]="","",Table261425678911[[#This Row],[Weight]:[Weight]]-(Table261425678911[[#This Row],[Weight]:[Weight]]*((_xlfn.XMATCH(Table261425678911[[#This Row],[9]],Table261425678911[[#This Row],[1]:[11]],0))-1)/(COUNTA(Table261425678911[[#This Row],[1]:[11]])-COUNTBLANK(Table261425678911[[#This Row],[1]:[11]])-1)))</f>
        <v/>
      </c>
      <c r="AH15" s="30" t="str" cm="1">
        <f t="array" ref="AH15">IF(Table261425678911[[#This Row],[10]]="","",Table261425678911[[#This Row],[Weight]:[Weight]]-(Table261425678911[[#This Row],[Weight]:[Weight]]*((_xlfn.XMATCH(Table261425678911[[#This Row],[10]],Table261425678911[[#This Row],[1]:[11]],0))-1)/(COUNTA(Table261425678911[[#This Row],[1]:[11]])-COUNTBLANK(Table261425678911[[#This Row],[1]:[11]])-1)))</f>
        <v/>
      </c>
      <c r="AI15" s="30" t="str" cm="1">
        <f t="array" ref="AI15">IF(Table261425678911[[#This Row],[11]]="","",Table261425678911[[#This Row],[Weight]:[Weight]]-(Table261425678911[[#This Row],[Weight]:[Weight]]*((_xlfn.XMATCH(Table261425678911[[#This Row],[11]],Table261425678911[[#This Row],[1]:[11]],0))-1)/(COUNTA(Table261425678911[[#This Row],[1]:[11]])-COUNTBLANK(Table261425678911[[#This Row],[1]:[11]])-1)))</f>
        <v/>
      </c>
    </row>
    <row r="16" spans="1:35" ht="108" x14ac:dyDescent="0.2">
      <c r="A16" s="20">
        <v>4</v>
      </c>
      <c r="B16" s="90" t="s">
        <v>526</v>
      </c>
      <c r="C16" s="119" t="s">
        <v>215</v>
      </c>
      <c r="D16" s="146"/>
      <c r="E16" s="146"/>
      <c r="F16" s="120" t="s">
        <v>60</v>
      </c>
      <c r="G16" s="148" cm="1">
        <f t="array" ref="G16">_xlfn.IFS(F16="","",F16="No interest",0,F16="Nice to have",1,F16="Useful",2,F16="Important",3,F16="Very important",4,F16="Critical",5,F16="Show stopper",6)</f>
        <v>6</v>
      </c>
      <c r="H16" s="149">
        <f t="shared" si="0"/>
        <v>1.9736842105263154E-3</v>
      </c>
      <c r="I16" s="150" t="s">
        <v>321</v>
      </c>
      <c r="J16" s="25" t="str" cm="1">
        <f t="array" ref="J16">_xlfn.TEXTJOIN(","&amp;CHAR(10),,TEXT(Table261425678911[[#This Row],[12]:[22]],"0,00%"))</f>
        <v>0,00%,
0,00%,
0,00%,
0,00%,
0,00%</v>
      </c>
      <c r="K16" s="26"/>
      <c r="L16" s="27" t="e">
        <f>H16-(H16*((MATCH(Table261425678911[[#This Row],[Evaluators Response (SELECT)]],Table261425678911[[#This Row],[1]:[11]],0)-1)/(COUNTA(Table261425678911[[#This Row],[1]:[11]])-COUNTBLANK(Table261425678911[[#This Row],[1]:[11]])-1)))</f>
        <v>#N/A</v>
      </c>
      <c r="M16" s="28"/>
      <c r="N16" s="29" t="str" cm="1">
        <f t="array" ref="N16">IFERROR(INDEX(_xlfn.UNIQUE(TRIM(_xlfn.TEXTSPLIT(Table261425678911[[#This Row],[Selection Options]:[Selection Options]],","))),,N$11),"")</f>
        <v>100%: Supported as delivered "out of the box"</v>
      </c>
      <c r="O16" s="29" t="str" cm="1">
        <f t="array" ref="O16">IFERROR(INDEX(_xlfn.UNIQUE(TRIM(_xlfn.TEXTSPLIT(Table261425678911[[#This Row],[Selection Options]:[Selection Options]],","))),,O$11),"")</f>
        <v xml:space="preserve">
75%: Supported via modifications (config)</v>
      </c>
      <c r="P16" s="29" t="str" cm="1">
        <f t="array" ref="P16">IFERROR(INDEX(_xlfn.UNIQUE(TRIM(_xlfn.TEXTSPLIT(Table261425678911[[#This Row],[Selection Options]:[Selection Options]],","))),,P$11),"")</f>
        <v xml:space="preserve">
50%: Supported via a third party solution</v>
      </c>
      <c r="Q16" s="29" t="str" cm="1">
        <f t="array" ref="Q16">IFERROR(INDEX(_xlfn.UNIQUE(TRIM(_xlfn.TEXTSPLIT(Table261425678911[[#This Row],[Selection Options]:[Selection Options]],","))),,Q$11),"")</f>
        <v xml:space="preserve">
25%: Supported via customisation (source code changes)</v>
      </c>
      <c r="R16" s="29" t="str" cm="1">
        <f t="array" ref="R16">IFERROR(INDEX(_xlfn.UNIQUE(TRIM(_xlfn.TEXTSPLIT(Table261425678911[[#This Row],[Selection Options]:[Selection Options]],","))),,R$11),"")</f>
        <v xml:space="preserve">
 0%: Not currently supported</v>
      </c>
      <c r="S16" s="29" t="str" cm="1">
        <f t="array" ref="S16">IFERROR(INDEX(_xlfn.UNIQUE(TRIM(_xlfn.TEXTSPLIT(Table261425678911[[#This Row],[Selection Options]:[Selection Options]],","))),,S$11),"")</f>
        <v/>
      </c>
      <c r="T16" s="29" t="str" cm="1">
        <f t="array" ref="T16">IFERROR(INDEX(_xlfn.UNIQUE(TRIM(_xlfn.TEXTSPLIT(Table261425678911[[#This Row],[Selection Options]:[Selection Options]],","))),,T$11),"")</f>
        <v/>
      </c>
      <c r="U16" s="29" t="str" cm="1">
        <f t="array" ref="U16">IFERROR(INDEX(_xlfn.UNIQUE(TRIM(_xlfn.TEXTSPLIT(Table261425678911[[#This Row],[Selection Options]:[Selection Options]],","))),,U$11),"")</f>
        <v/>
      </c>
      <c r="V16" s="29" t="str" cm="1">
        <f t="array" ref="V16">IFERROR(INDEX(_xlfn.UNIQUE(TRIM(_xlfn.TEXTSPLIT(Table261425678911[[#This Row],[Selection Options]:[Selection Options]],","))),,V$11),"")</f>
        <v/>
      </c>
      <c r="W16" s="29" t="str" cm="1">
        <f t="array" ref="W16">IFERROR(INDEX(_xlfn.UNIQUE(TRIM(_xlfn.TEXTSPLIT(Table261425678911[[#This Row],[Selection Options]:[Selection Options]],","))),,W$11),"")</f>
        <v/>
      </c>
      <c r="X16" s="29" t="str" cm="1">
        <f t="array" ref="X16">IFERROR(INDEX(_xlfn.UNIQUE(TRIM(_xlfn.TEXTSPLIT(Table261425678911[[#This Row],[Selection Options]:[Selection Options]],","))),,X$11),"")</f>
        <v/>
      </c>
      <c r="Y16" s="30" cm="1">
        <f t="array" ref="Y16">IF(Table261425678911[[#This Row],[1]]="","",Table261425678911[[#This Row],[Weight]:[Weight]]-(Table261425678911[[#This Row],[Weight]:[Weight]]*((_xlfn.XMATCH(Table261425678911[[#This Row],[1]],Table261425678911[[#This Row],[1]:[11]],0))-1)/(COUNTA(Table261425678911[[#This Row],[1]:[11]])-COUNTBLANK(Table261425678911[[#This Row],[1]:[11]])-1)))</f>
        <v>1.9736842105263154E-3</v>
      </c>
      <c r="Z16" s="30" cm="1">
        <f t="array" ref="Z16">IF(Table261425678911[[#This Row],[2]]="","",Table261425678911[[#This Row],[Weight]:[Weight]]-(Table261425678911[[#This Row],[Weight]:[Weight]]*((_xlfn.XMATCH(Table261425678911[[#This Row],[2]],Table261425678911[[#This Row],[1]:[11]],0))-1)/(COUNTA(Table261425678911[[#This Row],[1]:[11]])-COUNTBLANK(Table261425678911[[#This Row],[1]:[11]])-1)))</f>
        <v>1.4802631578947367E-3</v>
      </c>
      <c r="AA16" s="30" cm="1">
        <f t="array" ref="AA16">IF(Table261425678911[[#This Row],[3]]="","",Table261425678911[[#This Row],[Weight]:[Weight]]-(Table261425678911[[#This Row],[Weight]:[Weight]]*((_xlfn.XMATCH(Table261425678911[[#This Row],[3]],Table261425678911[[#This Row],[1]:[11]],0))-1)/(COUNTA(Table261425678911[[#This Row],[1]:[11]])-COUNTBLANK(Table261425678911[[#This Row],[1]:[11]])-1)))</f>
        <v>9.8684210526315771E-4</v>
      </c>
      <c r="AB16" s="30" cm="1">
        <f t="array" ref="AB16">IF(Table261425678911[[#This Row],[4]]="","",Table261425678911[[#This Row],[Weight]:[Weight]]-(Table261425678911[[#This Row],[Weight]:[Weight]]*((_xlfn.XMATCH(Table261425678911[[#This Row],[4]],Table261425678911[[#This Row],[1]:[11]],0))-1)/(COUNTA(Table261425678911[[#This Row],[1]:[11]])-COUNTBLANK(Table261425678911[[#This Row],[1]:[11]])-1)))</f>
        <v>4.9342105263157875E-4</v>
      </c>
      <c r="AC16" s="30" cm="1">
        <f t="array" ref="AC16">IF(Table261425678911[[#This Row],[5]]="","",Table261425678911[[#This Row],[Weight]:[Weight]]-(Table261425678911[[#This Row],[Weight]:[Weight]]*((_xlfn.XMATCH(Table261425678911[[#This Row],[5]],Table261425678911[[#This Row],[1]:[11]],0))-1)/(COUNTA(Table261425678911[[#This Row],[1]:[11]])-COUNTBLANK(Table261425678911[[#This Row],[1]:[11]])-1)))</f>
        <v>0</v>
      </c>
      <c r="AD16" s="30" t="str" cm="1">
        <f t="array" ref="AD16">IF(Table261425678911[[#This Row],[6]]="","",Table261425678911[[#This Row],[Weight]:[Weight]]-(Table261425678911[[#This Row],[Weight]:[Weight]]*((_xlfn.XMATCH(Table261425678911[[#This Row],[6]],Table261425678911[[#This Row],[1]:[11]],0))-1)/(COUNTA(Table261425678911[[#This Row],[1]:[11]])-COUNTBLANK(Table261425678911[[#This Row],[1]:[11]])-1)))</f>
        <v/>
      </c>
      <c r="AE16" s="30" t="str" cm="1">
        <f t="array" ref="AE16">IF(Table261425678911[[#This Row],[7]]="","",Table261425678911[[#This Row],[Weight]:[Weight]]-(Table261425678911[[#This Row],[Weight]:[Weight]]*((_xlfn.XMATCH(Table261425678911[[#This Row],[7]],Table261425678911[[#This Row],[1]:[11]],0))-1)/(COUNTA(Table261425678911[[#This Row],[1]:[11]])-COUNTBLANK(Table261425678911[[#This Row],[1]:[11]])-1)))</f>
        <v/>
      </c>
      <c r="AF16" s="30" t="str" cm="1">
        <f t="array" ref="AF16">IF(Table261425678911[[#This Row],[8]]="","",Table261425678911[[#This Row],[Weight]:[Weight]]-(Table261425678911[[#This Row],[Weight]:[Weight]]*((_xlfn.XMATCH(Table261425678911[[#This Row],[8]],Table261425678911[[#This Row],[1]:[11]],0))-1)/(COUNTA(Table261425678911[[#This Row],[1]:[11]])-COUNTBLANK(Table261425678911[[#This Row],[1]:[11]])-1)))</f>
        <v/>
      </c>
      <c r="AG16" s="30" t="str" cm="1">
        <f t="array" ref="AG16">IF(Table261425678911[[#This Row],[9]]="","",Table261425678911[[#This Row],[Weight]:[Weight]]-(Table261425678911[[#This Row],[Weight]:[Weight]]*((_xlfn.XMATCH(Table261425678911[[#This Row],[9]],Table261425678911[[#This Row],[1]:[11]],0))-1)/(COUNTA(Table261425678911[[#This Row],[1]:[11]])-COUNTBLANK(Table261425678911[[#This Row],[1]:[11]])-1)))</f>
        <v/>
      </c>
      <c r="AH16" s="30" t="str" cm="1">
        <f t="array" ref="AH16">IF(Table261425678911[[#This Row],[10]]="","",Table261425678911[[#This Row],[Weight]:[Weight]]-(Table261425678911[[#This Row],[Weight]:[Weight]]*((_xlfn.XMATCH(Table261425678911[[#This Row],[10]],Table261425678911[[#This Row],[1]:[11]],0))-1)/(COUNTA(Table261425678911[[#This Row],[1]:[11]])-COUNTBLANK(Table261425678911[[#This Row],[1]:[11]])-1)))</f>
        <v/>
      </c>
      <c r="AI16" s="30" t="str" cm="1">
        <f t="array" ref="AI16">IF(Table261425678911[[#This Row],[11]]="","",Table261425678911[[#This Row],[Weight]:[Weight]]-(Table261425678911[[#This Row],[Weight]:[Weight]]*((_xlfn.XMATCH(Table261425678911[[#This Row],[11]],Table261425678911[[#This Row],[1]:[11]],0))-1)/(COUNTA(Table261425678911[[#This Row],[1]:[11]])-COUNTBLANK(Table261425678911[[#This Row],[1]:[11]])-1)))</f>
        <v/>
      </c>
    </row>
    <row r="17" spans="1:35" ht="108" x14ac:dyDescent="0.2">
      <c r="A17" s="20">
        <v>5</v>
      </c>
      <c r="B17" s="90" t="s">
        <v>527</v>
      </c>
      <c r="C17" s="119" t="s">
        <v>215</v>
      </c>
      <c r="D17" s="146"/>
      <c r="E17" s="146"/>
      <c r="F17" s="120" t="s">
        <v>60</v>
      </c>
      <c r="G17" s="148" cm="1">
        <f t="array" ref="G17">_xlfn.IFS(F17="","",F17="No interest",0,F17="Nice to have",1,F17="Useful",2,F17="Important",3,F17="Very important",4,F17="Critical",5,F17="Show stopper",6)</f>
        <v>6</v>
      </c>
      <c r="H17" s="149">
        <f>(G17/$G$11)*$F$11</f>
        <v>1.9736842105263154E-3</v>
      </c>
      <c r="I17" s="150" t="s">
        <v>321</v>
      </c>
      <c r="J17" s="35" t="str" cm="1">
        <f t="array" ref="J17">_xlfn.TEXTJOIN(","&amp;CHAR(10),,TEXT(Table261425678911[[#This Row],[12]:[22]],"0,00%"))</f>
        <v>0,00%,
0,00%,
0,00%,
0,00%,
0,00%</v>
      </c>
      <c r="K17" s="26"/>
      <c r="L17" s="27" t="e">
        <f>H17-(H17*((MATCH(Table261425678911[[#This Row],[Evaluators Response (SELECT)]],Table261425678911[[#This Row],[1]:[11]],0)-1)/(COUNTA(Table261425678911[[#This Row],[1]:[11]])-COUNTBLANK(Table261425678911[[#This Row],[1]:[11]])-1)))</f>
        <v>#N/A</v>
      </c>
      <c r="M17" s="28"/>
      <c r="N17" s="29" t="str" cm="1">
        <f t="array" ref="N17">IFERROR(INDEX(_xlfn.UNIQUE(TRIM(_xlfn.TEXTSPLIT(Table261425678911[[#This Row],[Selection Options]:[Selection Options]],","))),,N$11),"")</f>
        <v>100%: Supported as delivered "out of the box"</v>
      </c>
      <c r="O17" s="29" t="str" cm="1">
        <f t="array" ref="O17">IFERROR(INDEX(_xlfn.UNIQUE(TRIM(_xlfn.TEXTSPLIT(Table261425678911[[#This Row],[Selection Options]:[Selection Options]],","))),,O$11),"")</f>
        <v xml:space="preserve">
75%: Supported via modifications (config)</v>
      </c>
      <c r="P17" s="29" t="str" cm="1">
        <f t="array" ref="P17">IFERROR(INDEX(_xlfn.UNIQUE(TRIM(_xlfn.TEXTSPLIT(Table261425678911[[#This Row],[Selection Options]:[Selection Options]],","))),,P$11),"")</f>
        <v xml:space="preserve">
50%: Supported via a third party solution</v>
      </c>
      <c r="Q17" s="29" t="str" cm="1">
        <f t="array" ref="Q17">IFERROR(INDEX(_xlfn.UNIQUE(TRIM(_xlfn.TEXTSPLIT(Table261425678911[[#This Row],[Selection Options]:[Selection Options]],","))),,Q$11),"")</f>
        <v xml:space="preserve">
25%: Supported via customisation (source code changes)</v>
      </c>
      <c r="R17" s="29" t="str" cm="1">
        <f t="array" ref="R17">IFERROR(INDEX(_xlfn.UNIQUE(TRIM(_xlfn.TEXTSPLIT(Table261425678911[[#This Row],[Selection Options]:[Selection Options]],","))),,R$11),"")</f>
        <v xml:space="preserve">
 0%: Not currently supported</v>
      </c>
      <c r="S17" s="29" t="str" cm="1">
        <f t="array" ref="S17">IFERROR(INDEX(_xlfn.UNIQUE(TRIM(_xlfn.TEXTSPLIT(Table261425678911[[#This Row],[Selection Options]:[Selection Options]],","))),,S$11),"")</f>
        <v/>
      </c>
      <c r="T17" s="29" t="str" cm="1">
        <f t="array" ref="T17">IFERROR(INDEX(_xlfn.UNIQUE(TRIM(_xlfn.TEXTSPLIT(Table261425678911[[#This Row],[Selection Options]:[Selection Options]],","))),,T$11),"")</f>
        <v/>
      </c>
      <c r="U17" s="29" t="str" cm="1">
        <f t="array" ref="U17">IFERROR(INDEX(_xlfn.UNIQUE(TRIM(_xlfn.TEXTSPLIT(Table261425678911[[#This Row],[Selection Options]:[Selection Options]],","))),,U$11),"")</f>
        <v/>
      </c>
      <c r="V17" s="29" t="str" cm="1">
        <f t="array" ref="V17">IFERROR(INDEX(_xlfn.UNIQUE(TRIM(_xlfn.TEXTSPLIT(Table261425678911[[#This Row],[Selection Options]:[Selection Options]],","))),,V$11),"")</f>
        <v/>
      </c>
      <c r="W17" s="29" t="str" cm="1">
        <f t="array" ref="W17">IFERROR(INDEX(_xlfn.UNIQUE(TRIM(_xlfn.TEXTSPLIT(Table261425678911[[#This Row],[Selection Options]:[Selection Options]],","))),,W$11),"")</f>
        <v/>
      </c>
      <c r="X17" s="29" t="str" cm="1">
        <f t="array" ref="X17">IFERROR(INDEX(_xlfn.UNIQUE(TRIM(_xlfn.TEXTSPLIT(Table261425678911[[#This Row],[Selection Options]:[Selection Options]],","))),,X$11),"")</f>
        <v/>
      </c>
      <c r="Y17" s="30" cm="1">
        <f t="array" ref="Y17">IF(Table261425678911[[#This Row],[1]]="","",Table261425678911[[#This Row],[Weight]:[Weight]]-(Table261425678911[[#This Row],[Weight]:[Weight]]*((_xlfn.XMATCH(Table261425678911[[#This Row],[1]],Table261425678911[[#This Row],[1]:[11]],0))-1)/(COUNTA(Table261425678911[[#This Row],[1]:[11]])-COUNTBLANK(Table261425678911[[#This Row],[1]:[11]])-1)))</f>
        <v>1.9736842105263154E-3</v>
      </c>
      <c r="Z17" s="30" cm="1">
        <f t="array" ref="Z17">IF(Table261425678911[[#This Row],[2]]="","",Table261425678911[[#This Row],[Weight]:[Weight]]-(Table261425678911[[#This Row],[Weight]:[Weight]]*((_xlfn.XMATCH(Table261425678911[[#This Row],[2]],Table261425678911[[#This Row],[1]:[11]],0))-1)/(COUNTA(Table261425678911[[#This Row],[1]:[11]])-COUNTBLANK(Table261425678911[[#This Row],[1]:[11]])-1)))</f>
        <v>1.4802631578947367E-3</v>
      </c>
      <c r="AA17" s="30" cm="1">
        <f t="array" ref="AA17">IF(Table261425678911[[#This Row],[3]]="","",Table261425678911[[#This Row],[Weight]:[Weight]]-(Table261425678911[[#This Row],[Weight]:[Weight]]*((_xlfn.XMATCH(Table261425678911[[#This Row],[3]],Table261425678911[[#This Row],[1]:[11]],0))-1)/(COUNTA(Table261425678911[[#This Row],[1]:[11]])-COUNTBLANK(Table261425678911[[#This Row],[1]:[11]])-1)))</f>
        <v>9.8684210526315771E-4</v>
      </c>
      <c r="AB17" s="30" cm="1">
        <f t="array" ref="AB17">IF(Table261425678911[[#This Row],[4]]="","",Table261425678911[[#This Row],[Weight]:[Weight]]-(Table261425678911[[#This Row],[Weight]:[Weight]]*((_xlfn.XMATCH(Table261425678911[[#This Row],[4]],Table261425678911[[#This Row],[1]:[11]],0))-1)/(COUNTA(Table261425678911[[#This Row],[1]:[11]])-COUNTBLANK(Table261425678911[[#This Row],[1]:[11]])-1)))</f>
        <v>4.9342105263157875E-4</v>
      </c>
      <c r="AC17" s="30" cm="1">
        <f t="array" ref="AC17">IF(Table261425678911[[#This Row],[5]]="","",Table261425678911[[#This Row],[Weight]:[Weight]]-(Table261425678911[[#This Row],[Weight]:[Weight]]*((_xlfn.XMATCH(Table261425678911[[#This Row],[5]],Table261425678911[[#This Row],[1]:[11]],0))-1)/(COUNTA(Table261425678911[[#This Row],[1]:[11]])-COUNTBLANK(Table261425678911[[#This Row],[1]:[11]])-1)))</f>
        <v>0</v>
      </c>
      <c r="AD17" s="30" t="str" cm="1">
        <f t="array" ref="AD17">IF(Table261425678911[[#This Row],[6]]="","",Table261425678911[[#This Row],[Weight]:[Weight]]-(Table261425678911[[#This Row],[Weight]:[Weight]]*((_xlfn.XMATCH(Table261425678911[[#This Row],[6]],Table261425678911[[#This Row],[1]:[11]],0))-1)/(COUNTA(Table261425678911[[#This Row],[1]:[11]])-COUNTBLANK(Table261425678911[[#This Row],[1]:[11]])-1)))</f>
        <v/>
      </c>
      <c r="AE17" s="30" t="str" cm="1">
        <f t="array" ref="AE17">IF(Table261425678911[[#This Row],[7]]="","",Table261425678911[[#This Row],[Weight]:[Weight]]-(Table261425678911[[#This Row],[Weight]:[Weight]]*((_xlfn.XMATCH(Table261425678911[[#This Row],[7]],Table261425678911[[#This Row],[1]:[11]],0))-1)/(COUNTA(Table261425678911[[#This Row],[1]:[11]])-COUNTBLANK(Table261425678911[[#This Row],[1]:[11]])-1)))</f>
        <v/>
      </c>
      <c r="AF17" s="30" t="str" cm="1">
        <f t="array" ref="AF17">IF(Table261425678911[[#This Row],[8]]="","",Table261425678911[[#This Row],[Weight]:[Weight]]-(Table261425678911[[#This Row],[Weight]:[Weight]]*((_xlfn.XMATCH(Table261425678911[[#This Row],[8]],Table261425678911[[#This Row],[1]:[11]],0))-1)/(COUNTA(Table261425678911[[#This Row],[1]:[11]])-COUNTBLANK(Table261425678911[[#This Row],[1]:[11]])-1)))</f>
        <v/>
      </c>
      <c r="AG17" s="30" t="str" cm="1">
        <f t="array" ref="AG17">IF(Table261425678911[[#This Row],[9]]="","",Table261425678911[[#This Row],[Weight]:[Weight]]-(Table261425678911[[#This Row],[Weight]:[Weight]]*((_xlfn.XMATCH(Table261425678911[[#This Row],[9]],Table261425678911[[#This Row],[1]:[11]],0))-1)/(COUNTA(Table261425678911[[#This Row],[1]:[11]])-COUNTBLANK(Table261425678911[[#This Row],[1]:[11]])-1)))</f>
        <v/>
      </c>
      <c r="AH17" s="30" t="str" cm="1">
        <f t="array" ref="AH17">IF(Table261425678911[[#This Row],[10]]="","",Table261425678911[[#This Row],[Weight]:[Weight]]-(Table261425678911[[#This Row],[Weight]:[Weight]]*((_xlfn.XMATCH(Table261425678911[[#This Row],[10]],Table261425678911[[#This Row],[1]:[11]],0))-1)/(COUNTA(Table261425678911[[#This Row],[1]:[11]])-COUNTBLANK(Table261425678911[[#This Row],[1]:[11]])-1)))</f>
        <v/>
      </c>
      <c r="AI17" s="30" t="str" cm="1">
        <f t="array" ref="AI17">IF(Table261425678911[[#This Row],[11]]="","",Table261425678911[[#This Row],[Weight]:[Weight]]-(Table261425678911[[#This Row],[Weight]:[Weight]]*((_xlfn.XMATCH(Table261425678911[[#This Row],[11]],Table261425678911[[#This Row],[1]:[11]],0))-1)/(COUNTA(Table261425678911[[#This Row],[1]:[11]])-COUNTBLANK(Table261425678911[[#This Row],[1]:[11]])-1)))</f>
        <v/>
      </c>
    </row>
    <row r="18" spans="1:35" ht="108" x14ac:dyDescent="0.2">
      <c r="A18" s="20">
        <v>6</v>
      </c>
      <c r="B18" s="119" t="s">
        <v>528</v>
      </c>
      <c r="C18" s="119" t="s">
        <v>215</v>
      </c>
      <c r="D18" s="147"/>
      <c r="E18" s="147"/>
      <c r="F18" s="121" t="s">
        <v>188</v>
      </c>
      <c r="G18" s="151" cm="1">
        <f t="array" ref="G18">_xlfn.IFS(F18="","",F18="No interest",0,F18="Nice to have",1,F18="Useful",2,F18="Important",3,F18="Very important",4,F18="Critical",5,F18="Show stopper",6)</f>
        <v>5</v>
      </c>
      <c r="H18" s="152">
        <f t="shared" ref="H18:H33" si="1">(G18/$G$11)*$F$11</f>
        <v>1.6447368421052631E-3</v>
      </c>
      <c r="I18" s="150" t="s">
        <v>321</v>
      </c>
      <c r="J18" s="35" t="str" cm="1">
        <f t="array" ref="J18">_xlfn.TEXTJOIN(","&amp;CHAR(10),,TEXT(Table261425678911[[#This Row],[12]:[22]],"0,00%"))</f>
        <v>0,00%,
0,00%,
0,00%,
0,00%,
0,00%</v>
      </c>
      <c r="K18" s="26"/>
      <c r="L18" s="37" t="e">
        <f>H18-(H18*((MATCH(Table261425678911[[#This Row],[Evaluators Response (SELECT)]],Table261425678911[[#This Row],[1]:[11]],0)-1)/(COUNTA(Table261425678911[[#This Row],[1]:[11]])-COUNTBLANK(Table261425678911[[#This Row],[1]:[11]])-1)))</f>
        <v>#N/A</v>
      </c>
      <c r="M18" s="38"/>
      <c r="N18" s="29" t="str" cm="1">
        <f t="array" ref="N18">IFERROR(INDEX(_xlfn.UNIQUE(TRIM(_xlfn.TEXTSPLIT(Table261425678911[[#This Row],[Selection Options]:[Selection Options]],","))),,N$11),"")</f>
        <v>100%: Supported as delivered "out of the box"</v>
      </c>
      <c r="O18" s="29" t="str" cm="1">
        <f t="array" ref="O18">IFERROR(INDEX(_xlfn.UNIQUE(TRIM(_xlfn.TEXTSPLIT(Table261425678911[[#This Row],[Selection Options]:[Selection Options]],","))),,O$11),"")</f>
        <v xml:space="preserve">
75%: Supported via modifications (config)</v>
      </c>
      <c r="P18" s="29" t="str" cm="1">
        <f t="array" ref="P18">IFERROR(INDEX(_xlfn.UNIQUE(TRIM(_xlfn.TEXTSPLIT(Table261425678911[[#This Row],[Selection Options]:[Selection Options]],","))),,P$11),"")</f>
        <v xml:space="preserve">
50%: Supported via a third party solution</v>
      </c>
      <c r="Q18" s="29" t="str" cm="1">
        <f t="array" ref="Q18">IFERROR(INDEX(_xlfn.UNIQUE(TRIM(_xlfn.TEXTSPLIT(Table261425678911[[#This Row],[Selection Options]:[Selection Options]],","))),,Q$11),"")</f>
        <v xml:space="preserve">
25%: Supported via customisation (source code changes)</v>
      </c>
      <c r="R18" s="29" t="str" cm="1">
        <f t="array" ref="R18">IFERROR(INDEX(_xlfn.UNIQUE(TRIM(_xlfn.TEXTSPLIT(Table261425678911[[#This Row],[Selection Options]:[Selection Options]],","))),,R$11),"")</f>
        <v xml:space="preserve">
 0%: Not currently supported</v>
      </c>
      <c r="S18" s="29" t="str" cm="1">
        <f t="array" ref="S18">IFERROR(INDEX(_xlfn.UNIQUE(TRIM(_xlfn.TEXTSPLIT(Table261425678911[[#This Row],[Selection Options]:[Selection Options]],","))),,S$11),"")</f>
        <v/>
      </c>
      <c r="T18" s="29" t="str" cm="1">
        <f t="array" ref="T18">IFERROR(INDEX(_xlfn.UNIQUE(TRIM(_xlfn.TEXTSPLIT(Table261425678911[[#This Row],[Selection Options]:[Selection Options]],","))),,T$11),"")</f>
        <v/>
      </c>
      <c r="U18" s="29" t="str" cm="1">
        <f t="array" ref="U18">IFERROR(INDEX(_xlfn.UNIQUE(TRIM(_xlfn.TEXTSPLIT(Table261425678911[[#This Row],[Selection Options]:[Selection Options]],","))),,U$11),"")</f>
        <v/>
      </c>
      <c r="V18" s="29" t="str" cm="1">
        <f t="array" ref="V18">IFERROR(INDEX(_xlfn.UNIQUE(TRIM(_xlfn.TEXTSPLIT(Table261425678911[[#This Row],[Selection Options]:[Selection Options]],","))),,V$11),"")</f>
        <v/>
      </c>
      <c r="W18" s="29" t="str" cm="1">
        <f t="array" ref="W18">IFERROR(INDEX(_xlfn.UNIQUE(TRIM(_xlfn.TEXTSPLIT(Table261425678911[[#This Row],[Selection Options]:[Selection Options]],","))),,W$11),"")</f>
        <v/>
      </c>
      <c r="X18" s="29" t="str" cm="1">
        <f t="array" ref="X18">IFERROR(INDEX(_xlfn.UNIQUE(TRIM(_xlfn.TEXTSPLIT(Table261425678911[[#This Row],[Selection Options]:[Selection Options]],","))),,X$11),"")</f>
        <v/>
      </c>
      <c r="Y18" s="30" cm="1">
        <f t="array" ref="Y18">IF(Table261425678911[[#This Row],[1]]="","",Table261425678911[[#This Row],[Weight]:[Weight]]-(Table261425678911[[#This Row],[Weight]:[Weight]]*((_xlfn.XMATCH(Table261425678911[[#This Row],[1]],Table261425678911[[#This Row],[1]:[11]],0))-1)/(COUNTA(Table261425678911[[#This Row],[1]:[11]])-COUNTBLANK(Table261425678911[[#This Row],[1]:[11]])-1)))</f>
        <v>1.6447368421052631E-3</v>
      </c>
      <c r="Z18" s="30" cm="1">
        <f t="array" ref="Z18">IF(Table261425678911[[#This Row],[2]]="","",Table261425678911[[#This Row],[Weight]:[Weight]]-(Table261425678911[[#This Row],[Weight]:[Weight]]*((_xlfn.XMATCH(Table261425678911[[#This Row],[2]],Table261425678911[[#This Row],[1]:[11]],0))-1)/(COUNTA(Table261425678911[[#This Row],[1]:[11]])-COUNTBLANK(Table261425678911[[#This Row],[1]:[11]])-1)))</f>
        <v>1.2335526315789473E-3</v>
      </c>
      <c r="AA18" s="30" cm="1">
        <f t="array" ref="AA18">IF(Table261425678911[[#This Row],[3]]="","",Table261425678911[[#This Row],[Weight]:[Weight]]-(Table261425678911[[#This Row],[Weight]:[Weight]]*((_xlfn.XMATCH(Table261425678911[[#This Row],[3]],Table261425678911[[#This Row],[1]:[11]],0))-1)/(COUNTA(Table261425678911[[#This Row],[1]:[11]])-COUNTBLANK(Table261425678911[[#This Row],[1]:[11]])-1)))</f>
        <v>8.2236842105263153E-4</v>
      </c>
      <c r="AB18" s="30" cm="1">
        <f t="array" ref="AB18">IF(Table261425678911[[#This Row],[4]]="","",Table261425678911[[#This Row],[Weight]:[Weight]]-(Table261425678911[[#This Row],[Weight]:[Weight]]*((_xlfn.XMATCH(Table261425678911[[#This Row],[4]],Table261425678911[[#This Row],[1]:[11]],0))-1)/(COUNTA(Table261425678911[[#This Row],[1]:[11]])-COUNTBLANK(Table261425678911[[#This Row],[1]:[11]])-1)))</f>
        <v>4.1118421052631577E-4</v>
      </c>
      <c r="AC18" s="30" cm="1">
        <f t="array" ref="AC18">IF(Table261425678911[[#This Row],[5]]="","",Table261425678911[[#This Row],[Weight]:[Weight]]-(Table261425678911[[#This Row],[Weight]:[Weight]]*((_xlfn.XMATCH(Table261425678911[[#This Row],[5]],Table261425678911[[#This Row],[1]:[11]],0))-1)/(COUNTA(Table261425678911[[#This Row],[1]:[11]])-COUNTBLANK(Table261425678911[[#This Row],[1]:[11]])-1)))</f>
        <v>0</v>
      </c>
      <c r="AD18" s="30" t="str" cm="1">
        <f t="array" ref="AD18">IF(Table261425678911[[#This Row],[6]]="","",Table261425678911[[#This Row],[Weight]:[Weight]]-(Table261425678911[[#This Row],[Weight]:[Weight]]*((_xlfn.XMATCH(Table261425678911[[#This Row],[6]],Table261425678911[[#This Row],[1]:[11]],0))-1)/(COUNTA(Table261425678911[[#This Row],[1]:[11]])-COUNTBLANK(Table261425678911[[#This Row],[1]:[11]])-1)))</f>
        <v/>
      </c>
      <c r="AE18" s="30" t="str" cm="1">
        <f t="array" ref="AE18">IF(Table261425678911[[#This Row],[7]]="","",Table261425678911[[#This Row],[Weight]:[Weight]]-(Table261425678911[[#This Row],[Weight]:[Weight]]*((_xlfn.XMATCH(Table261425678911[[#This Row],[7]],Table261425678911[[#This Row],[1]:[11]],0))-1)/(COUNTA(Table261425678911[[#This Row],[1]:[11]])-COUNTBLANK(Table261425678911[[#This Row],[1]:[11]])-1)))</f>
        <v/>
      </c>
      <c r="AF18" s="30" t="str" cm="1">
        <f t="array" ref="AF18">IF(Table261425678911[[#This Row],[8]]="","",Table261425678911[[#This Row],[Weight]:[Weight]]-(Table261425678911[[#This Row],[Weight]:[Weight]]*((_xlfn.XMATCH(Table261425678911[[#This Row],[8]],Table261425678911[[#This Row],[1]:[11]],0))-1)/(COUNTA(Table261425678911[[#This Row],[1]:[11]])-COUNTBLANK(Table261425678911[[#This Row],[1]:[11]])-1)))</f>
        <v/>
      </c>
      <c r="AG18" s="30" t="str" cm="1">
        <f t="array" ref="AG18">IF(Table261425678911[[#This Row],[9]]="","",Table261425678911[[#This Row],[Weight]:[Weight]]-(Table261425678911[[#This Row],[Weight]:[Weight]]*((_xlfn.XMATCH(Table261425678911[[#This Row],[9]],Table261425678911[[#This Row],[1]:[11]],0))-1)/(COUNTA(Table261425678911[[#This Row],[1]:[11]])-COUNTBLANK(Table261425678911[[#This Row],[1]:[11]])-1)))</f>
        <v/>
      </c>
      <c r="AH18" s="30" t="str" cm="1">
        <f t="array" ref="AH18">IF(Table261425678911[[#This Row],[10]]="","",Table261425678911[[#This Row],[Weight]:[Weight]]-(Table261425678911[[#This Row],[Weight]:[Weight]]*((_xlfn.XMATCH(Table261425678911[[#This Row],[10]],Table261425678911[[#This Row],[1]:[11]],0))-1)/(COUNTA(Table261425678911[[#This Row],[1]:[11]])-COUNTBLANK(Table261425678911[[#This Row],[1]:[11]])-1)))</f>
        <v/>
      </c>
      <c r="AI18" s="30" t="str" cm="1">
        <f t="array" ref="AI18">IF(Table261425678911[[#This Row],[11]]="","",Table261425678911[[#This Row],[Weight]:[Weight]]-(Table261425678911[[#This Row],[Weight]:[Weight]]*((_xlfn.XMATCH(Table261425678911[[#This Row],[11]],Table261425678911[[#This Row],[1]:[11]],0))-1)/(COUNTA(Table261425678911[[#This Row],[1]:[11]])-COUNTBLANK(Table261425678911[[#This Row],[1]:[11]])-1)))</f>
        <v/>
      </c>
    </row>
    <row r="19" spans="1:35" ht="108" x14ac:dyDescent="0.2">
      <c r="A19" s="20">
        <v>7</v>
      </c>
      <c r="B19" s="119" t="s">
        <v>529</v>
      </c>
      <c r="C19" s="119" t="s">
        <v>215</v>
      </c>
      <c r="D19" s="147"/>
      <c r="E19" s="147"/>
      <c r="F19" s="121" t="s">
        <v>188</v>
      </c>
      <c r="G19" s="151" cm="1">
        <f t="array" ref="G19">_xlfn.IFS(F19="","",F19="No interest",0,F19="Nice to have",1,F19="Useful",2,F19="Important",3,F19="Very important",4,F19="Critical",5,F19="Show stopper",6)</f>
        <v>5</v>
      </c>
      <c r="H19" s="152">
        <f t="shared" si="1"/>
        <v>1.6447368421052631E-3</v>
      </c>
      <c r="I19" s="150" t="s">
        <v>321</v>
      </c>
      <c r="J19" s="35" t="str" cm="1">
        <f t="array" ref="J19">_xlfn.TEXTJOIN(","&amp;CHAR(10),,TEXT(Table261425678911[[#This Row],[12]:[22]],"0,00%"))</f>
        <v>0,00%,
0,00%,
0,00%,
0,00%,
0,00%</v>
      </c>
      <c r="K19" s="26"/>
      <c r="L19" s="37" t="e">
        <f>H19-(H19*((MATCH(Table261425678911[[#This Row],[Evaluators Response (SELECT)]],Table261425678911[[#This Row],[1]:[11]],0)-1)/(COUNTA(Table261425678911[[#This Row],[1]:[11]])-COUNTBLANK(Table261425678911[[#This Row],[1]:[11]])-1)))</f>
        <v>#N/A</v>
      </c>
      <c r="M19" s="38"/>
      <c r="N19" s="29" t="str" cm="1">
        <f t="array" ref="N19">IFERROR(INDEX(_xlfn.UNIQUE(TRIM(_xlfn.TEXTSPLIT(Table261425678911[[#This Row],[Selection Options]:[Selection Options]],","))),,N$11),"")</f>
        <v>100%: Supported as delivered "out of the box"</v>
      </c>
      <c r="O19" s="29" t="str" cm="1">
        <f t="array" ref="O19">IFERROR(INDEX(_xlfn.UNIQUE(TRIM(_xlfn.TEXTSPLIT(Table261425678911[[#This Row],[Selection Options]:[Selection Options]],","))),,O$11),"")</f>
        <v xml:space="preserve">
75%: Supported via modifications (config)</v>
      </c>
      <c r="P19" s="29" t="str" cm="1">
        <f t="array" ref="P19">IFERROR(INDEX(_xlfn.UNIQUE(TRIM(_xlfn.TEXTSPLIT(Table261425678911[[#This Row],[Selection Options]:[Selection Options]],","))),,P$11),"")</f>
        <v xml:space="preserve">
50%: Supported via a third party solution</v>
      </c>
      <c r="Q19" s="29" t="str" cm="1">
        <f t="array" ref="Q19">IFERROR(INDEX(_xlfn.UNIQUE(TRIM(_xlfn.TEXTSPLIT(Table261425678911[[#This Row],[Selection Options]:[Selection Options]],","))),,Q$11),"")</f>
        <v xml:space="preserve">
25%: Supported via customisation (source code changes)</v>
      </c>
      <c r="R19" s="29" t="str" cm="1">
        <f t="array" ref="R19">IFERROR(INDEX(_xlfn.UNIQUE(TRIM(_xlfn.TEXTSPLIT(Table261425678911[[#This Row],[Selection Options]:[Selection Options]],","))),,R$11),"")</f>
        <v xml:space="preserve">
 0%: Not currently supported</v>
      </c>
      <c r="S19" s="29" t="str" cm="1">
        <f t="array" ref="S19">IFERROR(INDEX(_xlfn.UNIQUE(TRIM(_xlfn.TEXTSPLIT(Table261425678911[[#This Row],[Selection Options]:[Selection Options]],","))),,S$11),"")</f>
        <v/>
      </c>
      <c r="T19" s="29" t="str" cm="1">
        <f t="array" ref="T19">IFERROR(INDEX(_xlfn.UNIQUE(TRIM(_xlfn.TEXTSPLIT(Table261425678911[[#This Row],[Selection Options]:[Selection Options]],","))),,T$11),"")</f>
        <v/>
      </c>
      <c r="U19" s="29" t="str" cm="1">
        <f t="array" ref="U19">IFERROR(INDEX(_xlfn.UNIQUE(TRIM(_xlfn.TEXTSPLIT(Table261425678911[[#This Row],[Selection Options]:[Selection Options]],","))),,U$11),"")</f>
        <v/>
      </c>
      <c r="V19" s="29" t="str" cm="1">
        <f t="array" ref="V19">IFERROR(INDEX(_xlfn.UNIQUE(TRIM(_xlfn.TEXTSPLIT(Table261425678911[[#This Row],[Selection Options]:[Selection Options]],","))),,V$11),"")</f>
        <v/>
      </c>
      <c r="W19" s="29" t="str" cm="1">
        <f t="array" ref="W19">IFERROR(INDEX(_xlfn.UNIQUE(TRIM(_xlfn.TEXTSPLIT(Table261425678911[[#This Row],[Selection Options]:[Selection Options]],","))),,W$11),"")</f>
        <v/>
      </c>
      <c r="X19" s="29" t="str" cm="1">
        <f t="array" ref="X19">IFERROR(INDEX(_xlfn.UNIQUE(TRIM(_xlfn.TEXTSPLIT(Table261425678911[[#This Row],[Selection Options]:[Selection Options]],","))),,X$11),"")</f>
        <v/>
      </c>
      <c r="Y19" s="30" cm="1">
        <f t="array" ref="Y19">IF(Table261425678911[[#This Row],[1]]="","",Table261425678911[[#This Row],[Weight]:[Weight]]-(Table261425678911[[#This Row],[Weight]:[Weight]]*((_xlfn.XMATCH(Table261425678911[[#This Row],[1]],Table261425678911[[#This Row],[1]:[11]],0))-1)/(COUNTA(Table261425678911[[#This Row],[1]:[11]])-COUNTBLANK(Table261425678911[[#This Row],[1]:[11]])-1)))</f>
        <v>1.6447368421052631E-3</v>
      </c>
      <c r="Z19" s="30" cm="1">
        <f t="array" ref="Z19">IF(Table261425678911[[#This Row],[2]]="","",Table261425678911[[#This Row],[Weight]:[Weight]]-(Table261425678911[[#This Row],[Weight]:[Weight]]*((_xlfn.XMATCH(Table261425678911[[#This Row],[2]],Table261425678911[[#This Row],[1]:[11]],0))-1)/(COUNTA(Table261425678911[[#This Row],[1]:[11]])-COUNTBLANK(Table261425678911[[#This Row],[1]:[11]])-1)))</f>
        <v>1.2335526315789473E-3</v>
      </c>
      <c r="AA19" s="30" cm="1">
        <f t="array" ref="AA19">IF(Table261425678911[[#This Row],[3]]="","",Table261425678911[[#This Row],[Weight]:[Weight]]-(Table261425678911[[#This Row],[Weight]:[Weight]]*((_xlfn.XMATCH(Table261425678911[[#This Row],[3]],Table261425678911[[#This Row],[1]:[11]],0))-1)/(COUNTA(Table261425678911[[#This Row],[1]:[11]])-COUNTBLANK(Table261425678911[[#This Row],[1]:[11]])-1)))</f>
        <v>8.2236842105263153E-4</v>
      </c>
      <c r="AB19" s="30" cm="1">
        <f t="array" ref="AB19">IF(Table261425678911[[#This Row],[4]]="","",Table261425678911[[#This Row],[Weight]:[Weight]]-(Table261425678911[[#This Row],[Weight]:[Weight]]*((_xlfn.XMATCH(Table261425678911[[#This Row],[4]],Table261425678911[[#This Row],[1]:[11]],0))-1)/(COUNTA(Table261425678911[[#This Row],[1]:[11]])-COUNTBLANK(Table261425678911[[#This Row],[1]:[11]])-1)))</f>
        <v>4.1118421052631577E-4</v>
      </c>
      <c r="AC19" s="30" cm="1">
        <f t="array" ref="AC19">IF(Table261425678911[[#This Row],[5]]="","",Table261425678911[[#This Row],[Weight]:[Weight]]-(Table261425678911[[#This Row],[Weight]:[Weight]]*((_xlfn.XMATCH(Table261425678911[[#This Row],[5]],Table261425678911[[#This Row],[1]:[11]],0))-1)/(COUNTA(Table261425678911[[#This Row],[1]:[11]])-COUNTBLANK(Table261425678911[[#This Row],[1]:[11]])-1)))</f>
        <v>0</v>
      </c>
      <c r="AD19" s="30" t="str" cm="1">
        <f t="array" ref="AD19">IF(Table261425678911[[#This Row],[6]]="","",Table261425678911[[#This Row],[Weight]:[Weight]]-(Table261425678911[[#This Row],[Weight]:[Weight]]*((_xlfn.XMATCH(Table261425678911[[#This Row],[6]],Table261425678911[[#This Row],[1]:[11]],0))-1)/(COUNTA(Table261425678911[[#This Row],[1]:[11]])-COUNTBLANK(Table261425678911[[#This Row],[1]:[11]])-1)))</f>
        <v/>
      </c>
      <c r="AE19" s="30" t="str" cm="1">
        <f t="array" ref="AE19">IF(Table261425678911[[#This Row],[7]]="","",Table261425678911[[#This Row],[Weight]:[Weight]]-(Table261425678911[[#This Row],[Weight]:[Weight]]*((_xlfn.XMATCH(Table261425678911[[#This Row],[7]],Table261425678911[[#This Row],[1]:[11]],0))-1)/(COUNTA(Table261425678911[[#This Row],[1]:[11]])-COUNTBLANK(Table261425678911[[#This Row],[1]:[11]])-1)))</f>
        <v/>
      </c>
      <c r="AF19" s="30" t="str" cm="1">
        <f t="array" ref="AF19">IF(Table261425678911[[#This Row],[8]]="","",Table261425678911[[#This Row],[Weight]:[Weight]]-(Table261425678911[[#This Row],[Weight]:[Weight]]*((_xlfn.XMATCH(Table261425678911[[#This Row],[8]],Table261425678911[[#This Row],[1]:[11]],0))-1)/(COUNTA(Table261425678911[[#This Row],[1]:[11]])-COUNTBLANK(Table261425678911[[#This Row],[1]:[11]])-1)))</f>
        <v/>
      </c>
      <c r="AG19" s="30" t="str" cm="1">
        <f t="array" ref="AG19">IF(Table261425678911[[#This Row],[9]]="","",Table261425678911[[#This Row],[Weight]:[Weight]]-(Table261425678911[[#This Row],[Weight]:[Weight]]*((_xlfn.XMATCH(Table261425678911[[#This Row],[9]],Table261425678911[[#This Row],[1]:[11]],0))-1)/(COUNTA(Table261425678911[[#This Row],[1]:[11]])-COUNTBLANK(Table261425678911[[#This Row],[1]:[11]])-1)))</f>
        <v/>
      </c>
      <c r="AH19" s="30" t="str" cm="1">
        <f t="array" ref="AH19">IF(Table261425678911[[#This Row],[10]]="","",Table261425678911[[#This Row],[Weight]:[Weight]]-(Table261425678911[[#This Row],[Weight]:[Weight]]*((_xlfn.XMATCH(Table261425678911[[#This Row],[10]],Table261425678911[[#This Row],[1]:[11]],0))-1)/(COUNTA(Table261425678911[[#This Row],[1]:[11]])-COUNTBLANK(Table261425678911[[#This Row],[1]:[11]])-1)))</f>
        <v/>
      </c>
      <c r="AI19" s="30" t="str" cm="1">
        <f t="array" ref="AI19">IF(Table261425678911[[#This Row],[11]]="","",Table261425678911[[#This Row],[Weight]:[Weight]]-(Table261425678911[[#This Row],[Weight]:[Weight]]*((_xlfn.XMATCH(Table261425678911[[#This Row],[11]],Table261425678911[[#This Row],[1]:[11]],0))-1)/(COUNTA(Table261425678911[[#This Row],[1]:[11]])-COUNTBLANK(Table261425678911[[#This Row],[1]:[11]])-1)))</f>
        <v/>
      </c>
    </row>
    <row r="20" spans="1:35" ht="108" x14ac:dyDescent="0.2">
      <c r="A20" s="20">
        <v>8</v>
      </c>
      <c r="B20" s="119" t="s">
        <v>530</v>
      </c>
      <c r="C20" s="119" t="s">
        <v>215</v>
      </c>
      <c r="D20" s="147"/>
      <c r="E20" s="147"/>
      <c r="F20" s="121" t="s">
        <v>188</v>
      </c>
      <c r="G20" s="151" cm="1">
        <f t="array" ref="G20">_xlfn.IFS(F20="","",F20="No interest",0,F20="Nice to have",1,F20="Useful",2,F20="Important",3,F20="Very important",4,F20="Critical",5,F20="Show stopper",6)</f>
        <v>5</v>
      </c>
      <c r="H20" s="152">
        <f t="shared" si="1"/>
        <v>1.6447368421052631E-3</v>
      </c>
      <c r="I20" s="150" t="s">
        <v>321</v>
      </c>
      <c r="J20" s="35" t="str" cm="1">
        <f t="array" ref="J20">_xlfn.TEXTJOIN(","&amp;CHAR(10),,TEXT(Table261425678911[[#This Row],[12]:[22]],"0,00%"))</f>
        <v>0,00%,
0,00%,
0,00%,
0,00%,
0,00%</v>
      </c>
      <c r="K20" s="26"/>
      <c r="L20" s="37" t="e">
        <f>H20-(H20*((MATCH(Table261425678911[[#This Row],[Evaluators Response (SELECT)]],Table261425678911[[#This Row],[1]:[11]],0)-1)/(COUNTA(Table261425678911[[#This Row],[1]:[11]])-COUNTBLANK(Table261425678911[[#This Row],[1]:[11]])-1)))</f>
        <v>#N/A</v>
      </c>
      <c r="M20" s="38"/>
      <c r="N20" s="29" t="str" cm="1">
        <f t="array" ref="N20">IFERROR(INDEX(_xlfn.UNIQUE(TRIM(_xlfn.TEXTSPLIT(Table261425678911[[#This Row],[Selection Options]:[Selection Options]],","))),,N$11),"")</f>
        <v>100%: Supported as delivered "out of the box"</v>
      </c>
      <c r="O20" s="29" t="str" cm="1">
        <f t="array" ref="O20">IFERROR(INDEX(_xlfn.UNIQUE(TRIM(_xlfn.TEXTSPLIT(Table261425678911[[#This Row],[Selection Options]:[Selection Options]],","))),,O$11),"")</f>
        <v xml:space="preserve">
75%: Supported via modifications (config)</v>
      </c>
      <c r="P20" s="29" t="str" cm="1">
        <f t="array" ref="P20">IFERROR(INDEX(_xlfn.UNIQUE(TRIM(_xlfn.TEXTSPLIT(Table261425678911[[#This Row],[Selection Options]:[Selection Options]],","))),,P$11),"")</f>
        <v xml:space="preserve">
50%: Supported via a third party solution</v>
      </c>
      <c r="Q20" s="29" t="str" cm="1">
        <f t="array" ref="Q20">IFERROR(INDEX(_xlfn.UNIQUE(TRIM(_xlfn.TEXTSPLIT(Table261425678911[[#This Row],[Selection Options]:[Selection Options]],","))),,Q$11),"")</f>
        <v xml:space="preserve">
25%: Supported via customisation (source code changes)</v>
      </c>
      <c r="R20" s="29" t="str" cm="1">
        <f t="array" ref="R20">IFERROR(INDEX(_xlfn.UNIQUE(TRIM(_xlfn.TEXTSPLIT(Table261425678911[[#This Row],[Selection Options]:[Selection Options]],","))),,R$11),"")</f>
        <v xml:space="preserve">
 0%: Not currently supported</v>
      </c>
      <c r="S20" s="29" t="str" cm="1">
        <f t="array" ref="S20">IFERROR(INDEX(_xlfn.UNIQUE(TRIM(_xlfn.TEXTSPLIT(Table261425678911[[#This Row],[Selection Options]:[Selection Options]],","))),,S$11),"")</f>
        <v/>
      </c>
      <c r="T20" s="29" t="str" cm="1">
        <f t="array" ref="T20">IFERROR(INDEX(_xlfn.UNIQUE(TRIM(_xlfn.TEXTSPLIT(Table261425678911[[#This Row],[Selection Options]:[Selection Options]],","))),,T$11),"")</f>
        <v/>
      </c>
      <c r="U20" s="29" t="str" cm="1">
        <f t="array" ref="U20">IFERROR(INDEX(_xlfn.UNIQUE(TRIM(_xlfn.TEXTSPLIT(Table261425678911[[#This Row],[Selection Options]:[Selection Options]],","))),,U$11),"")</f>
        <v/>
      </c>
      <c r="V20" s="29" t="str" cm="1">
        <f t="array" ref="V20">IFERROR(INDEX(_xlfn.UNIQUE(TRIM(_xlfn.TEXTSPLIT(Table261425678911[[#This Row],[Selection Options]:[Selection Options]],","))),,V$11),"")</f>
        <v/>
      </c>
      <c r="W20" s="29" t="str" cm="1">
        <f t="array" ref="W20">IFERROR(INDEX(_xlfn.UNIQUE(TRIM(_xlfn.TEXTSPLIT(Table261425678911[[#This Row],[Selection Options]:[Selection Options]],","))),,W$11),"")</f>
        <v/>
      </c>
      <c r="X20" s="29" t="str" cm="1">
        <f t="array" ref="X20">IFERROR(INDEX(_xlfn.UNIQUE(TRIM(_xlfn.TEXTSPLIT(Table261425678911[[#This Row],[Selection Options]:[Selection Options]],","))),,X$11),"")</f>
        <v/>
      </c>
      <c r="Y20" s="30" cm="1">
        <f t="array" ref="Y20">IF(Table261425678911[[#This Row],[1]]="","",Table261425678911[[#This Row],[Weight]:[Weight]]-(Table261425678911[[#This Row],[Weight]:[Weight]]*((_xlfn.XMATCH(Table261425678911[[#This Row],[1]],Table261425678911[[#This Row],[1]:[11]],0))-1)/(COUNTA(Table261425678911[[#This Row],[1]:[11]])-COUNTBLANK(Table261425678911[[#This Row],[1]:[11]])-1)))</f>
        <v>1.6447368421052631E-3</v>
      </c>
      <c r="Z20" s="30" cm="1">
        <f t="array" ref="Z20">IF(Table261425678911[[#This Row],[2]]="","",Table261425678911[[#This Row],[Weight]:[Weight]]-(Table261425678911[[#This Row],[Weight]:[Weight]]*((_xlfn.XMATCH(Table261425678911[[#This Row],[2]],Table261425678911[[#This Row],[1]:[11]],0))-1)/(COUNTA(Table261425678911[[#This Row],[1]:[11]])-COUNTBLANK(Table261425678911[[#This Row],[1]:[11]])-1)))</f>
        <v>1.2335526315789473E-3</v>
      </c>
      <c r="AA20" s="30" cm="1">
        <f t="array" ref="AA20">IF(Table261425678911[[#This Row],[3]]="","",Table261425678911[[#This Row],[Weight]:[Weight]]-(Table261425678911[[#This Row],[Weight]:[Weight]]*((_xlfn.XMATCH(Table261425678911[[#This Row],[3]],Table261425678911[[#This Row],[1]:[11]],0))-1)/(COUNTA(Table261425678911[[#This Row],[1]:[11]])-COUNTBLANK(Table261425678911[[#This Row],[1]:[11]])-1)))</f>
        <v>8.2236842105263153E-4</v>
      </c>
      <c r="AB20" s="30" cm="1">
        <f t="array" ref="AB20">IF(Table261425678911[[#This Row],[4]]="","",Table261425678911[[#This Row],[Weight]:[Weight]]-(Table261425678911[[#This Row],[Weight]:[Weight]]*((_xlfn.XMATCH(Table261425678911[[#This Row],[4]],Table261425678911[[#This Row],[1]:[11]],0))-1)/(COUNTA(Table261425678911[[#This Row],[1]:[11]])-COUNTBLANK(Table261425678911[[#This Row],[1]:[11]])-1)))</f>
        <v>4.1118421052631577E-4</v>
      </c>
      <c r="AC20" s="30" cm="1">
        <f t="array" ref="AC20">IF(Table261425678911[[#This Row],[5]]="","",Table261425678911[[#This Row],[Weight]:[Weight]]-(Table261425678911[[#This Row],[Weight]:[Weight]]*((_xlfn.XMATCH(Table261425678911[[#This Row],[5]],Table261425678911[[#This Row],[1]:[11]],0))-1)/(COUNTA(Table261425678911[[#This Row],[1]:[11]])-COUNTBLANK(Table261425678911[[#This Row],[1]:[11]])-1)))</f>
        <v>0</v>
      </c>
      <c r="AD20" s="30" t="str" cm="1">
        <f t="array" ref="AD20">IF(Table261425678911[[#This Row],[6]]="","",Table261425678911[[#This Row],[Weight]:[Weight]]-(Table261425678911[[#This Row],[Weight]:[Weight]]*((_xlfn.XMATCH(Table261425678911[[#This Row],[6]],Table261425678911[[#This Row],[1]:[11]],0))-1)/(COUNTA(Table261425678911[[#This Row],[1]:[11]])-COUNTBLANK(Table261425678911[[#This Row],[1]:[11]])-1)))</f>
        <v/>
      </c>
      <c r="AE20" s="30" t="str" cm="1">
        <f t="array" ref="AE20">IF(Table261425678911[[#This Row],[7]]="","",Table261425678911[[#This Row],[Weight]:[Weight]]-(Table261425678911[[#This Row],[Weight]:[Weight]]*((_xlfn.XMATCH(Table261425678911[[#This Row],[7]],Table261425678911[[#This Row],[1]:[11]],0))-1)/(COUNTA(Table261425678911[[#This Row],[1]:[11]])-COUNTBLANK(Table261425678911[[#This Row],[1]:[11]])-1)))</f>
        <v/>
      </c>
      <c r="AF20" s="30" t="str" cm="1">
        <f t="array" ref="AF20">IF(Table261425678911[[#This Row],[8]]="","",Table261425678911[[#This Row],[Weight]:[Weight]]-(Table261425678911[[#This Row],[Weight]:[Weight]]*((_xlfn.XMATCH(Table261425678911[[#This Row],[8]],Table261425678911[[#This Row],[1]:[11]],0))-1)/(COUNTA(Table261425678911[[#This Row],[1]:[11]])-COUNTBLANK(Table261425678911[[#This Row],[1]:[11]])-1)))</f>
        <v/>
      </c>
      <c r="AG20" s="30" t="str" cm="1">
        <f t="array" ref="AG20">IF(Table261425678911[[#This Row],[9]]="","",Table261425678911[[#This Row],[Weight]:[Weight]]-(Table261425678911[[#This Row],[Weight]:[Weight]]*((_xlfn.XMATCH(Table261425678911[[#This Row],[9]],Table261425678911[[#This Row],[1]:[11]],0))-1)/(COUNTA(Table261425678911[[#This Row],[1]:[11]])-COUNTBLANK(Table261425678911[[#This Row],[1]:[11]])-1)))</f>
        <v/>
      </c>
      <c r="AH20" s="30" t="str" cm="1">
        <f t="array" ref="AH20">IF(Table261425678911[[#This Row],[10]]="","",Table261425678911[[#This Row],[Weight]:[Weight]]-(Table261425678911[[#This Row],[Weight]:[Weight]]*((_xlfn.XMATCH(Table261425678911[[#This Row],[10]],Table261425678911[[#This Row],[1]:[11]],0))-1)/(COUNTA(Table261425678911[[#This Row],[1]:[11]])-COUNTBLANK(Table261425678911[[#This Row],[1]:[11]])-1)))</f>
        <v/>
      </c>
      <c r="AI20" s="30" t="str" cm="1">
        <f t="array" ref="AI20">IF(Table261425678911[[#This Row],[11]]="","",Table261425678911[[#This Row],[Weight]:[Weight]]-(Table261425678911[[#This Row],[Weight]:[Weight]]*((_xlfn.XMATCH(Table261425678911[[#This Row],[11]],Table261425678911[[#This Row],[1]:[11]],0))-1)/(COUNTA(Table261425678911[[#This Row],[1]:[11]])-COUNTBLANK(Table261425678911[[#This Row],[1]:[11]])-1)))</f>
        <v/>
      </c>
    </row>
    <row r="21" spans="1:35" ht="108" x14ac:dyDescent="0.2">
      <c r="A21" s="20">
        <v>9</v>
      </c>
      <c r="B21" s="119" t="s">
        <v>531</v>
      </c>
      <c r="C21" s="119" t="s">
        <v>215</v>
      </c>
      <c r="D21" s="146"/>
      <c r="E21" s="146"/>
      <c r="F21" s="121" t="s">
        <v>60</v>
      </c>
      <c r="G21" s="148" cm="1">
        <f t="array" ref="G21">_xlfn.IFS(F21="","",F21="No interest",0,F21="Nice to have",1,F21="Useful",2,F21="Important",3,F21="Very important",4,F21="Critical",5,F21="Show stopper",6)</f>
        <v>6</v>
      </c>
      <c r="H21" s="149">
        <f t="shared" si="1"/>
        <v>1.9736842105263154E-3</v>
      </c>
      <c r="I21" s="150" t="s">
        <v>321</v>
      </c>
      <c r="J21" s="35" t="str" cm="1">
        <f t="array" ref="J21">_xlfn.TEXTJOIN(","&amp;CHAR(10),,TEXT(Table261425678911[[#This Row],[12]:[22]],"0,00%"))</f>
        <v>0,00%,
0,00%,
0,00%,
0,00%,
0,00%</v>
      </c>
      <c r="K21" s="26"/>
      <c r="L21" s="27" t="e">
        <f>H21-(H21*((MATCH(Table261425678911[[#This Row],[Evaluators Response (SELECT)]],Table261425678911[[#This Row],[1]:[11]],0)-1)/(COUNTA(Table261425678911[[#This Row],[1]:[11]])-COUNTBLANK(Table261425678911[[#This Row],[1]:[11]])-1)))</f>
        <v>#N/A</v>
      </c>
      <c r="M21" s="28"/>
      <c r="N21" s="29" t="str" cm="1">
        <f t="array" ref="N21">IFERROR(INDEX(_xlfn.UNIQUE(TRIM(_xlfn.TEXTSPLIT(Table261425678911[[#This Row],[Selection Options]:[Selection Options]],","))),,N$11),"")</f>
        <v>100%: Supported as delivered "out of the box"</v>
      </c>
      <c r="O21" s="29" t="str" cm="1">
        <f t="array" ref="O21">IFERROR(INDEX(_xlfn.UNIQUE(TRIM(_xlfn.TEXTSPLIT(Table261425678911[[#This Row],[Selection Options]:[Selection Options]],","))),,O$11),"")</f>
        <v xml:space="preserve">
75%: Supported via modifications (config)</v>
      </c>
      <c r="P21" s="29" t="str" cm="1">
        <f t="array" ref="P21">IFERROR(INDEX(_xlfn.UNIQUE(TRIM(_xlfn.TEXTSPLIT(Table261425678911[[#This Row],[Selection Options]:[Selection Options]],","))),,P$11),"")</f>
        <v xml:space="preserve">
50%: Supported via a third party solution</v>
      </c>
      <c r="Q21" s="29" t="str" cm="1">
        <f t="array" ref="Q21">IFERROR(INDEX(_xlfn.UNIQUE(TRIM(_xlfn.TEXTSPLIT(Table261425678911[[#This Row],[Selection Options]:[Selection Options]],","))),,Q$11),"")</f>
        <v xml:space="preserve">
25%: Supported via customisation (source code changes)</v>
      </c>
      <c r="R21" s="29" t="str" cm="1">
        <f t="array" ref="R21">IFERROR(INDEX(_xlfn.UNIQUE(TRIM(_xlfn.TEXTSPLIT(Table261425678911[[#This Row],[Selection Options]:[Selection Options]],","))),,R$11),"")</f>
        <v xml:space="preserve">
 0%: Not currently supported</v>
      </c>
      <c r="S21" s="29" t="str" cm="1">
        <f t="array" ref="S21">IFERROR(INDEX(_xlfn.UNIQUE(TRIM(_xlfn.TEXTSPLIT(Table261425678911[[#This Row],[Selection Options]:[Selection Options]],","))),,S$11),"")</f>
        <v/>
      </c>
      <c r="T21" s="29" t="str" cm="1">
        <f t="array" ref="T21">IFERROR(INDEX(_xlfn.UNIQUE(TRIM(_xlfn.TEXTSPLIT(Table261425678911[[#This Row],[Selection Options]:[Selection Options]],","))),,T$11),"")</f>
        <v/>
      </c>
      <c r="U21" s="29" t="str" cm="1">
        <f t="array" ref="U21">IFERROR(INDEX(_xlfn.UNIQUE(TRIM(_xlfn.TEXTSPLIT(Table261425678911[[#This Row],[Selection Options]:[Selection Options]],","))),,U$11),"")</f>
        <v/>
      </c>
      <c r="V21" s="29" t="str" cm="1">
        <f t="array" ref="V21">IFERROR(INDEX(_xlfn.UNIQUE(TRIM(_xlfn.TEXTSPLIT(Table261425678911[[#This Row],[Selection Options]:[Selection Options]],","))),,V$11),"")</f>
        <v/>
      </c>
      <c r="W21" s="29" t="str" cm="1">
        <f t="array" ref="W21">IFERROR(INDEX(_xlfn.UNIQUE(TRIM(_xlfn.TEXTSPLIT(Table261425678911[[#This Row],[Selection Options]:[Selection Options]],","))),,W$11),"")</f>
        <v/>
      </c>
      <c r="X21" s="29" t="str" cm="1">
        <f t="array" ref="X21">IFERROR(INDEX(_xlfn.UNIQUE(TRIM(_xlfn.TEXTSPLIT(Table261425678911[[#This Row],[Selection Options]:[Selection Options]],","))),,X$11),"")</f>
        <v/>
      </c>
      <c r="Y21" s="30" cm="1">
        <f t="array" ref="Y21">IF(Table261425678911[[#This Row],[1]]="","",Table261425678911[[#This Row],[Weight]:[Weight]]-(Table261425678911[[#This Row],[Weight]:[Weight]]*((_xlfn.XMATCH(Table261425678911[[#This Row],[1]],Table261425678911[[#This Row],[1]:[11]],0))-1)/(COUNTA(Table261425678911[[#This Row],[1]:[11]])-COUNTBLANK(Table261425678911[[#This Row],[1]:[11]])-1)))</f>
        <v>1.9736842105263154E-3</v>
      </c>
      <c r="Z21" s="30" cm="1">
        <f t="array" ref="Z21">IF(Table261425678911[[#This Row],[2]]="","",Table261425678911[[#This Row],[Weight]:[Weight]]-(Table261425678911[[#This Row],[Weight]:[Weight]]*((_xlfn.XMATCH(Table261425678911[[#This Row],[2]],Table261425678911[[#This Row],[1]:[11]],0))-1)/(COUNTA(Table261425678911[[#This Row],[1]:[11]])-COUNTBLANK(Table261425678911[[#This Row],[1]:[11]])-1)))</f>
        <v>1.4802631578947367E-3</v>
      </c>
      <c r="AA21" s="30" cm="1">
        <f t="array" ref="AA21">IF(Table261425678911[[#This Row],[3]]="","",Table261425678911[[#This Row],[Weight]:[Weight]]-(Table261425678911[[#This Row],[Weight]:[Weight]]*((_xlfn.XMATCH(Table261425678911[[#This Row],[3]],Table261425678911[[#This Row],[1]:[11]],0))-1)/(COUNTA(Table261425678911[[#This Row],[1]:[11]])-COUNTBLANK(Table261425678911[[#This Row],[1]:[11]])-1)))</f>
        <v>9.8684210526315771E-4</v>
      </c>
      <c r="AB21" s="30" cm="1">
        <f t="array" ref="AB21">IF(Table261425678911[[#This Row],[4]]="","",Table261425678911[[#This Row],[Weight]:[Weight]]-(Table261425678911[[#This Row],[Weight]:[Weight]]*((_xlfn.XMATCH(Table261425678911[[#This Row],[4]],Table261425678911[[#This Row],[1]:[11]],0))-1)/(COUNTA(Table261425678911[[#This Row],[1]:[11]])-COUNTBLANK(Table261425678911[[#This Row],[1]:[11]])-1)))</f>
        <v>4.9342105263157875E-4</v>
      </c>
      <c r="AC21" s="30" cm="1">
        <f t="array" ref="AC21">IF(Table261425678911[[#This Row],[5]]="","",Table261425678911[[#This Row],[Weight]:[Weight]]-(Table261425678911[[#This Row],[Weight]:[Weight]]*((_xlfn.XMATCH(Table261425678911[[#This Row],[5]],Table261425678911[[#This Row],[1]:[11]],0))-1)/(COUNTA(Table261425678911[[#This Row],[1]:[11]])-COUNTBLANK(Table261425678911[[#This Row],[1]:[11]])-1)))</f>
        <v>0</v>
      </c>
      <c r="AD21" s="30" t="str" cm="1">
        <f t="array" ref="AD21">IF(Table261425678911[[#This Row],[6]]="","",Table261425678911[[#This Row],[Weight]:[Weight]]-(Table261425678911[[#This Row],[Weight]:[Weight]]*((_xlfn.XMATCH(Table261425678911[[#This Row],[6]],Table261425678911[[#This Row],[1]:[11]],0))-1)/(COUNTA(Table261425678911[[#This Row],[1]:[11]])-COUNTBLANK(Table261425678911[[#This Row],[1]:[11]])-1)))</f>
        <v/>
      </c>
      <c r="AE21" s="30" t="str" cm="1">
        <f t="array" ref="AE21">IF(Table261425678911[[#This Row],[7]]="","",Table261425678911[[#This Row],[Weight]:[Weight]]-(Table261425678911[[#This Row],[Weight]:[Weight]]*((_xlfn.XMATCH(Table261425678911[[#This Row],[7]],Table261425678911[[#This Row],[1]:[11]],0))-1)/(COUNTA(Table261425678911[[#This Row],[1]:[11]])-COUNTBLANK(Table261425678911[[#This Row],[1]:[11]])-1)))</f>
        <v/>
      </c>
      <c r="AF21" s="30" t="str" cm="1">
        <f t="array" ref="AF21">IF(Table261425678911[[#This Row],[8]]="","",Table261425678911[[#This Row],[Weight]:[Weight]]-(Table261425678911[[#This Row],[Weight]:[Weight]]*((_xlfn.XMATCH(Table261425678911[[#This Row],[8]],Table261425678911[[#This Row],[1]:[11]],0))-1)/(COUNTA(Table261425678911[[#This Row],[1]:[11]])-COUNTBLANK(Table261425678911[[#This Row],[1]:[11]])-1)))</f>
        <v/>
      </c>
      <c r="AG21" s="30" t="str" cm="1">
        <f t="array" ref="AG21">IF(Table261425678911[[#This Row],[9]]="","",Table261425678911[[#This Row],[Weight]:[Weight]]-(Table261425678911[[#This Row],[Weight]:[Weight]]*((_xlfn.XMATCH(Table261425678911[[#This Row],[9]],Table261425678911[[#This Row],[1]:[11]],0))-1)/(COUNTA(Table261425678911[[#This Row],[1]:[11]])-COUNTBLANK(Table261425678911[[#This Row],[1]:[11]])-1)))</f>
        <v/>
      </c>
      <c r="AH21" s="30" t="str" cm="1">
        <f t="array" ref="AH21">IF(Table261425678911[[#This Row],[10]]="","",Table261425678911[[#This Row],[Weight]:[Weight]]-(Table261425678911[[#This Row],[Weight]:[Weight]]*((_xlfn.XMATCH(Table261425678911[[#This Row],[10]],Table261425678911[[#This Row],[1]:[11]],0))-1)/(COUNTA(Table261425678911[[#This Row],[1]:[11]])-COUNTBLANK(Table261425678911[[#This Row],[1]:[11]])-1)))</f>
        <v/>
      </c>
      <c r="AI21" s="30" t="str" cm="1">
        <f t="array" ref="AI21">IF(Table261425678911[[#This Row],[11]]="","",Table261425678911[[#This Row],[Weight]:[Weight]]-(Table261425678911[[#This Row],[Weight]:[Weight]]*((_xlfn.XMATCH(Table261425678911[[#This Row],[11]],Table261425678911[[#This Row],[1]:[11]],0))-1)/(COUNTA(Table261425678911[[#This Row],[1]:[11]])-COUNTBLANK(Table261425678911[[#This Row],[1]:[11]])-1)))</f>
        <v/>
      </c>
    </row>
    <row r="22" spans="1:35" ht="108" x14ac:dyDescent="0.2">
      <c r="A22" s="20">
        <v>10</v>
      </c>
      <c r="B22" s="90" t="s">
        <v>532</v>
      </c>
      <c r="C22" s="119" t="s">
        <v>215</v>
      </c>
      <c r="D22" s="146"/>
      <c r="E22" s="146"/>
      <c r="F22" s="120" t="s">
        <v>188</v>
      </c>
      <c r="G22" s="148" cm="1">
        <f t="array" ref="G22">_xlfn.IFS(F22="","",F22="No interest",0,F22="Nice to have",1,F22="Useful",2,F22="Important",3,F22="Very important",4,F22="Critical",5,F22="Show stopper",6)</f>
        <v>5</v>
      </c>
      <c r="H22" s="149">
        <f t="shared" si="1"/>
        <v>1.6447368421052631E-3</v>
      </c>
      <c r="I22" s="150" t="s">
        <v>321</v>
      </c>
      <c r="J22" s="35" t="str" cm="1">
        <f t="array" ref="J22">_xlfn.TEXTJOIN(","&amp;CHAR(10),,TEXT(Table261425678911[[#This Row],[12]:[22]],"0,00%"))</f>
        <v>0,00%,
0,00%,
0,00%,
0,00%,
0,00%</v>
      </c>
      <c r="K22" s="26"/>
      <c r="L22" s="27" t="e">
        <f>H22-(H22*((MATCH(Table261425678911[[#This Row],[Evaluators Response (SELECT)]],Table261425678911[[#This Row],[1]:[11]],0)-1)/(COUNTA(Table261425678911[[#This Row],[1]:[11]])-COUNTBLANK(Table261425678911[[#This Row],[1]:[11]])-1)))</f>
        <v>#N/A</v>
      </c>
      <c r="M22" s="28"/>
      <c r="N22" s="29" t="str" cm="1">
        <f t="array" ref="N22">IFERROR(INDEX(_xlfn.UNIQUE(TRIM(_xlfn.TEXTSPLIT(Table261425678911[[#This Row],[Selection Options]:[Selection Options]],","))),,N$11),"")</f>
        <v>100%: Supported as delivered "out of the box"</v>
      </c>
      <c r="O22" s="29" t="str" cm="1">
        <f t="array" ref="O22">IFERROR(INDEX(_xlfn.UNIQUE(TRIM(_xlfn.TEXTSPLIT(Table261425678911[[#This Row],[Selection Options]:[Selection Options]],","))),,O$11),"")</f>
        <v xml:space="preserve">
75%: Supported via modifications (config)</v>
      </c>
      <c r="P22" s="29" t="str" cm="1">
        <f t="array" ref="P22">IFERROR(INDEX(_xlfn.UNIQUE(TRIM(_xlfn.TEXTSPLIT(Table261425678911[[#This Row],[Selection Options]:[Selection Options]],","))),,P$11),"")</f>
        <v xml:space="preserve">
50%: Supported via a third party solution</v>
      </c>
      <c r="Q22" s="29" t="str" cm="1">
        <f t="array" ref="Q22">IFERROR(INDEX(_xlfn.UNIQUE(TRIM(_xlfn.TEXTSPLIT(Table261425678911[[#This Row],[Selection Options]:[Selection Options]],","))),,Q$11),"")</f>
        <v xml:space="preserve">
25%: Supported via customisation (source code changes)</v>
      </c>
      <c r="R22" s="29" t="str" cm="1">
        <f t="array" ref="R22">IFERROR(INDEX(_xlfn.UNIQUE(TRIM(_xlfn.TEXTSPLIT(Table261425678911[[#This Row],[Selection Options]:[Selection Options]],","))),,R$11),"")</f>
        <v xml:space="preserve">
 0%: Not currently supported</v>
      </c>
      <c r="S22" s="29" t="str" cm="1">
        <f t="array" ref="S22">IFERROR(INDEX(_xlfn.UNIQUE(TRIM(_xlfn.TEXTSPLIT(Table261425678911[[#This Row],[Selection Options]:[Selection Options]],","))),,S$11),"")</f>
        <v/>
      </c>
      <c r="T22" s="29" t="str" cm="1">
        <f t="array" ref="T22">IFERROR(INDEX(_xlfn.UNIQUE(TRIM(_xlfn.TEXTSPLIT(Table261425678911[[#This Row],[Selection Options]:[Selection Options]],","))),,T$11),"")</f>
        <v/>
      </c>
      <c r="U22" s="29" t="str" cm="1">
        <f t="array" ref="U22">IFERROR(INDEX(_xlfn.UNIQUE(TRIM(_xlfn.TEXTSPLIT(Table261425678911[[#This Row],[Selection Options]:[Selection Options]],","))),,U$11),"")</f>
        <v/>
      </c>
      <c r="V22" s="29" t="str" cm="1">
        <f t="array" ref="V22">IFERROR(INDEX(_xlfn.UNIQUE(TRIM(_xlfn.TEXTSPLIT(Table261425678911[[#This Row],[Selection Options]:[Selection Options]],","))),,V$11),"")</f>
        <v/>
      </c>
      <c r="W22" s="29" t="str" cm="1">
        <f t="array" ref="W22">IFERROR(INDEX(_xlfn.UNIQUE(TRIM(_xlfn.TEXTSPLIT(Table261425678911[[#This Row],[Selection Options]:[Selection Options]],","))),,W$11),"")</f>
        <v/>
      </c>
      <c r="X22" s="29" t="str" cm="1">
        <f t="array" ref="X22">IFERROR(INDEX(_xlfn.UNIQUE(TRIM(_xlfn.TEXTSPLIT(Table261425678911[[#This Row],[Selection Options]:[Selection Options]],","))),,X$11),"")</f>
        <v/>
      </c>
      <c r="Y22" s="30" cm="1">
        <f t="array" ref="Y22">IF(Table261425678911[[#This Row],[1]]="","",Table261425678911[[#This Row],[Weight]:[Weight]]-(Table261425678911[[#This Row],[Weight]:[Weight]]*((_xlfn.XMATCH(Table261425678911[[#This Row],[1]],Table261425678911[[#This Row],[1]:[11]],0))-1)/(COUNTA(Table261425678911[[#This Row],[1]:[11]])-COUNTBLANK(Table261425678911[[#This Row],[1]:[11]])-1)))</f>
        <v>1.6447368421052631E-3</v>
      </c>
      <c r="Z22" s="30" cm="1">
        <f t="array" ref="Z22">IF(Table261425678911[[#This Row],[2]]="","",Table261425678911[[#This Row],[Weight]:[Weight]]-(Table261425678911[[#This Row],[Weight]:[Weight]]*((_xlfn.XMATCH(Table261425678911[[#This Row],[2]],Table261425678911[[#This Row],[1]:[11]],0))-1)/(COUNTA(Table261425678911[[#This Row],[1]:[11]])-COUNTBLANK(Table261425678911[[#This Row],[1]:[11]])-1)))</f>
        <v>1.2335526315789473E-3</v>
      </c>
      <c r="AA22" s="30" cm="1">
        <f t="array" ref="AA22">IF(Table261425678911[[#This Row],[3]]="","",Table261425678911[[#This Row],[Weight]:[Weight]]-(Table261425678911[[#This Row],[Weight]:[Weight]]*((_xlfn.XMATCH(Table261425678911[[#This Row],[3]],Table261425678911[[#This Row],[1]:[11]],0))-1)/(COUNTA(Table261425678911[[#This Row],[1]:[11]])-COUNTBLANK(Table261425678911[[#This Row],[1]:[11]])-1)))</f>
        <v>8.2236842105263153E-4</v>
      </c>
      <c r="AB22" s="30" cm="1">
        <f t="array" ref="AB22">IF(Table261425678911[[#This Row],[4]]="","",Table261425678911[[#This Row],[Weight]:[Weight]]-(Table261425678911[[#This Row],[Weight]:[Weight]]*((_xlfn.XMATCH(Table261425678911[[#This Row],[4]],Table261425678911[[#This Row],[1]:[11]],0))-1)/(COUNTA(Table261425678911[[#This Row],[1]:[11]])-COUNTBLANK(Table261425678911[[#This Row],[1]:[11]])-1)))</f>
        <v>4.1118421052631577E-4</v>
      </c>
      <c r="AC22" s="30" cm="1">
        <f t="array" ref="AC22">IF(Table261425678911[[#This Row],[5]]="","",Table261425678911[[#This Row],[Weight]:[Weight]]-(Table261425678911[[#This Row],[Weight]:[Weight]]*((_xlfn.XMATCH(Table261425678911[[#This Row],[5]],Table261425678911[[#This Row],[1]:[11]],0))-1)/(COUNTA(Table261425678911[[#This Row],[1]:[11]])-COUNTBLANK(Table261425678911[[#This Row],[1]:[11]])-1)))</f>
        <v>0</v>
      </c>
      <c r="AD22" s="30" t="str" cm="1">
        <f t="array" ref="AD22">IF(Table261425678911[[#This Row],[6]]="","",Table261425678911[[#This Row],[Weight]:[Weight]]-(Table261425678911[[#This Row],[Weight]:[Weight]]*((_xlfn.XMATCH(Table261425678911[[#This Row],[6]],Table261425678911[[#This Row],[1]:[11]],0))-1)/(COUNTA(Table261425678911[[#This Row],[1]:[11]])-COUNTBLANK(Table261425678911[[#This Row],[1]:[11]])-1)))</f>
        <v/>
      </c>
      <c r="AE22" s="30" t="str" cm="1">
        <f t="array" ref="AE22">IF(Table261425678911[[#This Row],[7]]="","",Table261425678911[[#This Row],[Weight]:[Weight]]-(Table261425678911[[#This Row],[Weight]:[Weight]]*((_xlfn.XMATCH(Table261425678911[[#This Row],[7]],Table261425678911[[#This Row],[1]:[11]],0))-1)/(COUNTA(Table261425678911[[#This Row],[1]:[11]])-COUNTBLANK(Table261425678911[[#This Row],[1]:[11]])-1)))</f>
        <v/>
      </c>
      <c r="AF22" s="30" t="str" cm="1">
        <f t="array" ref="AF22">IF(Table261425678911[[#This Row],[8]]="","",Table261425678911[[#This Row],[Weight]:[Weight]]-(Table261425678911[[#This Row],[Weight]:[Weight]]*((_xlfn.XMATCH(Table261425678911[[#This Row],[8]],Table261425678911[[#This Row],[1]:[11]],0))-1)/(COUNTA(Table261425678911[[#This Row],[1]:[11]])-COUNTBLANK(Table261425678911[[#This Row],[1]:[11]])-1)))</f>
        <v/>
      </c>
      <c r="AG22" s="30" t="str" cm="1">
        <f t="array" ref="AG22">IF(Table261425678911[[#This Row],[9]]="","",Table261425678911[[#This Row],[Weight]:[Weight]]-(Table261425678911[[#This Row],[Weight]:[Weight]]*((_xlfn.XMATCH(Table261425678911[[#This Row],[9]],Table261425678911[[#This Row],[1]:[11]],0))-1)/(COUNTA(Table261425678911[[#This Row],[1]:[11]])-COUNTBLANK(Table261425678911[[#This Row],[1]:[11]])-1)))</f>
        <v/>
      </c>
      <c r="AH22" s="30" t="str" cm="1">
        <f t="array" ref="AH22">IF(Table261425678911[[#This Row],[10]]="","",Table261425678911[[#This Row],[Weight]:[Weight]]-(Table261425678911[[#This Row],[Weight]:[Weight]]*((_xlfn.XMATCH(Table261425678911[[#This Row],[10]],Table261425678911[[#This Row],[1]:[11]],0))-1)/(COUNTA(Table261425678911[[#This Row],[1]:[11]])-COUNTBLANK(Table261425678911[[#This Row],[1]:[11]])-1)))</f>
        <v/>
      </c>
      <c r="AI22" s="30" t="str" cm="1">
        <f t="array" ref="AI22">IF(Table261425678911[[#This Row],[11]]="","",Table261425678911[[#This Row],[Weight]:[Weight]]-(Table261425678911[[#This Row],[Weight]:[Weight]]*((_xlfn.XMATCH(Table261425678911[[#This Row],[11]],Table261425678911[[#This Row],[1]:[11]],0))-1)/(COUNTA(Table261425678911[[#This Row],[1]:[11]])-COUNTBLANK(Table261425678911[[#This Row],[1]:[11]])-1)))</f>
        <v/>
      </c>
    </row>
    <row r="23" spans="1:35" ht="108" x14ac:dyDescent="0.2">
      <c r="A23" s="20">
        <v>11</v>
      </c>
      <c r="B23" s="90" t="s">
        <v>533</v>
      </c>
      <c r="C23" s="119" t="s">
        <v>215</v>
      </c>
      <c r="D23" s="146"/>
      <c r="E23" s="146"/>
      <c r="F23" s="120" t="s">
        <v>183</v>
      </c>
      <c r="G23" s="148" cm="1">
        <f t="array" ref="G23">_xlfn.IFS(F23="","",F23="No interest",0,F23="Nice to have",1,F23="Useful",2,F23="Important",3,F23="Very important",4,F23="Critical",5,F23="Show stopper",6)</f>
        <v>4</v>
      </c>
      <c r="H23" s="149">
        <f t="shared" si="1"/>
        <v>1.3157894736842105E-3</v>
      </c>
      <c r="I23" s="150" t="s">
        <v>321</v>
      </c>
      <c r="J23" s="35" t="str" cm="1">
        <f t="array" ref="J23">_xlfn.TEXTJOIN(","&amp;CHAR(10),,TEXT(Table261425678911[[#This Row],[12]:[22]],"0,00%"))</f>
        <v>0,00%,
0,00%,
0,00%,
0,00%,
0,00%</v>
      </c>
      <c r="K23" s="26"/>
      <c r="L23" s="27" t="e">
        <f>H23-(H23*((MATCH(Table261425678911[[#This Row],[Evaluators Response (SELECT)]],Table261425678911[[#This Row],[1]:[11]],0)-1)/(COUNTA(Table261425678911[[#This Row],[1]:[11]])-COUNTBLANK(Table261425678911[[#This Row],[1]:[11]])-1)))</f>
        <v>#N/A</v>
      </c>
      <c r="M23" s="28"/>
      <c r="N23" s="29" t="str" cm="1">
        <f t="array" ref="N23">IFERROR(INDEX(_xlfn.UNIQUE(TRIM(_xlfn.TEXTSPLIT(Table261425678911[[#This Row],[Selection Options]:[Selection Options]],","))),,N$11),"")</f>
        <v>100%: Supported as delivered "out of the box"</v>
      </c>
      <c r="O23" s="29" t="str" cm="1">
        <f t="array" ref="O23">IFERROR(INDEX(_xlfn.UNIQUE(TRIM(_xlfn.TEXTSPLIT(Table261425678911[[#This Row],[Selection Options]:[Selection Options]],","))),,O$11),"")</f>
        <v xml:space="preserve">
75%: Supported via modifications (config)</v>
      </c>
      <c r="P23" s="29" t="str" cm="1">
        <f t="array" ref="P23">IFERROR(INDEX(_xlfn.UNIQUE(TRIM(_xlfn.TEXTSPLIT(Table261425678911[[#This Row],[Selection Options]:[Selection Options]],","))),,P$11),"")</f>
        <v xml:space="preserve">
50%: Supported via a third party solution</v>
      </c>
      <c r="Q23" s="29" t="str" cm="1">
        <f t="array" ref="Q23">IFERROR(INDEX(_xlfn.UNIQUE(TRIM(_xlfn.TEXTSPLIT(Table261425678911[[#This Row],[Selection Options]:[Selection Options]],","))),,Q$11),"")</f>
        <v xml:space="preserve">
25%: Supported via customisation (source code changes)</v>
      </c>
      <c r="R23" s="29" t="str" cm="1">
        <f t="array" ref="R23">IFERROR(INDEX(_xlfn.UNIQUE(TRIM(_xlfn.TEXTSPLIT(Table261425678911[[#This Row],[Selection Options]:[Selection Options]],","))),,R$11),"")</f>
        <v xml:space="preserve">
 0%: Not currently supported</v>
      </c>
      <c r="S23" s="29" t="str" cm="1">
        <f t="array" ref="S23">IFERROR(INDEX(_xlfn.UNIQUE(TRIM(_xlfn.TEXTSPLIT(Table261425678911[[#This Row],[Selection Options]:[Selection Options]],","))),,S$11),"")</f>
        <v/>
      </c>
      <c r="T23" s="29" t="str" cm="1">
        <f t="array" ref="T23">IFERROR(INDEX(_xlfn.UNIQUE(TRIM(_xlfn.TEXTSPLIT(Table261425678911[[#This Row],[Selection Options]:[Selection Options]],","))),,T$11),"")</f>
        <v/>
      </c>
      <c r="U23" s="29" t="str" cm="1">
        <f t="array" ref="U23">IFERROR(INDEX(_xlfn.UNIQUE(TRIM(_xlfn.TEXTSPLIT(Table261425678911[[#This Row],[Selection Options]:[Selection Options]],","))),,U$11),"")</f>
        <v/>
      </c>
      <c r="V23" s="29" t="str" cm="1">
        <f t="array" ref="V23">IFERROR(INDEX(_xlfn.UNIQUE(TRIM(_xlfn.TEXTSPLIT(Table261425678911[[#This Row],[Selection Options]:[Selection Options]],","))),,V$11),"")</f>
        <v/>
      </c>
      <c r="W23" s="29" t="str" cm="1">
        <f t="array" ref="W23">IFERROR(INDEX(_xlfn.UNIQUE(TRIM(_xlfn.TEXTSPLIT(Table261425678911[[#This Row],[Selection Options]:[Selection Options]],","))),,W$11),"")</f>
        <v/>
      </c>
      <c r="X23" s="29" t="str" cm="1">
        <f t="array" ref="X23">IFERROR(INDEX(_xlfn.UNIQUE(TRIM(_xlfn.TEXTSPLIT(Table261425678911[[#This Row],[Selection Options]:[Selection Options]],","))),,X$11),"")</f>
        <v/>
      </c>
      <c r="Y23" s="30" cm="1">
        <f t="array" ref="Y23">IF(Table261425678911[[#This Row],[1]]="","",Table261425678911[[#This Row],[Weight]:[Weight]]-(Table261425678911[[#This Row],[Weight]:[Weight]]*((_xlfn.XMATCH(Table261425678911[[#This Row],[1]],Table261425678911[[#This Row],[1]:[11]],0))-1)/(COUNTA(Table261425678911[[#This Row],[1]:[11]])-COUNTBLANK(Table261425678911[[#This Row],[1]:[11]])-1)))</f>
        <v>1.3157894736842105E-3</v>
      </c>
      <c r="Z23" s="30" cm="1">
        <f t="array" ref="Z23">IF(Table261425678911[[#This Row],[2]]="","",Table261425678911[[#This Row],[Weight]:[Weight]]-(Table261425678911[[#This Row],[Weight]:[Weight]]*((_xlfn.XMATCH(Table261425678911[[#This Row],[2]],Table261425678911[[#This Row],[1]:[11]],0))-1)/(COUNTA(Table261425678911[[#This Row],[1]:[11]])-COUNTBLANK(Table261425678911[[#This Row],[1]:[11]])-1)))</f>
        <v>9.8684210526315793E-4</v>
      </c>
      <c r="AA23" s="30" cm="1">
        <f t="array" ref="AA23">IF(Table261425678911[[#This Row],[3]]="","",Table261425678911[[#This Row],[Weight]:[Weight]]-(Table261425678911[[#This Row],[Weight]:[Weight]]*((_xlfn.XMATCH(Table261425678911[[#This Row],[3]],Table261425678911[[#This Row],[1]:[11]],0))-1)/(COUNTA(Table261425678911[[#This Row],[1]:[11]])-COUNTBLANK(Table261425678911[[#This Row],[1]:[11]])-1)))</f>
        <v>6.5789473684210525E-4</v>
      </c>
      <c r="AB23" s="30" cm="1">
        <f t="array" ref="AB23">IF(Table261425678911[[#This Row],[4]]="","",Table261425678911[[#This Row],[Weight]:[Weight]]-(Table261425678911[[#This Row],[Weight]:[Weight]]*((_xlfn.XMATCH(Table261425678911[[#This Row],[4]],Table261425678911[[#This Row],[1]:[11]],0))-1)/(COUNTA(Table261425678911[[#This Row],[1]:[11]])-COUNTBLANK(Table261425678911[[#This Row],[1]:[11]])-1)))</f>
        <v>3.2894736842105257E-4</v>
      </c>
      <c r="AC23" s="30" cm="1">
        <f t="array" ref="AC23">IF(Table261425678911[[#This Row],[5]]="","",Table261425678911[[#This Row],[Weight]:[Weight]]-(Table261425678911[[#This Row],[Weight]:[Weight]]*((_xlfn.XMATCH(Table261425678911[[#This Row],[5]],Table261425678911[[#This Row],[1]:[11]],0))-1)/(COUNTA(Table261425678911[[#This Row],[1]:[11]])-COUNTBLANK(Table261425678911[[#This Row],[1]:[11]])-1)))</f>
        <v>0</v>
      </c>
      <c r="AD23" s="30" t="str" cm="1">
        <f t="array" ref="AD23">IF(Table261425678911[[#This Row],[6]]="","",Table261425678911[[#This Row],[Weight]:[Weight]]-(Table261425678911[[#This Row],[Weight]:[Weight]]*((_xlfn.XMATCH(Table261425678911[[#This Row],[6]],Table261425678911[[#This Row],[1]:[11]],0))-1)/(COUNTA(Table261425678911[[#This Row],[1]:[11]])-COUNTBLANK(Table261425678911[[#This Row],[1]:[11]])-1)))</f>
        <v/>
      </c>
      <c r="AE23" s="30" t="str" cm="1">
        <f t="array" ref="AE23">IF(Table261425678911[[#This Row],[7]]="","",Table261425678911[[#This Row],[Weight]:[Weight]]-(Table261425678911[[#This Row],[Weight]:[Weight]]*((_xlfn.XMATCH(Table261425678911[[#This Row],[7]],Table261425678911[[#This Row],[1]:[11]],0))-1)/(COUNTA(Table261425678911[[#This Row],[1]:[11]])-COUNTBLANK(Table261425678911[[#This Row],[1]:[11]])-1)))</f>
        <v/>
      </c>
      <c r="AF23" s="30" t="str" cm="1">
        <f t="array" ref="AF23">IF(Table261425678911[[#This Row],[8]]="","",Table261425678911[[#This Row],[Weight]:[Weight]]-(Table261425678911[[#This Row],[Weight]:[Weight]]*((_xlfn.XMATCH(Table261425678911[[#This Row],[8]],Table261425678911[[#This Row],[1]:[11]],0))-1)/(COUNTA(Table261425678911[[#This Row],[1]:[11]])-COUNTBLANK(Table261425678911[[#This Row],[1]:[11]])-1)))</f>
        <v/>
      </c>
      <c r="AG23" s="30" t="str" cm="1">
        <f t="array" ref="AG23">IF(Table261425678911[[#This Row],[9]]="","",Table261425678911[[#This Row],[Weight]:[Weight]]-(Table261425678911[[#This Row],[Weight]:[Weight]]*((_xlfn.XMATCH(Table261425678911[[#This Row],[9]],Table261425678911[[#This Row],[1]:[11]],0))-1)/(COUNTA(Table261425678911[[#This Row],[1]:[11]])-COUNTBLANK(Table261425678911[[#This Row],[1]:[11]])-1)))</f>
        <v/>
      </c>
      <c r="AH23" s="30" t="str" cm="1">
        <f t="array" ref="AH23">IF(Table261425678911[[#This Row],[10]]="","",Table261425678911[[#This Row],[Weight]:[Weight]]-(Table261425678911[[#This Row],[Weight]:[Weight]]*((_xlfn.XMATCH(Table261425678911[[#This Row],[10]],Table261425678911[[#This Row],[1]:[11]],0))-1)/(COUNTA(Table261425678911[[#This Row],[1]:[11]])-COUNTBLANK(Table261425678911[[#This Row],[1]:[11]])-1)))</f>
        <v/>
      </c>
      <c r="AI23" s="30" t="str" cm="1">
        <f t="array" ref="AI23">IF(Table261425678911[[#This Row],[11]]="","",Table261425678911[[#This Row],[Weight]:[Weight]]-(Table261425678911[[#This Row],[Weight]:[Weight]]*((_xlfn.XMATCH(Table261425678911[[#This Row],[11]],Table261425678911[[#This Row],[1]:[11]],0))-1)/(COUNTA(Table261425678911[[#This Row],[1]:[11]])-COUNTBLANK(Table261425678911[[#This Row],[1]:[11]])-1)))</f>
        <v/>
      </c>
    </row>
    <row r="24" spans="1:35" ht="108" x14ac:dyDescent="0.2">
      <c r="A24" s="20">
        <v>12</v>
      </c>
      <c r="B24" s="90" t="s">
        <v>534</v>
      </c>
      <c r="C24" s="119" t="s">
        <v>215</v>
      </c>
      <c r="D24" s="146"/>
      <c r="E24" s="146"/>
      <c r="F24" s="120" t="s">
        <v>188</v>
      </c>
      <c r="G24" s="148" cm="1">
        <f t="array" ref="G24">_xlfn.IFS(F24="","",F24="No interest",0,F24="Nice to have",1,F24="Useful",2,F24="Important",3,F24="Very important",4,F24="Critical",5,F24="Show stopper",6)</f>
        <v>5</v>
      </c>
      <c r="H24" s="149">
        <f t="shared" si="1"/>
        <v>1.6447368421052631E-3</v>
      </c>
      <c r="I24" s="150" t="s">
        <v>321</v>
      </c>
      <c r="J24" s="35" t="str" cm="1">
        <f t="array" ref="J24">_xlfn.TEXTJOIN(","&amp;CHAR(10),,TEXT(Table261425678911[[#This Row],[12]:[22]],"0,00%"))</f>
        <v>0,00%,
0,00%,
0,00%,
0,00%,
0,00%</v>
      </c>
      <c r="K24" s="26"/>
      <c r="L24" s="27" t="e">
        <f>H24-(H24*((MATCH(Table261425678911[[#This Row],[Evaluators Response (SELECT)]],Table261425678911[[#This Row],[1]:[11]],0)-1)/(COUNTA(Table261425678911[[#This Row],[1]:[11]])-COUNTBLANK(Table261425678911[[#This Row],[1]:[11]])-1)))</f>
        <v>#N/A</v>
      </c>
      <c r="M24" s="28"/>
      <c r="N24" s="29" t="str" cm="1">
        <f t="array" ref="N24">IFERROR(INDEX(_xlfn.UNIQUE(TRIM(_xlfn.TEXTSPLIT(Table261425678911[[#This Row],[Selection Options]:[Selection Options]],","))),,N$11),"")</f>
        <v>100%: Supported as delivered "out of the box"</v>
      </c>
      <c r="O24" s="29" t="str" cm="1">
        <f t="array" ref="O24">IFERROR(INDEX(_xlfn.UNIQUE(TRIM(_xlfn.TEXTSPLIT(Table261425678911[[#This Row],[Selection Options]:[Selection Options]],","))),,O$11),"")</f>
        <v xml:space="preserve">
75%: Supported via modifications (config)</v>
      </c>
      <c r="P24" s="29" t="str" cm="1">
        <f t="array" ref="P24">IFERROR(INDEX(_xlfn.UNIQUE(TRIM(_xlfn.TEXTSPLIT(Table261425678911[[#This Row],[Selection Options]:[Selection Options]],","))),,P$11),"")</f>
        <v xml:space="preserve">
50%: Supported via a third party solution</v>
      </c>
      <c r="Q24" s="29" t="str" cm="1">
        <f t="array" ref="Q24">IFERROR(INDEX(_xlfn.UNIQUE(TRIM(_xlfn.TEXTSPLIT(Table261425678911[[#This Row],[Selection Options]:[Selection Options]],","))),,Q$11),"")</f>
        <v xml:space="preserve">
25%: Supported via customisation (source code changes)</v>
      </c>
      <c r="R24" s="29" t="str" cm="1">
        <f t="array" ref="R24">IFERROR(INDEX(_xlfn.UNIQUE(TRIM(_xlfn.TEXTSPLIT(Table261425678911[[#This Row],[Selection Options]:[Selection Options]],","))),,R$11),"")</f>
        <v xml:space="preserve">
 0%: Not currently supported</v>
      </c>
      <c r="S24" s="29" t="str" cm="1">
        <f t="array" ref="S24">IFERROR(INDEX(_xlfn.UNIQUE(TRIM(_xlfn.TEXTSPLIT(Table261425678911[[#This Row],[Selection Options]:[Selection Options]],","))),,S$11),"")</f>
        <v/>
      </c>
      <c r="T24" s="29" t="str" cm="1">
        <f t="array" ref="T24">IFERROR(INDEX(_xlfn.UNIQUE(TRIM(_xlfn.TEXTSPLIT(Table261425678911[[#This Row],[Selection Options]:[Selection Options]],","))),,T$11),"")</f>
        <v/>
      </c>
      <c r="U24" s="29" t="str" cm="1">
        <f t="array" ref="U24">IFERROR(INDEX(_xlfn.UNIQUE(TRIM(_xlfn.TEXTSPLIT(Table261425678911[[#This Row],[Selection Options]:[Selection Options]],","))),,U$11),"")</f>
        <v/>
      </c>
      <c r="V24" s="29" t="str" cm="1">
        <f t="array" ref="V24">IFERROR(INDEX(_xlfn.UNIQUE(TRIM(_xlfn.TEXTSPLIT(Table261425678911[[#This Row],[Selection Options]:[Selection Options]],","))),,V$11),"")</f>
        <v/>
      </c>
      <c r="W24" s="29" t="str" cm="1">
        <f t="array" ref="W24">IFERROR(INDEX(_xlfn.UNIQUE(TRIM(_xlfn.TEXTSPLIT(Table261425678911[[#This Row],[Selection Options]:[Selection Options]],","))),,W$11),"")</f>
        <v/>
      </c>
      <c r="X24" s="29" t="str" cm="1">
        <f t="array" ref="X24">IFERROR(INDEX(_xlfn.UNIQUE(TRIM(_xlfn.TEXTSPLIT(Table261425678911[[#This Row],[Selection Options]:[Selection Options]],","))),,X$11),"")</f>
        <v/>
      </c>
      <c r="Y24" s="30" cm="1">
        <f t="array" ref="Y24">IF(Table261425678911[[#This Row],[1]]="","",Table261425678911[[#This Row],[Weight]:[Weight]]-(Table261425678911[[#This Row],[Weight]:[Weight]]*((_xlfn.XMATCH(Table261425678911[[#This Row],[1]],Table261425678911[[#This Row],[1]:[11]],0))-1)/(COUNTA(Table261425678911[[#This Row],[1]:[11]])-COUNTBLANK(Table261425678911[[#This Row],[1]:[11]])-1)))</f>
        <v>1.6447368421052631E-3</v>
      </c>
      <c r="Z24" s="30" cm="1">
        <f t="array" ref="Z24">IF(Table261425678911[[#This Row],[2]]="","",Table261425678911[[#This Row],[Weight]:[Weight]]-(Table261425678911[[#This Row],[Weight]:[Weight]]*((_xlfn.XMATCH(Table261425678911[[#This Row],[2]],Table261425678911[[#This Row],[1]:[11]],0))-1)/(COUNTA(Table261425678911[[#This Row],[1]:[11]])-COUNTBLANK(Table261425678911[[#This Row],[1]:[11]])-1)))</f>
        <v>1.2335526315789473E-3</v>
      </c>
      <c r="AA24" s="30" cm="1">
        <f t="array" ref="AA24">IF(Table261425678911[[#This Row],[3]]="","",Table261425678911[[#This Row],[Weight]:[Weight]]-(Table261425678911[[#This Row],[Weight]:[Weight]]*((_xlfn.XMATCH(Table261425678911[[#This Row],[3]],Table261425678911[[#This Row],[1]:[11]],0))-1)/(COUNTA(Table261425678911[[#This Row],[1]:[11]])-COUNTBLANK(Table261425678911[[#This Row],[1]:[11]])-1)))</f>
        <v>8.2236842105263153E-4</v>
      </c>
      <c r="AB24" s="30" cm="1">
        <f t="array" ref="AB24">IF(Table261425678911[[#This Row],[4]]="","",Table261425678911[[#This Row],[Weight]:[Weight]]-(Table261425678911[[#This Row],[Weight]:[Weight]]*((_xlfn.XMATCH(Table261425678911[[#This Row],[4]],Table261425678911[[#This Row],[1]:[11]],0))-1)/(COUNTA(Table261425678911[[#This Row],[1]:[11]])-COUNTBLANK(Table261425678911[[#This Row],[1]:[11]])-1)))</f>
        <v>4.1118421052631577E-4</v>
      </c>
      <c r="AC24" s="30" cm="1">
        <f t="array" ref="AC24">IF(Table261425678911[[#This Row],[5]]="","",Table261425678911[[#This Row],[Weight]:[Weight]]-(Table261425678911[[#This Row],[Weight]:[Weight]]*((_xlfn.XMATCH(Table261425678911[[#This Row],[5]],Table261425678911[[#This Row],[1]:[11]],0))-1)/(COUNTA(Table261425678911[[#This Row],[1]:[11]])-COUNTBLANK(Table261425678911[[#This Row],[1]:[11]])-1)))</f>
        <v>0</v>
      </c>
      <c r="AD24" s="30" t="str" cm="1">
        <f t="array" ref="AD24">IF(Table261425678911[[#This Row],[6]]="","",Table261425678911[[#This Row],[Weight]:[Weight]]-(Table261425678911[[#This Row],[Weight]:[Weight]]*((_xlfn.XMATCH(Table261425678911[[#This Row],[6]],Table261425678911[[#This Row],[1]:[11]],0))-1)/(COUNTA(Table261425678911[[#This Row],[1]:[11]])-COUNTBLANK(Table261425678911[[#This Row],[1]:[11]])-1)))</f>
        <v/>
      </c>
      <c r="AE24" s="30" t="str" cm="1">
        <f t="array" ref="AE24">IF(Table261425678911[[#This Row],[7]]="","",Table261425678911[[#This Row],[Weight]:[Weight]]-(Table261425678911[[#This Row],[Weight]:[Weight]]*((_xlfn.XMATCH(Table261425678911[[#This Row],[7]],Table261425678911[[#This Row],[1]:[11]],0))-1)/(COUNTA(Table261425678911[[#This Row],[1]:[11]])-COUNTBLANK(Table261425678911[[#This Row],[1]:[11]])-1)))</f>
        <v/>
      </c>
      <c r="AF24" s="30" t="str" cm="1">
        <f t="array" ref="AF24">IF(Table261425678911[[#This Row],[8]]="","",Table261425678911[[#This Row],[Weight]:[Weight]]-(Table261425678911[[#This Row],[Weight]:[Weight]]*((_xlfn.XMATCH(Table261425678911[[#This Row],[8]],Table261425678911[[#This Row],[1]:[11]],0))-1)/(COUNTA(Table261425678911[[#This Row],[1]:[11]])-COUNTBLANK(Table261425678911[[#This Row],[1]:[11]])-1)))</f>
        <v/>
      </c>
      <c r="AG24" s="30" t="str" cm="1">
        <f t="array" ref="AG24">IF(Table261425678911[[#This Row],[9]]="","",Table261425678911[[#This Row],[Weight]:[Weight]]-(Table261425678911[[#This Row],[Weight]:[Weight]]*((_xlfn.XMATCH(Table261425678911[[#This Row],[9]],Table261425678911[[#This Row],[1]:[11]],0))-1)/(COUNTA(Table261425678911[[#This Row],[1]:[11]])-COUNTBLANK(Table261425678911[[#This Row],[1]:[11]])-1)))</f>
        <v/>
      </c>
      <c r="AH24" s="30" t="str" cm="1">
        <f t="array" ref="AH24">IF(Table261425678911[[#This Row],[10]]="","",Table261425678911[[#This Row],[Weight]:[Weight]]-(Table261425678911[[#This Row],[Weight]:[Weight]]*((_xlfn.XMATCH(Table261425678911[[#This Row],[10]],Table261425678911[[#This Row],[1]:[11]],0))-1)/(COUNTA(Table261425678911[[#This Row],[1]:[11]])-COUNTBLANK(Table261425678911[[#This Row],[1]:[11]])-1)))</f>
        <v/>
      </c>
      <c r="AI24" s="30" t="str" cm="1">
        <f t="array" ref="AI24">IF(Table261425678911[[#This Row],[11]]="","",Table261425678911[[#This Row],[Weight]:[Weight]]-(Table261425678911[[#This Row],[Weight]:[Weight]]*((_xlfn.XMATCH(Table261425678911[[#This Row],[11]],Table261425678911[[#This Row],[1]:[11]],0))-1)/(COUNTA(Table261425678911[[#This Row],[1]:[11]])-COUNTBLANK(Table261425678911[[#This Row],[1]:[11]])-1)))</f>
        <v/>
      </c>
    </row>
    <row r="25" spans="1:35" ht="108" x14ac:dyDescent="0.2">
      <c r="A25" s="20">
        <v>13</v>
      </c>
      <c r="B25" s="90" t="s">
        <v>535</v>
      </c>
      <c r="C25" s="119" t="s">
        <v>215</v>
      </c>
      <c r="D25" s="146"/>
      <c r="E25" s="146"/>
      <c r="F25" s="121" t="s">
        <v>60</v>
      </c>
      <c r="G25" s="148" cm="1">
        <f t="array" ref="G25">_xlfn.IFS(F25="","",F25="No interest",0,F25="Nice to have",1,F25="Useful",2,F25="Important",3,F25="Very important",4,F25="Critical",5,F25="Show stopper",6)</f>
        <v>6</v>
      </c>
      <c r="H25" s="149">
        <f t="shared" si="1"/>
        <v>1.9736842105263154E-3</v>
      </c>
      <c r="I25" s="150" t="s">
        <v>321</v>
      </c>
      <c r="J25" s="35" t="str" cm="1">
        <f t="array" ref="J25">_xlfn.TEXTJOIN(","&amp;CHAR(10),,TEXT(Table261425678911[[#This Row],[12]:[22]],"0,00%"))</f>
        <v>0,00%,
0,00%,
0,00%,
0,00%,
0,00%</v>
      </c>
      <c r="K25" s="26"/>
      <c r="L25" s="27" t="e">
        <f>H25-(H25*((MATCH(Table261425678911[[#This Row],[Evaluators Response (SELECT)]],Table261425678911[[#This Row],[1]:[11]],0)-1)/(COUNTA(Table261425678911[[#This Row],[1]:[11]])-COUNTBLANK(Table261425678911[[#This Row],[1]:[11]])-1)))</f>
        <v>#N/A</v>
      </c>
      <c r="M25" s="28"/>
      <c r="N25" s="29" t="str" cm="1">
        <f t="array" ref="N25">IFERROR(INDEX(_xlfn.UNIQUE(TRIM(_xlfn.TEXTSPLIT(Table261425678911[[#This Row],[Selection Options]:[Selection Options]],","))),,N$11),"")</f>
        <v>100%: Supported as delivered "out of the box"</v>
      </c>
      <c r="O25" s="29" t="str" cm="1">
        <f t="array" ref="O25">IFERROR(INDEX(_xlfn.UNIQUE(TRIM(_xlfn.TEXTSPLIT(Table261425678911[[#This Row],[Selection Options]:[Selection Options]],","))),,O$11),"")</f>
        <v xml:space="preserve">
75%: Supported via modifications (config)</v>
      </c>
      <c r="P25" s="29" t="str" cm="1">
        <f t="array" ref="P25">IFERROR(INDEX(_xlfn.UNIQUE(TRIM(_xlfn.TEXTSPLIT(Table261425678911[[#This Row],[Selection Options]:[Selection Options]],","))),,P$11),"")</f>
        <v xml:space="preserve">
50%: Supported via a third party solution</v>
      </c>
      <c r="Q25" s="29" t="str" cm="1">
        <f t="array" ref="Q25">IFERROR(INDEX(_xlfn.UNIQUE(TRIM(_xlfn.TEXTSPLIT(Table261425678911[[#This Row],[Selection Options]:[Selection Options]],","))),,Q$11),"")</f>
        <v xml:space="preserve">
25%: Supported via customisation (source code changes)</v>
      </c>
      <c r="R25" s="29" t="str" cm="1">
        <f t="array" ref="R25">IFERROR(INDEX(_xlfn.UNIQUE(TRIM(_xlfn.TEXTSPLIT(Table261425678911[[#This Row],[Selection Options]:[Selection Options]],","))),,R$11),"")</f>
        <v xml:space="preserve">
 0%: Not currently supported</v>
      </c>
      <c r="S25" s="29" t="str" cm="1">
        <f t="array" ref="S25">IFERROR(INDEX(_xlfn.UNIQUE(TRIM(_xlfn.TEXTSPLIT(Table261425678911[[#This Row],[Selection Options]:[Selection Options]],","))),,S$11),"")</f>
        <v/>
      </c>
      <c r="T25" s="29" t="str" cm="1">
        <f t="array" ref="T25">IFERROR(INDEX(_xlfn.UNIQUE(TRIM(_xlfn.TEXTSPLIT(Table261425678911[[#This Row],[Selection Options]:[Selection Options]],","))),,T$11),"")</f>
        <v/>
      </c>
      <c r="U25" s="29" t="str" cm="1">
        <f t="array" ref="U25">IFERROR(INDEX(_xlfn.UNIQUE(TRIM(_xlfn.TEXTSPLIT(Table261425678911[[#This Row],[Selection Options]:[Selection Options]],","))),,U$11),"")</f>
        <v/>
      </c>
      <c r="V25" s="29" t="str" cm="1">
        <f t="array" ref="V25">IFERROR(INDEX(_xlfn.UNIQUE(TRIM(_xlfn.TEXTSPLIT(Table261425678911[[#This Row],[Selection Options]:[Selection Options]],","))),,V$11),"")</f>
        <v/>
      </c>
      <c r="W25" s="29" t="str" cm="1">
        <f t="array" ref="W25">IFERROR(INDEX(_xlfn.UNIQUE(TRIM(_xlfn.TEXTSPLIT(Table261425678911[[#This Row],[Selection Options]:[Selection Options]],","))),,W$11),"")</f>
        <v/>
      </c>
      <c r="X25" s="29" t="str" cm="1">
        <f t="array" ref="X25">IFERROR(INDEX(_xlfn.UNIQUE(TRIM(_xlfn.TEXTSPLIT(Table261425678911[[#This Row],[Selection Options]:[Selection Options]],","))),,X$11),"")</f>
        <v/>
      </c>
      <c r="Y25" s="30" cm="1">
        <f t="array" ref="Y25">IF(Table261425678911[[#This Row],[1]]="","",Table261425678911[[#This Row],[Weight]:[Weight]]-(Table261425678911[[#This Row],[Weight]:[Weight]]*((_xlfn.XMATCH(Table261425678911[[#This Row],[1]],Table261425678911[[#This Row],[1]:[11]],0))-1)/(COUNTA(Table261425678911[[#This Row],[1]:[11]])-COUNTBLANK(Table261425678911[[#This Row],[1]:[11]])-1)))</f>
        <v>1.9736842105263154E-3</v>
      </c>
      <c r="Z25" s="30" cm="1">
        <f t="array" ref="Z25">IF(Table261425678911[[#This Row],[2]]="","",Table261425678911[[#This Row],[Weight]:[Weight]]-(Table261425678911[[#This Row],[Weight]:[Weight]]*((_xlfn.XMATCH(Table261425678911[[#This Row],[2]],Table261425678911[[#This Row],[1]:[11]],0))-1)/(COUNTA(Table261425678911[[#This Row],[1]:[11]])-COUNTBLANK(Table261425678911[[#This Row],[1]:[11]])-1)))</f>
        <v>1.4802631578947367E-3</v>
      </c>
      <c r="AA25" s="30" cm="1">
        <f t="array" ref="AA25">IF(Table261425678911[[#This Row],[3]]="","",Table261425678911[[#This Row],[Weight]:[Weight]]-(Table261425678911[[#This Row],[Weight]:[Weight]]*((_xlfn.XMATCH(Table261425678911[[#This Row],[3]],Table261425678911[[#This Row],[1]:[11]],0))-1)/(COUNTA(Table261425678911[[#This Row],[1]:[11]])-COUNTBLANK(Table261425678911[[#This Row],[1]:[11]])-1)))</f>
        <v>9.8684210526315771E-4</v>
      </c>
      <c r="AB25" s="30" cm="1">
        <f t="array" ref="AB25">IF(Table261425678911[[#This Row],[4]]="","",Table261425678911[[#This Row],[Weight]:[Weight]]-(Table261425678911[[#This Row],[Weight]:[Weight]]*((_xlfn.XMATCH(Table261425678911[[#This Row],[4]],Table261425678911[[#This Row],[1]:[11]],0))-1)/(COUNTA(Table261425678911[[#This Row],[1]:[11]])-COUNTBLANK(Table261425678911[[#This Row],[1]:[11]])-1)))</f>
        <v>4.9342105263157875E-4</v>
      </c>
      <c r="AC25" s="30" cm="1">
        <f t="array" ref="AC25">IF(Table261425678911[[#This Row],[5]]="","",Table261425678911[[#This Row],[Weight]:[Weight]]-(Table261425678911[[#This Row],[Weight]:[Weight]]*((_xlfn.XMATCH(Table261425678911[[#This Row],[5]],Table261425678911[[#This Row],[1]:[11]],0))-1)/(COUNTA(Table261425678911[[#This Row],[1]:[11]])-COUNTBLANK(Table261425678911[[#This Row],[1]:[11]])-1)))</f>
        <v>0</v>
      </c>
      <c r="AD25" s="30" t="str" cm="1">
        <f t="array" ref="AD25">IF(Table261425678911[[#This Row],[6]]="","",Table261425678911[[#This Row],[Weight]:[Weight]]-(Table261425678911[[#This Row],[Weight]:[Weight]]*((_xlfn.XMATCH(Table261425678911[[#This Row],[6]],Table261425678911[[#This Row],[1]:[11]],0))-1)/(COUNTA(Table261425678911[[#This Row],[1]:[11]])-COUNTBLANK(Table261425678911[[#This Row],[1]:[11]])-1)))</f>
        <v/>
      </c>
      <c r="AE25" s="30" t="str" cm="1">
        <f t="array" ref="AE25">IF(Table261425678911[[#This Row],[7]]="","",Table261425678911[[#This Row],[Weight]:[Weight]]-(Table261425678911[[#This Row],[Weight]:[Weight]]*((_xlfn.XMATCH(Table261425678911[[#This Row],[7]],Table261425678911[[#This Row],[1]:[11]],0))-1)/(COUNTA(Table261425678911[[#This Row],[1]:[11]])-COUNTBLANK(Table261425678911[[#This Row],[1]:[11]])-1)))</f>
        <v/>
      </c>
      <c r="AF25" s="30" t="str" cm="1">
        <f t="array" ref="AF25">IF(Table261425678911[[#This Row],[8]]="","",Table261425678911[[#This Row],[Weight]:[Weight]]-(Table261425678911[[#This Row],[Weight]:[Weight]]*((_xlfn.XMATCH(Table261425678911[[#This Row],[8]],Table261425678911[[#This Row],[1]:[11]],0))-1)/(COUNTA(Table261425678911[[#This Row],[1]:[11]])-COUNTBLANK(Table261425678911[[#This Row],[1]:[11]])-1)))</f>
        <v/>
      </c>
      <c r="AG25" s="30" t="str" cm="1">
        <f t="array" ref="AG25">IF(Table261425678911[[#This Row],[9]]="","",Table261425678911[[#This Row],[Weight]:[Weight]]-(Table261425678911[[#This Row],[Weight]:[Weight]]*((_xlfn.XMATCH(Table261425678911[[#This Row],[9]],Table261425678911[[#This Row],[1]:[11]],0))-1)/(COUNTA(Table261425678911[[#This Row],[1]:[11]])-COUNTBLANK(Table261425678911[[#This Row],[1]:[11]])-1)))</f>
        <v/>
      </c>
      <c r="AH25" s="30" t="str" cm="1">
        <f t="array" ref="AH25">IF(Table261425678911[[#This Row],[10]]="","",Table261425678911[[#This Row],[Weight]:[Weight]]-(Table261425678911[[#This Row],[Weight]:[Weight]]*((_xlfn.XMATCH(Table261425678911[[#This Row],[10]],Table261425678911[[#This Row],[1]:[11]],0))-1)/(COUNTA(Table261425678911[[#This Row],[1]:[11]])-COUNTBLANK(Table261425678911[[#This Row],[1]:[11]])-1)))</f>
        <v/>
      </c>
      <c r="AI25" s="30" t="str" cm="1">
        <f t="array" ref="AI25">IF(Table261425678911[[#This Row],[11]]="","",Table261425678911[[#This Row],[Weight]:[Weight]]-(Table261425678911[[#This Row],[Weight]:[Weight]]*((_xlfn.XMATCH(Table261425678911[[#This Row],[11]],Table261425678911[[#This Row],[1]:[11]],0))-1)/(COUNTA(Table261425678911[[#This Row],[1]:[11]])-COUNTBLANK(Table261425678911[[#This Row],[1]:[11]])-1)))</f>
        <v/>
      </c>
    </row>
    <row r="26" spans="1:35" ht="108" x14ac:dyDescent="0.2">
      <c r="A26" s="20">
        <v>14</v>
      </c>
      <c r="B26" s="90" t="s">
        <v>536</v>
      </c>
      <c r="C26" s="119" t="s">
        <v>215</v>
      </c>
      <c r="D26" s="146"/>
      <c r="E26" s="146"/>
      <c r="F26" s="121" t="s">
        <v>188</v>
      </c>
      <c r="G26" s="148" cm="1">
        <f t="array" ref="G26">_xlfn.IFS(F26="","",F26="No interest",0,F26="Nice to have",1,F26="Useful",2,F26="Important",3,F26="Very important",4,F26="Critical",5,F26="Show stopper",6)</f>
        <v>5</v>
      </c>
      <c r="H26" s="149">
        <f t="shared" si="1"/>
        <v>1.6447368421052631E-3</v>
      </c>
      <c r="I26" s="150" t="s">
        <v>321</v>
      </c>
      <c r="J26" s="35" t="str" cm="1">
        <f t="array" ref="J26">_xlfn.TEXTJOIN(","&amp;CHAR(10),,TEXT(Table261425678911[[#This Row],[12]:[22]],"0,00%"))</f>
        <v>0,00%,
0,00%,
0,00%,
0,00%,
0,00%</v>
      </c>
      <c r="K26" s="26"/>
      <c r="L26" s="27" t="e">
        <f>H26-(H26*((MATCH(Table261425678911[[#This Row],[Evaluators Response (SELECT)]],Table261425678911[[#This Row],[1]:[11]],0)-1)/(COUNTA(Table261425678911[[#This Row],[1]:[11]])-COUNTBLANK(Table261425678911[[#This Row],[1]:[11]])-1)))</f>
        <v>#N/A</v>
      </c>
      <c r="M26" s="28"/>
      <c r="N26" s="29" t="str" cm="1">
        <f t="array" ref="N26">IFERROR(INDEX(_xlfn.UNIQUE(TRIM(_xlfn.TEXTSPLIT(Table261425678911[[#This Row],[Selection Options]:[Selection Options]],","))),,N$11),"")</f>
        <v>100%: Supported as delivered "out of the box"</v>
      </c>
      <c r="O26" s="29" t="str" cm="1">
        <f t="array" ref="O26">IFERROR(INDEX(_xlfn.UNIQUE(TRIM(_xlfn.TEXTSPLIT(Table261425678911[[#This Row],[Selection Options]:[Selection Options]],","))),,O$11),"")</f>
        <v xml:space="preserve">
75%: Supported via modifications (config)</v>
      </c>
      <c r="P26" s="29" t="str" cm="1">
        <f t="array" ref="P26">IFERROR(INDEX(_xlfn.UNIQUE(TRIM(_xlfn.TEXTSPLIT(Table261425678911[[#This Row],[Selection Options]:[Selection Options]],","))),,P$11),"")</f>
        <v xml:space="preserve">
50%: Supported via a third party solution</v>
      </c>
      <c r="Q26" s="29" t="str" cm="1">
        <f t="array" ref="Q26">IFERROR(INDEX(_xlfn.UNIQUE(TRIM(_xlfn.TEXTSPLIT(Table261425678911[[#This Row],[Selection Options]:[Selection Options]],","))),,Q$11),"")</f>
        <v xml:space="preserve">
25%: Supported via customisation (source code changes)</v>
      </c>
      <c r="R26" s="29" t="str" cm="1">
        <f t="array" ref="R26">IFERROR(INDEX(_xlfn.UNIQUE(TRIM(_xlfn.TEXTSPLIT(Table261425678911[[#This Row],[Selection Options]:[Selection Options]],","))),,R$11),"")</f>
        <v xml:space="preserve">
 0%: Not currently supported</v>
      </c>
      <c r="S26" s="29" t="str" cm="1">
        <f t="array" ref="S26">IFERROR(INDEX(_xlfn.UNIQUE(TRIM(_xlfn.TEXTSPLIT(Table261425678911[[#This Row],[Selection Options]:[Selection Options]],","))),,S$11),"")</f>
        <v/>
      </c>
      <c r="T26" s="29" t="str" cm="1">
        <f t="array" ref="T26">IFERROR(INDEX(_xlfn.UNIQUE(TRIM(_xlfn.TEXTSPLIT(Table261425678911[[#This Row],[Selection Options]:[Selection Options]],","))),,T$11),"")</f>
        <v/>
      </c>
      <c r="U26" s="29" t="str" cm="1">
        <f t="array" ref="U26">IFERROR(INDEX(_xlfn.UNIQUE(TRIM(_xlfn.TEXTSPLIT(Table261425678911[[#This Row],[Selection Options]:[Selection Options]],","))),,U$11),"")</f>
        <v/>
      </c>
      <c r="V26" s="29" t="str" cm="1">
        <f t="array" ref="V26">IFERROR(INDEX(_xlfn.UNIQUE(TRIM(_xlfn.TEXTSPLIT(Table261425678911[[#This Row],[Selection Options]:[Selection Options]],","))),,V$11),"")</f>
        <v/>
      </c>
      <c r="W26" s="29" t="str" cm="1">
        <f t="array" ref="W26">IFERROR(INDEX(_xlfn.UNIQUE(TRIM(_xlfn.TEXTSPLIT(Table261425678911[[#This Row],[Selection Options]:[Selection Options]],","))),,W$11),"")</f>
        <v/>
      </c>
      <c r="X26" s="29" t="str" cm="1">
        <f t="array" ref="X26">IFERROR(INDEX(_xlfn.UNIQUE(TRIM(_xlfn.TEXTSPLIT(Table261425678911[[#This Row],[Selection Options]:[Selection Options]],","))),,X$11),"")</f>
        <v/>
      </c>
      <c r="Y26" s="30" cm="1">
        <f t="array" ref="Y26">IF(Table261425678911[[#This Row],[1]]="","",Table261425678911[[#This Row],[Weight]:[Weight]]-(Table261425678911[[#This Row],[Weight]:[Weight]]*((_xlfn.XMATCH(Table261425678911[[#This Row],[1]],Table261425678911[[#This Row],[1]:[11]],0))-1)/(COUNTA(Table261425678911[[#This Row],[1]:[11]])-COUNTBLANK(Table261425678911[[#This Row],[1]:[11]])-1)))</f>
        <v>1.6447368421052631E-3</v>
      </c>
      <c r="Z26" s="30" cm="1">
        <f t="array" ref="Z26">IF(Table261425678911[[#This Row],[2]]="","",Table261425678911[[#This Row],[Weight]:[Weight]]-(Table261425678911[[#This Row],[Weight]:[Weight]]*((_xlfn.XMATCH(Table261425678911[[#This Row],[2]],Table261425678911[[#This Row],[1]:[11]],0))-1)/(COUNTA(Table261425678911[[#This Row],[1]:[11]])-COUNTBLANK(Table261425678911[[#This Row],[1]:[11]])-1)))</f>
        <v>1.2335526315789473E-3</v>
      </c>
      <c r="AA26" s="30" cm="1">
        <f t="array" ref="AA26">IF(Table261425678911[[#This Row],[3]]="","",Table261425678911[[#This Row],[Weight]:[Weight]]-(Table261425678911[[#This Row],[Weight]:[Weight]]*((_xlfn.XMATCH(Table261425678911[[#This Row],[3]],Table261425678911[[#This Row],[1]:[11]],0))-1)/(COUNTA(Table261425678911[[#This Row],[1]:[11]])-COUNTBLANK(Table261425678911[[#This Row],[1]:[11]])-1)))</f>
        <v>8.2236842105263153E-4</v>
      </c>
      <c r="AB26" s="30" cm="1">
        <f t="array" ref="AB26">IF(Table261425678911[[#This Row],[4]]="","",Table261425678911[[#This Row],[Weight]:[Weight]]-(Table261425678911[[#This Row],[Weight]:[Weight]]*((_xlfn.XMATCH(Table261425678911[[#This Row],[4]],Table261425678911[[#This Row],[1]:[11]],0))-1)/(COUNTA(Table261425678911[[#This Row],[1]:[11]])-COUNTBLANK(Table261425678911[[#This Row],[1]:[11]])-1)))</f>
        <v>4.1118421052631577E-4</v>
      </c>
      <c r="AC26" s="30" cm="1">
        <f t="array" ref="AC26">IF(Table261425678911[[#This Row],[5]]="","",Table261425678911[[#This Row],[Weight]:[Weight]]-(Table261425678911[[#This Row],[Weight]:[Weight]]*((_xlfn.XMATCH(Table261425678911[[#This Row],[5]],Table261425678911[[#This Row],[1]:[11]],0))-1)/(COUNTA(Table261425678911[[#This Row],[1]:[11]])-COUNTBLANK(Table261425678911[[#This Row],[1]:[11]])-1)))</f>
        <v>0</v>
      </c>
      <c r="AD26" s="30" t="str" cm="1">
        <f t="array" ref="AD26">IF(Table261425678911[[#This Row],[6]]="","",Table261425678911[[#This Row],[Weight]:[Weight]]-(Table261425678911[[#This Row],[Weight]:[Weight]]*((_xlfn.XMATCH(Table261425678911[[#This Row],[6]],Table261425678911[[#This Row],[1]:[11]],0))-1)/(COUNTA(Table261425678911[[#This Row],[1]:[11]])-COUNTBLANK(Table261425678911[[#This Row],[1]:[11]])-1)))</f>
        <v/>
      </c>
      <c r="AE26" s="30" t="str" cm="1">
        <f t="array" ref="AE26">IF(Table261425678911[[#This Row],[7]]="","",Table261425678911[[#This Row],[Weight]:[Weight]]-(Table261425678911[[#This Row],[Weight]:[Weight]]*((_xlfn.XMATCH(Table261425678911[[#This Row],[7]],Table261425678911[[#This Row],[1]:[11]],0))-1)/(COUNTA(Table261425678911[[#This Row],[1]:[11]])-COUNTBLANK(Table261425678911[[#This Row],[1]:[11]])-1)))</f>
        <v/>
      </c>
      <c r="AF26" s="30" t="str" cm="1">
        <f t="array" ref="AF26">IF(Table261425678911[[#This Row],[8]]="","",Table261425678911[[#This Row],[Weight]:[Weight]]-(Table261425678911[[#This Row],[Weight]:[Weight]]*((_xlfn.XMATCH(Table261425678911[[#This Row],[8]],Table261425678911[[#This Row],[1]:[11]],0))-1)/(COUNTA(Table261425678911[[#This Row],[1]:[11]])-COUNTBLANK(Table261425678911[[#This Row],[1]:[11]])-1)))</f>
        <v/>
      </c>
      <c r="AG26" s="30" t="str" cm="1">
        <f t="array" ref="AG26">IF(Table261425678911[[#This Row],[9]]="","",Table261425678911[[#This Row],[Weight]:[Weight]]-(Table261425678911[[#This Row],[Weight]:[Weight]]*((_xlfn.XMATCH(Table261425678911[[#This Row],[9]],Table261425678911[[#This Row],[1]:[11]],0))-1)/(COUNTA(Table261425678911[[#This Row],[1]:[11]])-COUNTBLANK(Table261425678911[[#This Row],[1]:[11]])-1)))</f>
        <v/>
      </c>
      <c r="AH26" s="30" t="str" cm="1">
        <f t="array" ref="AH26">IF(Table261425678911[[#This Row],[10]]="","",Table261425678911[[#This Row],[Weight]:[Weight]]-(Table261425678911[[#This Row],[Weight]:[Weight]]*((_xlfn.XMATCH(Table261425678911[[#This Row],[10]],Table261425678911[[#This Row],[1]:[11]],0))-1)/(COUNTA(Table261425678911[[#This Row],[1]:[11]])-COUNTBLANK(Table261425678911[[#This Row],[1]:[11]])-1)))</f>
        <v/>
      </c>
      <c r="AI26" s="30" t="str" cm="1">
        <f t="array" ref="AI26">IF(Table261425678911[[#This Row],[11]]="","",Table261425678911[[#This Row],[Weight]:[Weight]]-(Table261425678911[[#This Row],[Weight]:[Weight]]*((_xlfn.XMATCH(Table261425678911[[#This Row],[11]],Table261425678911[[#This Row],[1]:[11]],0))-1)/(COUNTA(Table261425678911[[#This Row],[1]:[11]])-COUNTBLANK(Table261425678911[[#This Row],[1]:[11]])-1)))</f>
        <v/>
      </c>
    </row>
    <row r="27" spans="1:35" ht="108" x14ac:dyDescent="0.2">
      <c r="A27" s="20">
        <v>15</v>
      </c>
      <c r="B27" s="90" t="s">
        <v>537</v>
      </c>
      <c r="C27" s="119" t="s">
        <v>215</v>
      </c>
      <c r="D27" s="153"/>
      <c r="E27" s="153"/>
      <c r="F27" s="121" t="s">
        <v>188</v>
      </c>
      <c r="G27" s="148" cm="1">
        <f t="array" ref="G27">_xlfn.IFS(F27="","",F27="No interest",0,F27="Nice to have",1,F27="Useful",2,F27="Important",3,F27="Very important",4,F27="Critical",5,F27="Show stopper",6)</f>
        <v>5</v>
      </c>
      <c r="H27" s="149">
        <f t="shared" si="1"/>
        <v>1.6447368421052631E-3</v>
      </c>
      <c r="I27" s="150" t="s">
        <v>321</v>
      </c>
      <c r="J27" s="35" t="str" cm="1">
        <f t="array" ref="J27">_xlfn.TEXTJOIN(","&amp;CHAR(10),,TEXT(Table261425678911[[#This Row],[12]:[22]],"0,00%"))</f>
        <v>0,00%,
0,00%,
0,00%,
0,00%,
0,00%</v>
      </c>
      <c r="K27" s="26"/>
      <c r="L27" s="27" t="e">
        <f>H27-(H27*((MATCH(Table261425678911[[#This Row],[Evaluators Response (SELECT)]],Table261425678911[[#This Row],[1]:[11]],0)-1)/(COUNTA(Table261425678911[[#This Row],[1]:[11]])-COUNTBLANK(Table261425678911[[#This Row],[1]:[11]])-1)))</f>
        <v>#N/A</v>
      </c>
      <c r="M27" s="28"/>
      <c r="N27" s="29" t="str" cm="1">
        <f t="array" ref="N27">IFERROR(INDEX(_xlfn.UNIQUE(TRIM(_xlfn.TEXTSPLIT(Table261425678911[[#This Row],[Selection Options]:[Selection Options]],","))),,N$11),"")</f>
        <v>100%: Supported as delivered "out of the box"</v>
      </c>
      <c r="O27" s="29" t="str" cm="1">
        <f t="array" ref="O27">IFERROR(INDEX(_xlfn.UNIQUE(TRIM(_xlfn.TEXTSPLIT(Table261425678911[[#This Row],[Selection Options]:[Selection Options]],","))),,O$11),"")</f>
        <v xml:space="preserve">
75%: Supported via modifications (config)</v>
      </c>
      <c r="P27" s="29" t="str" cm="1">
        <f t="array" ref="P27">IFERROR(INDEX(_xlfn.UNIQUE(TRIM(_xlfn.TEXTSPLIT(Table261425678911[[#This Row],[Selection Options]:[Selection Options]],","))),,P$11),"")</f>
        <v xml:space="preserve">
50%: Supported via a third party solution</v>
      </c>
      <c r="Q27" s="29" t="str" cm="1">
        <f t="array" ref="Q27">IFERROR(INDEX(_xlfn.UNIQUE(TRIM(_xlfn.TEXTSPLIT(Table261425678911[[#This Row],[Selection Options]:[Selection Options]],","))),,Q$11),"")</f>
        <v xml:space="preserve">
25%: Supported via customisation (source code changes)</v>
      </c>
      <c r="R27" s="29" t="str" cm="1">
        <f t="array" ref="R27">IFERROR(INDEX(_xlfn.UNIQUE(TRIM(_xlfn.TEXTSPLIT(Table261425678911[[#This Row],[Selection Options]:[Selection Options]],","))),,R$11),"")</f>
        <v xml:space="preserve">
 0%: Not currently supported</v>
      </c>
      <c r="S27" s="29" t="str" cm="1">
        <f t="array" ref="S27">IFERROR(INDEX(_xlfn.UNIQUE(TRIM(_xlfn.TEXTSPLIT(Table261425678911[[#This Row],[Selection Options]:[Selection Options]],","))),,S$11),"")</f>
        <v/>
      </c>
      <c r="T27" s="29" t="str" cm="1">
        <f t="array" ref="T27">IFERROR(INDEX(_xlfn.UNIQUE(TRIM(_xlfn.TEXTSPLIT(Table261425678911[[#This Row],[Selection Options]:[Selection Options]],","))),,T$11),"")</f>
        <v/>
      </c>
      <c r="U27" s="29" t="str" cm="1">
        <f t="array" ref="U27">IFERROR(INDEX(_xlfn.UNIQUE(TRIM(_xlfn.TEXTSPLIT(Table261425678911[[#This Row],[Selection Options]:[Selection Options]],","))),,U$11),"")</f>
        <v/>
      </c>
      <c r="V27" s="29" t="str" cm="1">
        <f t="array" ref="V27">IFERROR(INDEX(_xlfn.UNIQUE(TRIM(_xlfn.TEXTSPLIT(Table261425678911[[#This Row],[Selection Options]:[Selection Options]],","))),,V$11),"")</f>
        <v/>
      </c>
      <c r="W27" s="29" t="str" cm="1">
        <f t="array" ref="W27">IFERROR(INDEX(_xlfn.UNIQUE(TRIM(_xlfn.TEXTSPLIT(Table261425678911[[#This Row],[Selection Options]:[Selection Options]],","))),,W$11),"")</f>
        <v/>
      </c>
      <c r="X27" s="29" t="str" cm="1">
        <f t="array" ref="X27">IFERROR(INDEX(_xlfn.UNIQUE(TRIM(_xlfn.TEXTSPLIT(Table261425678911[[#This Row],[Selection Options]:[Selection Options]],","))),,X$11),"")</f>
        <v/>
      </c>
      <c r="Y27" s="30" cm="1">
        <f t="array" ref="Y27">IF(Table261425678911[[#This Row],[1]]="","",Table261425678911[[#This Row],[Weight]:[Weight]]-(Table261425678911[[#This Row],[Weight]:[Weight]]*((_xlfn.XMATCH(Table261425678911[[#This Row],[1]],Table261425678911[[#This Row],[1]:[11]],0))-1)/(COUNTA(Table261425678911[[#This Row],[1]:[11]])-COUNTBLANK(Table261425678911[[#This Row],[1]:[11]])-1)))</f>
        <v>1.6447368421052631E-3</v>
      </c>
      <c r="Z27" s="30" cm="1">
        <f t="array" ref="Z27">IF(Table261425678911[[#This Row],[2]]="","",Table261425678911[[#This Row],[Weight]:[Weight]]-(Table261425678911[[#This Row],[Weight]:[Weight]]*((_xlfn.XMATCH(Table261425678911[[#This Row],[2]],Table261425678911[[#This Row],[1]:[11]],0))-1)/(COUNTA(Table261425678911[[#This Row],[1]:[11]])-COUNTBLANK(Table261425678911[[#This Row],[1]:[11]])-1)))</f>
        <v>1.2335526315789473E-3</v>
      </c>
      <c r="AA27" s="30" cm="1">
        <f t="array" ref="AA27">IF(Table261425678911[[#This Row],[3]]="","",Table261425678911[[#This Row],[Weight]:[Weight]]-(Table261425678911[[#This Row],[Weight]:[Weight]]*((_xlfn.XMATCH(Table261425678911[[#This Row],[3]],Table261425678911[[#This Row],[1]:[11]],0))-1)/(COUNTA(Table261425678911[[#This Row],[1]:[11]])-COUNTBLANK(Table261425678911[[#This Row],[1]:[11]])-1)))</f>
        <v>8.2236842105263153E-4</v>
      </c>
      <c r="AB27" s="30" cm="1">
        <f t="array" ref="AB27">IF(Table261425678911[[#This Row],[4]]="","",Table261425678911[[#This Row],[Weight]:[Weight]]-(Table261425678911[[#This Row],[Weight]:[Weight]]*((_xlfn.XMATCH(Table261425678911[[#This Row],[4]],Table261425678911[[#This Row],[1]:[11]],0))-1)/(COUNTA(Table261425678911[[#This Row],[1]:[11]])-COUNTBLANK(Table261425678911[[#This Row],[1]:[11]])-1)))</f>
        <v>4.1118421052631577E-4</v>
      </c>
      <c r="AC27" s="30" cm="1">
        <f t="array" ref="AC27">IF(Table261425678911[[#This Row],[5]]="","",Table261425678911[[#This Row],[Weight]:[Weight]]-(Table261425678911[[#This Row],[Weight]:[Weight]]*((_xlfn.XMATCH(Table261425678911[[#This Row],[5]],Table261425678911[[#This Row],[1]:[11]],0))-1)/(COUNTA(Table261425678911[[#This Row],[1]:[11]])-COUNTBLANK(Table261425678911[[#This Row],[1]:[11]])-1)))</f>
        <v>0</v>
      </c>
      <c r="AD27" s="30" t="str" cm="1">
        <f t="array" ref="AD27">IF(Table261425678911[[#This Row],[6]]="","",Table261425678911[[#This Row],[Weight]:[Weight]]-(Table261425678911[[#This Row],[Weight]:[Weight]]*((_xlfn.XMATCH(Table261425678911[[#This Row],[6]],Table261425678911[[#This Row],[1]:[11]],0))-1)/(COUNTA(Table261425678911[[#This Row],[1]:[11]])-COUNTBLANK(Table261425678911[[#This Row],[1]:[11]])-1)))</f>
        <v/>
      </c>
      <c r="AE27" s="30" t="str" cm="1">
        <f t="array" ref="AE27">IF(Table261425678911[[#This Row],[7]]="","",Table261425678911[[#This Row],[Weight]:[Weight]]-(Table261425678911[[#This Row],[Weight]:[Weight]]*((_xlfn.XMATCH(Table261425678911[[#This Row],[7]],Table261425678911[[#This Row],[1]:[11]],0))-1)/(COUNTA(Table261425678911[[#This Row],[1]:[11]])-COUNTBLANK(Table261425678911[[#This Row],[1]:[11]])-1)))</f>
        <v/>
      </c>
      <c r="AF27" s="30" t="str" cm="1">
        <f t="array" ref="AF27">IF(Table261425678911[[#This Row],[8]]="","",Table261425678911[[#This Row],[Weight]:[Weight]]-(Table261425678911[[#This Row],[Weight]:[Weight]]*((_xlfn.XMATCH(Table261425678911[[#This Row],[8]],Table261425678911[[#This Row],[1]:[11]],0))-1)/(COUNTA(Table261425678911[[#This Row],[1]:[11]])-COUNTBLANK(Table261425678911[[#This Row],[1]:[11]])-1)))</f>
        <v/>
      </c>
      <c r="AG27" s="30" t="str" cm="1">
        <f t="array" ref="AG27">IF(Table261425678911[[#This Row],[9]]="","",Table261425678911[[#This Row],[Weight]:[Weight]]-(Table261425678911[[#This Row],[Weight]:[Weight]]*((_xlfn.XMATCH(Table261425678911[[#This Row],[9]],Table261425678911[[#This Row],[1]:[11]],0))-1)/(COUNTA(Table261425678911[[#This Row],[1]:[11]])-COUNTBLANK(Table261425678911[[#This Row],[1]:[11]])-1)))</f>
        <v/>
      </c>
      <c r="AH27" s="30" t="str" cm="1">
        <f t="array" ref="AH27">IF(Table261425678911[[#This Row],[10]]="","",Table261425678911[[#This Row],[Weight]:[Weight]]-(Table261425678911[[#This Row],[Weight]:[Weight]]*((_xlfn.XMATCH(Table261425678911[[#This Row],[10]],Table261425678911[[#This Row],[1]:[11]],0))-1)/(COUNTA(Table261425678911[[#This Row],[1]:[11]])-COUNTBLANK(Table261425678911[[#This Row],[1]:[11]])-1)))</f>
        <v/>
      </c>
      <c r="AI27" s="30" t="str" cm="1">
        <f t="array" ref="AI27">IF(Table261425678911[[#This Row],[11]]="","",Table261425678911[[#This Row],[Weight]:[Weight]]-(Table261425678911[[#This Row],[Weight]:[Weight]]*((_xlfn.XMATCH(Table261425678911[[#This Row],[11]],Table261425678911[[#This Row],[1]:[11]],0))-1)/(COUNTA(Table261425678911[[#This Row],[1]:[11]])-COUNTBLANK(Table261425678911[[#This Row],[1]:[11]])-1)))</f>
        <v/>
      </c>
    </row>
    <row r="28" spans="1:35" ht="108" x14ac:dyDescent="0.2">
      <c r="A28" s="20">
        <v>16</v>
      </c>
      <c r="B28" s="90" t="s">
        <v>538</v>
      </c>
      <c r="C28" s="119" t="s">
        <v>215</v>
      </c>
      <c r="D28" s="153"/>
      <c r="E28" s="153"/>
      <c r="F28" s="121" t="s">
        <v>60</v>
      </c>
      <c r="G28" s="148" cm="1">
        <f t="array" ref="G28">_xlfn.IFS(F28="","",F28="No interest",0,F28="Nice to have",1,F28="Useful",2,F28="Important",3,F28="Very important",4,F28="Critical",5,F28="Show stopper",6)</f>
        <v>6</v>
      </c>
      <c r="H28" s="149">
        <f t="shared" si="1"/>
        <v>1.9736842105263154E-3</v>
      </c>
      <c r="I28" s="150" t="s">
        <v>321</v>
      </c>
      <c r="J28" s="35" t="str" cm="1">
        <f t="array" ref="J28">_xlfn.TEXTJOIN(","&amp;CHAR(10),,TEXT(Table261425678911[[#This Row],[12]:[22]],"0,00%"))</f>
        <v>0,00%,
0,00%,
0,00%,
0,00%,
0,00%</v>
      </c>
      <c r="K28" s="26"/>
      <c r="L28" s="27" t="e">
        <f>H28-(H28*((MATCH(Table261425678911[[#This Row],[Evaluators Response (SELECT)]],Table261425678911[[#This Row],[1]:[11]],0)-1)/(COUNTA(Table261425678911[[#This Row],[1]:[11]])-COUNTBLANK(Table261425678911[[#This Row],[1]:[11]])-1)))</f>
        <v>#N/A</v>
      </c>
      <c r="M28" s="28"/>
      <c r="N28" s="29" t="str" cm="1">
        <f t="array" ref="N28">IFERROR(INDEX(_xlfn.UNIQUE(TRIM(_xlfn.TEXTSPLIT(Table261425678911[[#This Row],[Selection Options]:[Selection Options]],","))),,N$11),"")</f>
        <v>100%: Supported as delivered "out of the box"</v>
      </c>
      <c r="O28" s="29" t="str" cm="1">
        <f t="array" ref="O28">IFERROR(INDEX(_xlfn.UNIQUE(TRIM(_xlfn.TEXTSPLIT(Table261425678911[[#This Row],[Selection Options]:[Selection Options]],","))),,O$11),"")</f>
        <v xml:space="preserve">
75%: Supported via modifications (config)</v>
      </c>
      <c r="P28" s="29" t="str" cm="1">
        <f t="array" ref="P28">IFERROR(INDEX(_xlfn.UNIQUE(TRIM(_xlfn.TEXTSPLIT(Table261425678911[[#This Row],[Selection Options]:[Selection Options]],","))),,P$11),"")</f>
        <v xml:space="preserve">
50%: Supported via a third party solution</v>
      </c>
      <c r="Q28" s="29" t="str" cm="1">
        <f t="array" ref="Q28">IFERROR(INDEX(_xlfn.UNIQUE(TRIM(_xlfn.TEXTSPLIT(Table261425678911[[#This Row],[Selection Options]:[Selection Options]],","))),,Q$11),"")</f>
        <v xml:space="preserve">
25%: Supported via customisation (source code changes)</v>
      </c>
      <c r="R28" s="29" t="str" cm="1">
        <f t="array" ref="R28">IFERROR(INDEX(_xlfn.UNIQUE(TRIM(_xlfn.TEXTSPLIT(Table261425678911[[#This Row],[Selection Options]:[Selection Options]],","))),,R$11),"")</f>
        <v xml:space="preserve">
 0%: Not currently supported</v>
      </c>
      <c r="S28" s="29" t="str" cm="1">
        <f t="array" ref="S28">IFERROR(INDEX(_xlfn.UNIQUE(TRIM(_xlfn.TEXTSPLIT(Table261425678911[[#This Row],[Selection Options]:[Selection Options]],","))),,S$11),"")</f>
        <v/>
      </c>
      <c r="T28" s="29" t="str" cm="1">
        <f t="array" ref="T28">IFERROR(INDEX(_xlfn.UNIQUE(TRIM(_xlfn.TEXTSPLIT(Table261425678911[[#This Row],[Selection Options]:[Selection Options]],","))),,T$11),"")</f>
        <v/>
      </c>
      <c r="U28" s="29" t="str" cm="1">
        <f t="array" ref="U28">IFERROR(INDEX(_xlfn.UNIQUE(TRIM(_xlfn.TEXTSPLIT(Table261425678911[[#This Row],[Selection Options]:[Selection Options]],","))),,U$11),"")</f>
        <v/>
      </c>
      <c r="V28" s="29" t="str" cm="1">
        <f t="array" ref="V28">IFERROR(INDEX(_xlfn.UNIQUE(TRIM(_xlfn.TEXTSPLIT(Table261425678911[[#This Row],[Selection Options]:[Selection Options]],","))),,V$11),"")</f>
        <v/>
      </c>
      <c r="W28" s="29" t="str" cm="1">
        <f t="array" ref="W28">IFERROR(INDEX(_xlfn.UNIQUE(TRIM(_xlfn.TEXTSPLIT(Table261425678911[[#This Row],[Selection Options]:[Selection Options]],","))),,W$11),"")</f>
        <v/>
      </c>
      <c r="X28" s="29" t="str" cm="1">
        <f t="array" ref="X28">IFERROR(INDEX(_xlfn.UNIQUE(TRIM(_xlfn.TEXTSPLIT(Table261425678911[[#This Row],[Selection Options]:[Selection Options]],","))),,X$11),"")</f>
        <v/>
      </c>
      <c r="Y28" s="30" cm="1">
        <f t="array" ref="Y28">IF(Table261425678911[[#This Row],[1]]="","",Table261425678911[[#This Row],[Weight]:[Weight]]-(Table261425678911[[#This Row],[Weight]:[Weight]]*((_xlfn.XMATCH(Table261425678911[[#This Row],[1]],Table261425678911[[#This Row],[1]:[11]],0))-1)/(COUNTA(Table261425678911[[#This Row],[1]:[11]])-COUNTBLANK(Table261425678911[[#This Row],[1]:[11]])-1)))</f>
        <v>1.9736842105263154E-3</v>
      </c>
      <c r="Z28" s="30" cm="1">
        <f t="array" ref="Z28">IF(Table261425678911[[#This Row],[2]]="","",Table261425678911[[#This Row],[Weight]:[Weight]]-(Table261425678911[[#This Row],[Weight]:[Weight]]*((_xlfn.XMATCH(Table261425678911[[#This Row],[2]],Table261425678911[[#This Row],[1]:[11]],0))-1)/(COUNTA(Table261425678911[[#This Row],[1]:[11]])-COUNTBLANK(Table261425678911[[#This Row],[1]:[11]])-1)))</f>
        <v>1.4802631578947367E-3</v>
      </c>
      <c r="AA28" s="30" cm="1">
        <f t="array" ref="AA28">IF(Table261425678911[[#This Row],[3]]="","",Table261425678911[[#This Row],[Weight]:[Weight]]-(Table261425678911[[#This Row],[Weight]:[Weight]]*((_xlfn.XMATCH(Table261425678911[[#This Row],[3]],Table261425678911[[#This Row],[1]:[11]],0))-1)/(COUNTA(Table261425678911[[#This Row],[1]:[11]])-COUNTBLANK(Table261425678911[[#This Row],[1]:[11]])-1)))</f>
        <v>9.8684210526315771E-4</v>
      </c>
      <c r="AB28" s="30" cm="1">
        <f t="array" ref="AB28">IF(Table261425678911[[#This Row],[4]]="","",Table261425678911[[#This Row],[Weight]:[Weight]]-(Table261425678911[[#This Row],[Weight]:[Weight]]*((_xlfn.XMATCH(Table261425678911[[#This Row],[4]],Table261425678911[[#This Row],[1]:[11]],0))-1)/(COUNTA(Table261425678911[[#This Row],[1]:[11]])-COUNTBLANK(Table261425678911[[#This Row],[1]:[11]])-1)))</f>
        <v>4.9342105263157875E-4</v>
      </c>
      <c r="AC28" s="30" cm="1">
        <f t="array" ref="AC28">IF(Table261425678911[[#This Row],[5]]="","",Table261425678911[[#This Row],[Weight]:[Weight]]-(Table261425678911[[#This Row],[Weight]:[Weight]]*((_xlfn.XMATCH(Table261425678911[[#This Row],[5]],Table261425678911[[#This Row],[1]:[11]],0))-1)/(COUNTA(Table261425678911[[#This Row],[1]:[11]])-COUNTBLANK(Table261425678911[[#This Row],[1]:[11]])-1)))</f>
        <v>0</v>
      </c>
      <c r="AD28" s="30" t="str" cm="1">
        <f t="array" ref="AD28">IF(Table261425678911[[#This Row],[6]]="","",Table261425678911[[#This Row],[Weight]:[Weight]]-(Table261425678911[[#This Row],[Weight]:[Weight]]*((_xlfn.XMATCH(Table261425678911[[#This Row],[6]],Table261425678911[[#This Row],[1]:[11]],0))-1)/(COUNTA(Table261425678911[[#This Row],[1]:[11]])-COUNTBLANK(Table261425678911[[#This Row],[1]:[11]])-1)))</f>
        <v/>
      </c>
      <c r="AE28" s="30" t="str" cm="1">
        <f t="array" ref="AE28">IF(Table261425678911[[#This Row],[7]]="","",Table261425678911[[#This Row],[Weight]:[Weight]]-(Table261425678911[[#This Row],[Weight]:[Weight]]*((_xlfn.XMATCH(Table261425678911[[#This Row],[7]],Table261425678911[[#This Row],[1]:[11]],0))-1)/(COUNTA(Table261425678911[[#This Row],[1]:[11]])-COUNTBLANK(Table261425678911[[#This Row],[1]:[11]])-1)))</f>
        <v/>
      </c>
      <c r="AF28" s="30" t="str" cm="1">
        <f t="array" ref="AF28">IF(Table261425678911[[#This Row],[8]]="","",Table261425678911[[#This Row],[Weight]:[Weight]]-(Table261425678911[[#This Row],[Weight]:[Weight]]*((_xlfn.XMATCH(Table261425678911[[#This Row],[8]],Table261425678911[[#This Row],[1]:[11]],0))-1)/(COUNTA(Table261425678911[[#This Row],[1]:[11]])-COUNTBLANK(Table261425678911[[#This Row],[1]:[11]])-1)))</f>
        <v/>
      </c>
      <c r="AG28" s="30" t="str" cm="1">
        <f t="array" ref="AG28">IF(Table261425678911[[#This Row],[9]]="","",Table261425678911[[#This Row],[Weight]:[Weight]]-(Table261425678911[[#This Row],[Weight]:[Weight]]*((_xlfn.XMATCH(Table261425678911[[#This Row],[9]],Table261425678911[[#This Row],[1]:[11]],0))-1)/(COUNTA(Table261425678911[[#This Row],[1]:[11]])-COUNTBLANK(Table261425678911[[#This Row],[1]:[11]])-1)))</f>
        <v/>
      </c>
      <c r="AH28" s="30" t="str" cm="1">
        <f t="array" ref="AH28">IF(Table261425678911[[#This Row],[10]]="","",Table261425678911[[#This Row],[Weight]:[Weight]]-(Table261425678911[[#This Row],[Weight]:[Weight]]*((_xlfn.XMATCH(Table261425678911[[#This Row],[10]],Table261425678911[[#This Row],[1]:[11]],0))-1)/(COUNTA(Table261425678911[[#This Row],[1]:[11]])-COUNTBLANK(Table261425678911[[#This Row],[1]:[11]])-1)))</f>
        <v/>
      </c>
      <c r="AI28" s="30" t="str" cm="1">
        <f t="array" ref="AI28">IF(Table261425678911[[#This Row],[11]]="","",Table261425678911[[#This Row],[Weight]:[Weight]]-(Table261425678911[[#This Row],[Weight]:[Weight]]*((_xlfn.XMATCH(Table261425678911[[#This Row],[11]],Table261425678911[[#This Row],[1]:[11]],0))-1)/(COUNTA(Table261425678911[[#This Row],[1]:[11]])-COUNTBLANK(Table261425678911[[#This Row],[1]:[11]])-1)))</f>
        <v/>
      </c>
    </row>
    <row r="29" spans="1:35" ht="108" x14ac:dyDescent="0.2">
      <c r="A29" s="20">
        <v>17</v>
      </c>
      <c r="B29" s="90" t="s">
        <v>539</v>
      </c>
      <c r="C29" s="119" t="s">
        <v>215</v>
      </c>
      <c r="D29" s="153"/>
      <c r="E29" s="153"/>
      <c r="F29" s="121" t="s">
        <v>188</v>
      </c>
      <c r="G29" s="148" cm="1">
        <f t="array" ref="G29">_xlfn.IFS(F29="","",F29="No interest",0,F29="Nice to have",1,F29="Useful",2,F29="Important",3,F29="Very important",4,F29="Critical",5,F29="Show stopper",6)</f>
        <v>5</v>
      </c>
      <c r="H29" s="149">
        <f t="shared" si="1"/>
        <v>1.6447368421052631E-3</v>
      </c>
      <c r="I29" s="150" t="s">
        <v>321</v>
      </c>
      <c r="J29" s="35" t="str" cm="1">
        <f t="array" ref="J29">_xlfn.TEXTJOIN(","&amp;CHAR(10),,TEXT(Table261425678911[[#This Row],[12]:[22]],"0,00%"))</f>
        <v>0,00%,
0,00%,
0,00%,
0,00%,
0,00%</v>
      </c>
      <c r="K29" s="26"/>
      <c r="L29" s="27" t="e">
        <f>H29-(H29*((MATCH(Table261425678911[[#This Row],[Evaluators Response (SELECT)]],Table261425678911[[#This Row],[1]:[11]],0)-1)/(COUNTA(Table261425678911[[#This Row],[1]:[11]])-COUNTBLANK(Table261425678911[[#This Row],[1]:[11]])-1)))</f>
        <v>#N/A</v>
      </c>
      <c r="M29" s="28"/>
      <c r="N29" s="29" t="str" cm="1">
        <f t="array" ref="N29">IFERROR(INDEX(_xlfn.UNIQUE(TRIM(_xlfn.TEXTSPLIT(Table261425678911[[#This Row],[Selection Options]:[Selection Options]],","))),,N$11),"")</f>
        <v>100%: Supported as delivered "out of the box"</v>
      </c>
      <c r="O29" s="29" t="str" cm="1">
        <f t="array" ref="O29">IFERROR(INDEX(_xlfn.UNIQUE(TRIM(_xlfn.TEXTSPLIT(Table261425678911[[#This Row],[Selection Options]:[Selection Options]],","))),,O$11),"")</f>
        <v xml:space="preserve">
75%: Supported via modifications (config)</v>
      </c>
      <c r="P29" s="29" t="str" cm="1">
        <f t="array" ref="P29">IFERROR(INDEX(_xlfn.UNIQUE(TRIM(_xlfn.TEXTSPLIT(Table261425678911[[#This Row],[Selection Options]:[Selection Options]],","))),,P$11),"")</f>
        <v xml:space="preserve">
50%: Supported via a third party solution</v>
      </c>
      <c r="Q29" s="29" t="str" cm="1">
        <f t="array" ref="Q29">IFERROR(INDEX(_xlfn.UNIQUE(TRIM(_xlfn.TEXTSPLIT(Table261425678911[[#This Row],[Selection Options]:[Selection Options]],","))),,Q$11),"")</f>
        <v xml:space="preserve">
25%: Supported via customisation (source code changes)</v>
      </c>
      <c r="R29" s="29" t="str" cm="1">
        <f t="array" ref="R29">IFERROR(INDEX(_xlfn.UNIQUE(TRIM(_xlfn.TEXTSPLIT(Table261425678911[[#This Row],[Selection Options]:[Selection Options]],","))),,R$11),"")</f>
        <v xml:space="preserve">
 0%: Not currently supported</v>
      </c>
      <c r="S29" s="29" t="str" cm="1">
        <f t="array" ref="S29">IFERROR(INDEX(_xlfn.UNIQUE(TRIM(_xlfn.TEXTSPLIT(Table261425678911[[#This Row],[Selection Options]:[Selection Options]],","))),,S$11),"")</f>
        <v/>
      </c>
      <c r="T29" s="29" t="str" cm="1">
        <f t="array" ref="T29">IFERROR(INDEX(_xlfn.UNIQUE(TRIM(_xlfn.TEXTSPLIT(Table261425678911[[#This Row],[Selection Options]:[Selection Options]],","))),,T$11),"")</f>
        <v/>
      </c>
      <c r="U29" s="29" t="str" cm="1">
        <f t="array" ref="U29">IFERROR(INDEX(_xlfn.UNIQUE(TRIM(_xlfn.TEXTSPLIT(Table261425678911[[#This Row],[Selection Options]:[Selection Options]],","))),,U$11),"")</f>
        <v/>
      </c>
      <c r="V29" s="29" t="str" cm="1">
        <f t="array" ref="V29">IFERROR(INDEX(_xlfn.UNIQUE(TRIM(_xlfn.TEXTSPLIT(Table261425678911[[#This Row],[Selection Options]:[Selection Options]],","))),,V$11),"")</f>
        <v/>
      </c>
      <c r="W29" s="29" t="str" cm="1">
        <f t="array" ref="W29">IFERROR(INDEX(_xlfn.UNIQUE(TRIM(_xlfn.TEXTSPLIT(Table261425678911[[#This Row],[Selection Options]:[Selection Options]],","))),,W$11),"")</f>
        <v/>
      </c>
      <c r="X29" s="29" t="str" cm="1">
        <f t="array" ref="X29">IFERROR(INDEX(_xlfn.UNIQUE(TRIM(_xlfn.TEXTSPLIT(Table261425678911[[#This Row],[Selection Options]:[Selection Options]],","))),,X$11),"")</f>
        <v/>
      </c>
      <c r="Y29" s="30" cm="1">
        <f t="array" ref="Y29">IF(Table261425678911[[#This Row],[1]]="","",Table261425678911[[#This Row],[Weight]:[Weight]]-(Table261425678911[[#This Row],[Weight]:[Weight]]*((_xlfn.XMATCH(Table261425678911[[#This Row],[1]],Table261425678911[[#This Row],[1]:[11]],0))-1)/(COUNTA(Table261425678911[[#This Row],[1]:[11]])-COUNTBLANK(Table261425678911[[#This Row],[1]:[11]])-1)))</f>
        <v>1.6447368421052631E-3</v>
      </c>
      <c r="Z29" s="30" cm="1">
        <f t="array" ref="Z29">IF(Table261425678911[[#This Row],[2]]="","",Table261425678911[[#This Row],[Weight]:[Weight]]-(Table261425678911[[#This Row],[Weight]:[Weight]]*((_xlfn.XMATCH(Table261425678911[[#This Row],[2]],Table261425678911[[#This Row],[1]:[11]],0))-1)/(COUNTA(Table261425678911[[#This Row],[1]:[11]])-COUNTBLANK(Table261425678911[[#This Row],[1]:[11]])-1)))</f>
        <v>1.2335526315789473E-3</v>
      </c>
      <c r="AA29" s="30" cm="1">
        <f t="array" ref="AA29">IF(Table261425678911[[#This Row],[3]]="","",Table261425678911[[#This Row],[Weight]:[Weight]]-(Table261425678911[[#This Row],[Weight]:[Weight]]*((_xlfn.XMATCH(Table261425678911[[#This Row],[3]],Table261425678911[[#This Row],[1]:[11]],0))-1)/(COUNTA(Table261425678911[[#This Row],[1]:[11]])-COUNTBLANK(Table261425678911[[#This Row],[1]:[11]])-1)))</f>
        <v>8.2236842105263153E-4</v>
      </c>
      <c r="AB29" s="30" cm="1">
        <f t="array" ref="AB29">IF(Table261425678911[[#This Row],[4]]="","",Table261425678911[[#This Row],[Weight]:[Weight]]-(Table261425678911[[#This Row],[Weight]:[Weight]]*((_xlfn.XMATCH(Table261425678911[[#This Row],[4]],Table261425678911[[#This Row],[1]:[11]],0))-1)/(COUNTA(Table261425678911[[#This Row],[1]:[11]])-COUNTBLANK(Table261425678911[[#This Row],[1]:[11]])-1)))</f>
        <v>4.1118421052631577E-4</v>
      </c>
      <c r="AC29" s="30" cm="1">
        <f t="array" ref="AC29">IF(Table261425678911[[#This Row],[5]]="","",Table261425678911[[#This Row],[Weight]:[Weight]]-(Table261425678911[[#This Row],[Weight]:[Weight]]*((_xlfn.XMATCH(Table261425678911[[#This Row],[5]],Table261425678911[[#This Row],[1]:[11]],0))-1)/(COUNTA(Table261425678911[[#This Row],[1]:[11]])-COUNTBLANK(Table261425678911[[#This Row],[1]:[11]])-1)))</f>
        <v>0</v>
      </c>
      <c r="AD29" s="30" t="str" cm="1">
        <f t="array" ref="AD29">IF(Table261425678911[[#This Row],[6]]="","",Table261425678911[[#This Row],[Weight]:[Weight]]-(Table261425678911[[#This Row],[Weight]:[Weight]]*((_xlfn.XMATCH(Table261425678911[[#This Row],[6]],Table261425678911[[#This Row],[1]:[11]],0))-1)/(COUNTA(Table261425678911[[#This Row],[1]:[11]])-COUNTBLANK(Table261425678911[[#This Row],[1]:[11]])-1)))</f>
        <v/>
      </c>
      <c r="AE29" s="30" t="str" cm="1">
        <f t="array" ref="AE29">IF(Table261425678911[[#This Row],[7]]="","",Table261425678911[[#This Row],[Weight]:[Weight]]-(Table261425678911[[#This Row],[Weight]:[Weight]]*((_xlfn.XMATCH(Table261425678911[[#This Row],[7]],Table261425678911[[#This Row],[1]:[11]],0))-1)/(COUNTA(Table261425678911[[#This Row],[1]:[11]])-COUNTBLANK(Table261425678911[[#This Row],[1]:[11]])-1)))</f>
        <v/>
      </c>
      <c r="AF29" s="30" t="str" cm="1">
        <f t="array" ref="AF29">IF(Table261425678911[[#This Row],[8]]="","",Table261425678911[[#This Row],[Weight]:[Weight]]-(Table261425678911[[#This Row],[Weight]:[Weight]]*((_xlfn.XMATCH(Table261425678911[[#This Row],[8]],Table261425678911[[#This Row],[1]:[11]],0))-1)/(COUNTA(Table261425678911[[#This Row],[1]:[11]])-COUNTBLANK(Table261425678911[[#This Row],[1]:[11]])-1)))</f>
        <v/>
      </c>
      <c r="AG29" s="30" t="str" cm="1">
        <f t="array" ref="AG29">IF(Table261425678911[[#This Row],[9]]="","",Table261425678911[[#This Row],[Weight]:[Weight]]-(Table261425678911[[#This Row],[Weight]:[Weight]]*((_xlfn.XMATCH(Table261425678911[[#This Row],[9]],Table261425678911[[#This Row],[1]:[11]],0))-1)/(COUNTA(Table261425678911[[#This Row],[1]:[11]])-COUNTBLANK(Table261425678911[[#This Row],[1]:[11]])-1)))</f>
        <v/>
      </c>
      <c r="AH29" s="30" t="str" cm="1">
        <f t="array" ref="AH29">IF(Table261425678911[[#This Row],[10]]="","",Table261425678911[[#This Row],[Weight]:[Weight]]-(Table261425678911[[#This Row],[Weight]:[Weight]]*((_xlfn.XMATCH(Table261425678911[[#This Row],[10]],Table261425678911[[#This Row],[1]:[11]],0))-1)/(COUNTA(Table261425678911[[#This Row],[1]:[11]])-COUNTBLANK(Table261425678911[[#This Row],[1]:[11]])-1)))</f>
        <v/>
      </c>
      <c r="AI29" s="30" t="str" cm="1">
        <f t="array" ref="AI29">IF(Table261425678911[[#This Row],[11]]="","",Table261425678911[[#This Row],[Weight]:[Weight]]-(Table261425678911[[#This Row],[Weight]:[Weight]]*((_xlfn.XMATCH(Table261425678911[[#This Row],[11]],Table261425678911[[#This Row],[1]:[11]],0))-1)/(COUNTA(Table261425678911[[#This Row],[1]:[11]])-COUNTBLANK(Table261425678911[[#This Row],[1]:[11]])-1)))</f>
        <v/>
      </c>
    </row>
    <row r="30" spans="1:35" ht="108" x14ac:dyDescent="0.2">
      <c r="A30" s="20">
        <v>18</v>
      </c>
      <c r="B30" s="90" t="s">
        <v>540</v>
      </c>
      <c r="C30" s="119" t="s">
        <v>215</v>
      </c>
      <c r="D30" s="153"/>
      <c r="E30" s="153"/>
      <c r="F30" s="121" t="s">
        <v>60</v>
      </c>
      <c r="G30" s="148" cm="1">
        <f t="array" ref="G30">_xlfn.IFS(F30="","",F30="No interest",0,F30="Nice to have",1,F30="Useful",2,F30="Important",3,F30="Very important",4,F30="Critical",5,F30="Show stopper",6)</f>
        <v>6</v>
      </c>
      <c r="H30" s="149">
        <f t="shared" si="1"/>
        <v>1.9736842105263154E-3</v>
      </c>
      <c r="I30" s="150" t="s">
        <v>321</v>
      </c>
      <c r="J30" s="35" t="str" cm="1">
        <f t="array" ref="J30">_xlfn.TEXTJOIN(","&amp;CHAR(10),,TEXT(Table261425678911[[#This Row],[12]:[22]],"0,00%"))</f>
        <v>0,00%,
0,00%,
0,00%,
0,00%,
0,00%</v>
      </c>
      <c r="K30" s="26"/>
      <c r="L30" s="27" t="e">
        <f>H30-(H30*((MATCH(Table261425678911[[#This Row],[Evaluators Response (SELECT)]],Table261425678911[[#This Row],[1]:[11]],0)-1)/(COUNTA(Table261425678911[[#This Row],[1]:[11]])-COUNTBLANK(Table261425678911[[#This Row],[1]:[11]])-1)))</f>
        <v>#N/A</v>
      </c>
      <c r="M30" s="28"/>
      <c r="N30" s="29" t="str" cm="1">
        <f t="array" ref="N30">IFERROR(INDEX(_xlfn.UNIQUE(TRIM(_xlfn.TEXTSPLIT(Table261425678911[[#This Row],[Selection Options]:[Selection Options]],","))),,N$11),"")</f>
        <v>100%: Supported as delivered "out of the box"</v>
      </c>
      <c r="O30" s="29" t="str" cm="1">
        <f t="array" ref="O30">IFERROR(INDEX(_xlfn.UNIQUE(TRIM(_xlfn.TEXTSPLIT(Table261425678911[[#This Row],[Selection Options]:[Selection Options]],","))),,O$11),"")</f>
        <v xml:space="preserve">
75%: Supported via modifications (config)</v>
      </c>
      <c r="P30" s="29" t="str" cm="1">
        <f t="array" ref="P30">IFERROR(INDEX(_xlfn.UNIQUE(TRIM(_xlfn.TEXTSPLIT(Table261425678911[[#This Row],[Selection Options]:[Selection Options]],","))),,P$11),"")</f>
        <v xml:space="preserve">
50%: Supported via a third party solution</v>
      </c>
      <c r="Q30" s="29" t="str" cm="1">
        <f t="array" ref="Q30">IFERROR(INDEX(_xlfn.UNIQUE(TRIM(_xlfn.TEXTSPLIT(Table261425678911[[#This Row],[Selection Options]:[Selection Options]],","))),,Q$11),"")</f>
        <v xml:space="preserve">
25%: Supported via customisation (source code changes)</v>
      </c>
      <c r="R30" s="29" t="str" cm="1">
        <f t="array" ref="R30">IFERROR(INDEX(_xlfn.UNIQUE(TRIM(_xlfn.TEXTSPLIT(Table261425678911[[#This Row],[Selection Options]:[Selection Options]],","))),,R$11),"")</f>
        <v xml:space="preserve">
 0%: Not currently supported</v>
      </c>
      <c r="S30" s="29" t="str" cm="1">
        <f t="array" ref="S30">IFERROR(INDEX(_xlfn.UNIQUE(TRIM(_xlfn.TEXTSPLIT(Table261425678911[[#This Row],[Selection Options]:[Selection Options]],","))),,S$11),"")</f>
        <v/>
      </c>
      <c r="T30" s="29" t="str" cm="1">
        <f t="array" ref="T30">IFERROR(INDEX(_xlfn.UNIQUE(TRIM(_xlfn.TEXTSPLIT(Table261425678911[[#This Row],[Selection Options]:[Selection Options]],","))),,T$11),"")</f>
        <v/>
      </c>
      <c r="U30" s="29" t="str" cm="1">
        <f t="array" ref="U30">IFERROR(INDEX(_xlfn.UNIQUE(TRIM(_xlfn.TEXTSPLIT(Table261425678911[[#This Row],[Selection Options]:[Selection Options]],","))),,U$11),"")</f>
        <v/>
      </c>
      <c r="V30" s="29" t="str" cm="1">
        <f t="array" ref="V30">IFERROR(INDEX(_xlfn.UNIQUE(TRIM(_xlfn.TEXTSPLIT(Table261425678911[[#This Row],[Selection Options]:[Selection Options]],","))),,V$11),"")</f>
        <v/>
      </c>
      <c r="W30" s="29" t="str" cm="1">
        <f t="array" ref="W30">IFERROR(INDEX(_xlfn.UNIQUE(TRIM(_xlfn.TEXTSPLIT(Table261425678911[[#This Row],[Selection Options]:[Selection Options]],","))),,W$11),"")</f>
        <v/>
      </c>
      <c r="X30" s="29" t="str" cm="1">
        <f t="array" ref="X30">IFERROR(INDEX(_xlfn.UNIQUE(TRIM(_xlfn.TEXTSPLIT(Table261425678911[[#This Row],[Selection Options]:[Selection Options]],","))),,X$11),"")</f>
        <v/>
      </c>
      <c r="Y30" s="30" cm="1">
        <f t="array" ref="Y30">IF(Table261425678911[[#This Row],[1]]="","",Table261425678911[[#This Row],[Weight]:[Weight]]-(Table261425678911[[#This Row],[Weight]:[Weight]]*((_xlfn.XMATCH(Table261425678911[[#This Row],[1]],Table261425678911[[#This Row],[1]:[11]],0))-1)/(COUNTA(Table261425678911[[#This Row],[1]:[11]])-COUNTBLANK(Table261425678911[[#This Row],[1]:[11]])-1)))</f>
        <v>1.9736842105263154E-3</v>
      </c>
      <c r="Z30" s="30" cm="1">
        <f t="array" ref="Z30">IF(Table261425678911[[#This Row],[2]]="","",Table261425678911[[#This Row],[Weight]:[Weight]]-(Table261425678911[[#This Row],[Weight]:[Weight]]*((_xlfn.XMATCH(Table261425678911[[#This Row],[2]],Table261425678911[[#This Row],[1]:[11]],0))-1)/(COUNTA(Table261425678911[[#This Row],[1]:[11]])-COUNTBLANK(Table261425678911[[#This Row],[1]:[11]])-1)))</f>
        <v>1.4802631578947367E-3</v>
      </c>
      <c r="AA30" s="30" cm="1">
        <f t="array" ref="AA30">IF(Table261425678911[[#This Row],[3]]="","",Table261425678911[[#This Row],[Weight]:[Weight]]-(Table261425678911[[#This Row],[Weight]:[Weight]]*((_xlfn.XMATCH(Table261425678911[[#This Row],[3]],Table261425678911[[#This Row],[1]:[11]],0))-1)/(COUNTA(Table261425678911[[#This Row],[1]:[11]])-COUNTBLANK(Table261425678911[[#This Row],[1]:[11]])-1)))</f>
        <v>9.8684210526315771E-4</v>
      </c>
      <c r="AB30" s="30" cm="1">
        <f t="array" ref="AB30">IF(Table261425678911[[#This Row],[4]]="","",Table261425678911[[#This Row],[Weight]:[Weight]]-(Table261425678911[[#This Row],[Weight]:[Weight]]*((_xlfn.XMATCH(Table261425678911[[#This Row],[4]],Table261425678911[[#This Row],[1]:[11]],0))-1)/(COUNTA(Table261425678911[[#This Row],[1]:[11]])-COUNTBLANK(Table261425678911[[#This Row],[1]:[11]])-1)))</f>
        <v>4.9342105263157875E-4</v>
      </c>
      <c r="AC30" s="30" cm="1">
        <f t="array" ref="AC30">IF(Table261425678911[[#This Row],[5]]="","",Table261425678911[[#This Row],[Weight]:[Weight]]-(Table261425678911[[#This Row],[Weight]:[Weight]]*((_xlfn.XMATCH(Table261425678911[[#This Row],[5]],Table261425678911[[#This Row],[1]:[11]],0))-1)/(COUNTA(Table261425678911[[#This Row],[1]:[11]])-COUNTBLANK(Table261425678911[[#This Row],[1]:[11]])-1)))</f>
        <v>0</v>
      </c>
      <c r="AD30" s="30" t="str" cm="1">
        <f t="array" ref="AD30">IF(Table261425678911[[#This Row],[6]]="","",Table261425678911[[#This Row],[Weight]:[Weight]]-(Table261425678911[[#This Row],[Weight]:[Weight]]*((_xlfn.XMATCH(Table261425678911[[#This Row],[6]],Table261425678911[[#This Row],[1]:[11]],0))-1)/(COUNTA(Table261425678911[[#This Row],[1]:[11]])-COUNTBLANK(Table261425678911[[#This Row],[1]:[11]])-1)))</f>
        <v/>
      </c>
      <c r="AE30" s="30" t="str" cm="1">
        <f t="array" ref="AE30">IF(Table261425678911[[#This Row],[7]]="","",Table261425678911[[#This Row],[Weight]:[Weight]]-(Table261425678911[[#This Row],[Weight]:[Weight]]*((_xlfn.XMATCH(Table261425678911[[#This Row],[7]],Table261425678911[[#This Row],[1]:[11]],0))-1)/(COUNTA(Table261425678911[[#This Row],[1]:[11]])-COUNTBLANK(Table261425678911[[#This Row],[1]:[11]])-1)))</f>
        <v/>
      </c>
      <c r="AF30" s="30" t="str" cm="1">
        <f t="array" ref="AF30">IF(Table261425678911[[#This Row],[8]]="","",Table261425678911[[#This Row],[Weight]:[Weight]]-(Table261425678911[[#This Row],[Weight]:[Weight]]*((_xlfn.XMATCH(Table261425678911[[#This Row],[8]],Table261425678911[[#This Row],[1]:[11]],0))-1)/(COUNTA(Table261425678911[[#This Row],[1]:[11]])-COUNTBLANK(Table261425678911[[#This Row],[1]:[11]])-1)))</f>
        <v/>
      </c>
      <c r="AG30" s="30" t="str" cm="1">
        <f t="array" ref="AG30">IF(Table261425678911[[#This Row],[9]]="","",Table261425678911[[#This Row],[Weight]:[Weight]]-(Table261425678911[[#This Row],[Weight]:[Weight]]*((_xlfn.XMATCH(Table261425678911[[#This Row],[9]],Table261425678911[[#This Row],[1]:[11]],0))-1)/(COUNTA(Table261425678911[[#This Row],[1]:[11]])-COUNTBLANK(Table261425678911[[#This Row],[1]:[11]])-1)))</f>
        <v/>
      </c>
      <c r="AH30" s="30" t="str" cm="1">
        <f t="array" ref="AH30">IF(Table261425678911[[#This Row],[10]]="","",Table261425678911[[#This Row],[Weight]:[Weight]]-(Table261425678911[[#This Row],[Weight]:[Weight]]*((_xlfn.XMATCH(Table261425678911[[#This Row],[10]],Table261425678911[[#This Row],[1]:[11]],0))-1)/(COUNTA(Table261425678911[[#This Row],[1]:[11]])-COUNTBLANK(Table261425678911[[#This Row],[1]:[11]])-1)))</f>
        <v/>
      </c>
      <c r="AI30" s="30" t="str" cm="1">
        <f t="array" ref="AI30">IF(Table261425678911[[#This Row],[11]]="","",Table261425678911[[#This Row],[Weight]:[Weight]]-(Table261425678911[[#This Row],[Weight]:[Weight]]*((_xlfn.XMATCH(Table261425678911[[#This Row],[11]],Table261425678911[[#This Row],[1]:[11]],0))-1)/(COUNTA(Table261425678911[[#This Row],[1]:[11]])-COUNTBLANK(Table261425678911[[#This Row],[1]:[11]])-1)))</f>
        <v/>
      </c>
    </row>
    <row r="31" spans="1:35" ht="108" x14ac:dyDescent="0.2">
      <c r="A31" s="20">
        <v>19</v>
      </c>
      <c r="B31" s="90" t="s">
        <v>541</v>
      </c>
      <c r="C31" s="119" t="s">
        <v>215</v>
      </c>
      <c r="D31" s="153"/>
      <c r="E31" s="153"/>
      <c r="F31" s="121" t="s">
        <v>188</v>
      </c>
      <c r="G31" s="148" cm="1">
        <f t="array" ref="G31">_xlfn.IFS(F31="","",F31="No interest",0,F31="Nice to have",1,F31="Useful",2,F31="Important",3,F31="Very important",4,F31="Critical",5,F31="Show stopper",6)</f>
        <v>5</v>
      </c>
      <c r="H31" s="149">
        <f t="shared" si="1"/>
        <v>1.6447368421052631E-3</v>
      </c>
      <c r="I31" s="150" t="s">
        <v>321</v>
      </c>
      <c r="J31" s="35" t="str" cm="1">
        <f t="array" ref="J31">_xlfn.TEXTJOIN(","&amp;CHAR(10),,TEXT(Table261425678911[[#This Row],[12]:[22]],"0,00%"))</f>
        <v>0,00%,
0,00%,
0,00%,
0,00%,
0,00%</v>
      </c>
      <c r="K31" s="26"/>
      <c r="L31" s="27" t="e">
        <f>H31-(H31*((MATCH(Table261425678911[[#This Row],[Evaluators Response (SELECT)]],Table261425678911[[#This Row],[1]:[11]],0)-1)/(COUNTA(Table261425678911[[#This Row],[1]:[11]])-COUNTBLANK(Table261425678911[[#This Row],[1]:[11]])-1)))</f>
        <v>#N/A</v>
      </c>
      <c r="M31" s="28"/>
      <c r="N31" s="29" t="str" cm="1">
        <f t="array" ref="N31">IFERROR(INDEX(_xlfn.UNIQUE(TRIM(_xlfn.TEXTSPLIT(Table261425678911[[#This Row],[Selection Options]:[Selection Options]],","))),,N$11),"")</f>
        <v>100%: Supported as delivered "out of the box"</v>
      </c>
      <c r="O31" s="29" t="str" cm="1">
        <f t="array" ref="O31">IFERROR(INDEX(_xlfn.UNIQUE(TRIM(_xlfn.TEXTSPLIT(Table261425678911[[#This Row],[Selection Options]:[Selection Options]],","))),,O$11),"")</f>
        <v xml:space="preserve">
75%: Supported via modifications (config)</v>
      </c>
      <c r="P31" s="29" t="str" cm="1">
        <f t="array" ref="P31">IFERROR(INDEX(_xlfn.UNIQUE(TRIM(_xlfn.TEXTSPLIT(Table261425678911[[#This Row],[Selection Options]:[Selection Options]],","))),,P$11),"")</f>
        <v xml:space="preserve">
50%: Supported via a third party solution</v>
      </c>
      <c r="Q31" s="29" t="str" cm="1">
        <f t="array" ref="Q31">IFERROR(INDEX(_xlfn.UNIQUE(TRIM(_xlfn.TEXTSPLIT(Table261425678911[[#This Row],[Selection Options]:[Selection Options]],","))),,Q$11),"")</f>
        <v xml:space="preserve">
25%: Supported via customisation (source code changes)</v>
      </c>
      <c r="R31" s="29" t="str" cm="1">
        <f t="array" ref="R31">IFERROR(INDEX(_xlfn.UNIQUE(TRIM(_xlfn.TEXTSPLIT(Table261425678911[[#This Row],[Selection Options]:[Selection Options]],","))),,R$11),"")</f>
        <v xml:space="preserve">
 0%: Not currently supported</v>
      </c>
      <c r="S31" s="29" t="str" cm="1">
        <f t="array" ref="S31">IFERROR(INDEX(_xlfn.UNIQUE(TRIM(_xlfn.TEXTSPLIT(Table261425678911[[#This Row],[Selection Options]:[Selection Options]],","))),,S$11),"")</f>
        <v/>
      </c>
      <c r="T31" s="29" t="str" cm="1">
        <f t="array" ref="T31">IFERROR(INDEX(_xlfn.UNIQUE(TRIM(_xlfn.TEXTSPLIT(Table261425678911[[#This Row],[Selection Options]:[Selection Options]],","))),,T$11),"")</f>
        <v/>
      </c>
      <c r="U31" s="29" t="str" cm="1">
        <f t="array" ref="U31">IFERROR(INDEX(_xlfn.UNIQUE(TRIM(_xlfn.TEXTSPLIT(Table261425678911[[#This Row],[Selection Options]:[Selection Options]],","))),,U$11),"")</f>
        <v/>
      </c>
      <c r="V31" s="29" t="str" cm="1">
        <f t="array" ref="V31">IFERROR(INDEX(_xlfn.UNIQUE(TRIM(_xlfn.TEXTSPLIT(Table261425678911[[#This Row],[Selection Options]:[Selection Options]],","))),,V$11),"")</f>
        <v/>
      </c>
      <c r="W31" s="29" t="str" cm="1">
        <f t="array" ref="W31">IFERROR(INDEX(_xlfn.UNIQUE(TRIM(_xlfn.TEXTSPLIT(Table261425678911[[#This Row],[Selection Options]:[Selection Options]],","))),,W$11),"")</f>
        <v/>
      </c>
      <c r="X31" s="29" t="str" cm="1">
        <f t="array" ref="X31">IFERROR(INDEX(_xlfn.UNIQUE(TRIM(_xlfn.TEXTSPLIT(Table261425678911[[#This Row],[Selection Options]:[Selection Options]],","))),,X$11),"")</f>
        <v/>
      </c>
      <c r="Y31" s="30" cm="1">
        <f t="array" ref="Y31">IF(Table261425678911[[#This Row],[1]]="","",Table261425678911[[#This Row],[Weight]:[Weight]]-(Table261425678911[[#This Row],[Weight]:[Weight]]*((_xlfn.XMATCH(Table261425678911[[#This Row],[1]],Table261425678911[[#This Row],[1]:[11]],0))-1)/(COUNTA(Table261425678911[[#This Row],[1]:[11]])-COUNTBLANK(Table261425678911[[#This Row],[1]:[11]])-1)))</f>
        <v>1.6447368421052631E-3</v>
      </c>
      <c r="Z31" s="30" cm="1">
        <f t="array" ref="Z31">IF(Table261425678911[[#This Row],[2]]="","",Table261425678911[[#This Row],[Weight]:[Weight]]-(Table261425678911[[#This Row],[Weight]:[Weight]]*((_xlfn.XMATCH(Table261425678911[[#This Row],[2]],Table261425678911[[#This Row],[1]:[11]],0))-1)/(COUNTA(Table261425678911[[#This Row],[1]:[11]])-COUNTBLANK(Table261425678911[[#This Row],[1]:[11]])-1)))</f>
        <v>1.2335526315789473E-3</v>
      </c>
      <c r="AA31" s="30" cm="1">
        <f t="array" ref="AA31">IF(Table261425678911[[#This Row],[3]]="","",Table261425678911[[#This Row],[Weight]:[Weight]]-(Table261425678911[[#This Row],[Weight]:[Weight]]*((_xlfn.XMATCH(Table261425678911[[#This Row],[3]],Table261425678911[[#This Row],[1]:[11]],0))-1)/(COUNTA(Table261425678911[[#This Row],[1]:[11]])-COUNTBLANK(Table261425678911[[#This Row],[1]:[11]])-1)))</f>
        <v>8.2236842105263153E-4</v>
      </c>
      <c r="AB31" s="30" cm="1">
        <f t="array" ref="AB31">IF(Table261425678911[[#This Row],[4]]="","",Table261425678911[[#This Row],[Weight]:[Weight]]-(Table261425678911[[#This Row],[Weight]:[Weight]]*((_xlfn.XMATCH(Table261425678911[[#This Row],[4]],Table261425678911[[#This Row],[1]:[11]],0))-1)/(COUNTA(Table261425678911[[#This Row],[1]:[11]])-COUNTBLANK(Table261425678911[[#This Row],[1]:[11]])-1)))</f>
        <v>4.1118421052631577E-4</v>
      </c>
      <c r="AC31" s="30" cm="1">
        <f t="array" ref="AC31">IF(Table261425678911[[#This Row],[5]]="","",Table261425678911[[#This Row],[Weight]:[Weight]]-(Table261425678911[[#This Row],[Weight]:[Weight]]*((_xlfn.XMATCH(Table261425678911[[#This Row],[5]],Table261425678911[[#This Row],[1]:[11]],0))-1)/(COUNTA(Table261425678911[[#This Row],[1]:[11]])-COUNTBLANK(Table261425678911[[#This Row],[1]:[11]])-1)))</f>
        <v>0</v>
      </c>
      <c r="AD31" s="30" t="str" cm="1">
        <f t="array" ref="AD31">IF(Table261425678911[[#This Row],[6]]="","",Table261425678911[[#This Row],[Weight]:[Weight]]-(Table261425678911[[#This Row],[Weight]:[Weight]]*((_xlfn.XMATCH(Table261425678911[[#This Row],[6]],Table261425678911[[#This Row],[1]:[11]],0))-1)/(COUNTA(Table261425678911[[#This Row],[1]:[11]])-COUNTBLANK(Table261425678911[[#This Row],[1]:[11]])-1)))</f>
        <v/>
      </c>
      <c r="AE31" s="30" t="str" cm="1">
        <f t="array" ref="AE31">IF(Table261425678911[[#This Row],[7]]="","",Table261425678911[[#This Row],[Weight]:[Weight]]-(Table261425678911[[#This Row],[Weight]:[Weight]]*((_xlfn.XMATCH(Table261425678911[[#This Row],[7]],Table261425678911[[#This Row],[1]:[11]],0))-1)/(COUNTA(Table261425678911[[#This Row],[1]:[11]])-COUNTBLANK(Table261425678911[[#This Row],[1]:[11]])-1)))</f>
        <v/>
      </c>
      <c r="AF31" s="30" t="str" cm="1">
        <f t="array" ref="AF31">IF(Table261425678911[[#This Row],[8]]="","",Table261425678911[[#This Row],[Weight]:[Weight]]-(Table261425678911[[#This Row],[Weight]:[Weight]]*((_xlfn.XMATCH(Table261425678911[[#This Row],[8]],Table261425678911[[#This Row],[1]:[11]],0))-1)/(COUNTA(Table261425678911[[#This Row],[1]:[11]])-COUNTBLANK(Table261425678911[[#This Row],[1]:[11]])-1)))</f>
        <v/>
      </c>
      <c r="AG31" s="30" t="str" cm="1">
        <f t="array" ref="AG31">IF(Table261425678911[[#This Row],[9]]="","",Table261425678911[[#This Row],[Weight]:[Weight]]-(Table261425678911[[#This Row],[Weight]:[Weight]]*((_xlfn.XMATCH(Table261425678911[[#This Row],[9]],Table261425678911[[#This Row],[1]:[11]],0))-1)/(COUNTA(Table261425678911[[#This Row],[1]:[11]])-COUNTBLANK(Table261425678911[[#This Row],[1]:[11]])-1)))</f>
        <v/>
      </c>
      <c r="AH31" s="30" t="str" cm="1">
        <f t="array" ref="AH31">IF(Table261425678911[[#This Row],[10]]="","",Table261425678911[[#This Row],[Weight]:[Weight]]-(Table261425678911[[#This Row],[Weight]:[Weight]]*((_xlfn.XMATCH(Table261425678911[[#This Row],[10]],Table261425678911[[#This Row],[1]:[11]],0))-1)/(COUNTA(Table261425678911[[#This Row],[1]:[11]])-COUNTBLANK(Table261425678911[[#This Row],[1]:[11]])-1)))</f>
        <v/>
      </c>
      <c r="AI31" s="30" t="str" cm="1">
        <f t="array" ref="AI31">IF(Table261425678911[[#This Row],[11]]="","",Table261425678911[[#This Row],[Weight]:[Weight]]-(Table261425678911[[#This Row],[Weight]:[Weight]]*((_xlfn.XMATCH(Table261425678911[[#This Row],[11]],Table261425678911[[#This Row],[1]:[11]],0))-1)/(COUNTA(Table261425678911[[#This Row],[1]:[11]])-COUNTBLANK(Table261425678911[[#This Row],[1]:[11]])-1)))</f>
        <v/>
      </c>
    </row>
    <row r="32" spans="1:35" ht="108" x14ac:dyDescent="0.2">
      <c r="A32" s="20">
        <v>20</v>
      </c>
      <c r="B32" s="90" t="s">
        <v>542</v>
      </c>
      <c r="C32" s="119" t="s">
        <v>215</v>
      </c>
      <c r="D32" s="153"/>
      <c r="E32" s="153"/>
      <c r="F32" s="121" t="s">
        <v>188</v>
      </c>
      <c r="G32" s="148" cm="1">
        <f t="array" ref="G32">_xlfn.IFS(F32="","",F32="No interest",0,F32="Nice to have",1,F32="Useful",2,F32="Important",3,F32="Very important",4,F32="Critical",5,F32="Show stopper",6)</f>
        <v>5</v>
      </c>
      <c r="H32" s="149">
        <f t="shared" si="1"/>
        <v>1.6447368421052631E-3</v>
      </c>
      <c r="I32" s="150" t="s">
        <v>321</v>
      </c>
      <c r="J32" s="35" t="str" cm="1">
        <f t="array" ref="J32">_xlfn.TEXTJOIN(","&amp;CHAR(10),,TEXT(Table261425678911[[#This Row],[12]:[22]],"0,00%"))</f>
        <v>0,00%,
0,00%,
0,00%,
0,00%,
0,00%</v>
      </c>
      <c r="K32" s="26"/>
      <c r="L32" s="27" t="e">
        <f>H32-(H32*((MATCH(Table261425678911[[#This Row],[Evaluators Response (SELECT)]],Table261425678911[[#This Row],[1]:[11]],0)-1)/(COUNTA(Table261425678911[[#This Row],[1]:[11]])-COUNTBLANK(Table261425678911[[#This Row],[1]:[11]])-1)))</f>
        <v>#N/A</v>
      </c>
      <c r="M32" s="28"/>
      <c r="N32" s="29" t="str" cm="1">
        <f t="array" ref="N32">IFERROR(INDEX(_xlfn.UNIQUE(TRIM(_xlfn.TEXTSPLIT(Table261425678911[[#This Row],[Selection Options]:[Selection Options]],","))),,N$11),"")</f>
        <v>100%: Supported as delivered "out of the box"</v>
      </c>
      <c r="O32" s="29" t="str" cm="1">
        <f t="array" ref="O32">IFERROR(INDEX(_xlfn.UNIQUE(TRIM(_xlfn.TEXTSPLIT(Table261425678911[[#This Row],[Selection Options]:[Selection Options]],","))),,O$11),"")</f>
        <v xml:space="preserve">
75%: Supported via modifications (config)</v>
      </c>
      <c r="P32" s="29" t="str" cm="1">
        <f t="array" ref="P32">IFERROR(INDEX(_xlfn.UNIQUE(TRIM(_xlfn.TEXTSPLIT(Table261425678911[[#This Row],[Selection Options]:[Selection Options]],","))),,P$11),"")</f>
        <v xml:space="preserve">
50%: Supported via a third party solution</v>
      </c>
      <c r="Q32" s="29" t="str" cm="1">
        <f t="array" ref="Q32">IFERROR(INDEX(_xlfn.UNIQUE(TRIM(_xlfn.TEXTSPLIT(Table261425678911[[#This Row],[Selection Options]:[Selection Options]],","))),,Q$11),"")</f>
        <v xml:space="preserve">
25%: Supported via customisation (source code changes)</v>
      </c>
      <c r="R32" s="29" t="str" cm="1">
        <f t="array" ref="R32">IFERROR(INDEX(_xlfn.UNIQUE(TRIM(_xlfn.TEXTSPLIT(Table261425678911[[#This Row],[Selection Options]:[Selection Options]],","))),,R$11),"")</f>
        <v xml:space="preserve">
 0%: Not currently supported</v>
      </c>
      <c r="S32" s="29" t="str" cm="1">
        <f t="array" ref="S32">IFERROR(INDEX(_xlfn.UNIQUE(TRIM(_xlfn.TEXTSPLIT(Table261425678911[[#This Row],[Selection Options]:[Selection Options]],","))),,S$11),"")</f>
        <v/>
      </c>
      <c r="T32" s="29" t="str" cm="1">
        <f t="array" ref="T32">IFERROR(INDEX(_xlfn.UNIQUE(TRIM(_xlfn.TEXTSPLIT(Table261425678911[[#This Row],[Selection Options]:[Selection Options]],","))),,T$11),"")</f>
        <v/>
      </c>
      <c r="U32" s="29" t="str" cm="1">
        <f t="array" ref="U32">IFERROR(INDEX(_xlfn.UNIQUE(TRIM(_xlfn.TEXTSPLIT(Table261425678911[[#This Row],[Selection Options]:[Selection Options]],","))),,U$11),"")</f>
        <v/>
      </c>
      <c r="V32" s="29" t="str" cm="1">
        <f t="array" ref="V32">IFERROR(INDEX(_xlfn.UNIQUE(TRIM(_xlfn.TEXTSPLIT(Table261425678911[[#This Row],[Selection Options]:[Selection Options]],","))),,V$11),"")</f>
        <v/>
      </c>
      <c r="W32" s="29" t="str" cm="1">
        <f t="array" ref="W32">IFERROR(INDEX(_xlfn.UNIQUE(TRIM(_xlfn.TEXTSPLIT(Table261425678911[[#This Row],[Selection Options]:[Selection Options]],","))),,W$11),"")</f>
        <v/>
      </c>
      <c r="X32" s="29" t="str" cm="1">
        <f t="array" ref="X32">IFERROR(INDEX(_xlfn.UNIQUE(TRIM(_xlfn.TEXTSPLIT(Table261425678911[[#This Row],[Selection Options]:[Selection Options]],","))),,X$11),"")</f>
        <v/>
      </c>
      <c r="Y32" s="30" cm="1">
        <f t="array" ref="Y32">IF(Table261425678911[[#This Row],[1]]="","",Table261425678911[[#This Row],[Weight]:[Weight]]-(Table261425678911[[#This Row],[Weight]:[Weight]]*((_xlfn.XMATCH(Table261425678911[[#This Row],[1]],Table261425678911[[#This Row],[1]:[11]],0))-1)/(COUNTA(Table261425678911[[#This Row],[1]:[11]])-COUNTBLANK(Table261425678911[[#This Row],[1]:[11]])-1)))</f>
        <v>1.6447368421052631E-3</v>
      </c>
      <c r="Z32" s="30" cm="1">
        <f t="array" ref="Z32">IF(Table261425678911[[#This Row],[2]]="","",Table261425678911[[#This Row],[Weight]:[Weight]]-(Table261425678911[[#This Row],[Weight]:[Weight]]*((_xlfn.XMATCH(Table261425678911[[#This Row],[2]],Table261425678911[[#This Row],[1]:[11]],0))-1)/(COUNTA(Table261425678911[[#This Row],[1]:[11]])-COUNTBLANK(Table261425678911[[#This Row],[1]:[11]])-1)))</f>
        <v>1.2335526315789473E-3</v>
      </c>
      <c r="AA32" s="30" cm="1">
        <f t="array" ref="AA32">IF(Table261425678911[[#This Row],[3]]="","",Table261425678911[[#This Row],[Weight]:[Weight]]-(Table261425678911[[#This Row],[Weight]:[Weight]]*((_xlfn.XMATCH(Table261425678911[[#This Row],[3]],Table261425678911[[#This Row],[1]:[11]],0))-1)/(COUNTA(Table261425678911[[#This Row],[1]:[11]])-COUNTBLANK(Table261425678911[[#This Row],[1]:[11]])-1)))</f>
        <v>8.2236842105263153E-4</v>
      </c>
      <c r="AB32" s="30" cm="1">
        <f t="array" ref="AB32">IF(Table261425678911[[#This Row],[4]]="","",Table261425678911[[#This Row],[Weight]:[Weight]]-(Table261425678911[[#This Row],[Weight]:[Weight]]*((_xlfn.XMATCH(Table261425678911[[#This Row],[4]],Table261425678911[[#This Row],[1]:[11]],0))-1)/(COUNTA(Table261425678911[[#This Row],[1]:[11]])-COUNTBLANK(Table261425678911[[#This Row],[1]:[11]])-1)))</f>
        <v>4.1118421052631577E-4</v>
      </c>
      <c r="AC32" s="30" cm="1">
        <f t="array" ref="AC32">IF(Table261425678911[[#This Row],[5]]="","",Table261425678911[[#This Row],[Weight]:[Weight]]-(Table261425678911[[#This Row],[Weight]:[Weight]]*((_xlfn.XMATCH(Table261425678911[[#This Row],[5]],Table261425678911[[#This Row],[1]:[11]],0))-1)/(COUNTA(Table261425678911[[#This Row],[1]:[11]])-COUNTBLANK(Table261425678911[[#This Row],[1]:[11]])-1)))</f>
        <v>0</v>
      </c>
      <c r="AD32" s="30" t="str" cm="1">
        <f t="array" ref="AD32">IF(Table261425678911[[#This Row],[6]]="","",Table261425678911[[#This Row],[Weight]:[Weight]]-(Table261425678911[[#This Row],[Weight]:[Weight]]*((_xlfn.XMATCH(Table261425678911[[#This Row],[6]],Table261425678911[[#This Row],[1]:[11]],0))-1)/(COUNTA(Table261425678911[[#This Row],[1]:[11]])-COUNTBLANK(Table261425678911[[#This Row],[1]:[11]])-1)))</f>
        <v/>
      </c>
      <c r="AE32" s="30" t="str" cm="1">
        <f t="array" ref="AE32">IF(Table261425678911[[#This Row],[7]]="","",Table261425678911[[#This Row],[Weight]:[Weight]]-(Table261425678911[[#This Row],[Weight]:[Weight]]*((_xlfn.XMATCH(Table261425678911[[#This Row],[7]],Table261425678911[[#This Row],[1]:[11]],0))-1)/(COUNTA(Table261425678911[[#This Row],[1]:[11]])-COUNTBLANK(Table261425678911[[#This Row],[1]:[11]])-1)))</f>
        <v/>
      </c>
      <c r="AF32" s="30" t="str" cm="1">
        <f t="array" ref="AF32">IF(Table261425678911[[#This Row],[8]]="","",Table261425678911[[#This Row],[Weight]:[Weight]]-(Table261425678911[[#This Row],[Weight]:[Weight]]*((_xlfn.XMATCH(Table261425678911[[#This Row],[8]],Table261425678911[[#This Row],[1]:[11]],0))-1)/(COUNTA(Table261425678911[[#This Row],[1]:[11]])-COUNTBLANK(Table261425678911[[#This Row],[1]:[11]])-1)))</f>
        <v/>
      </c>
      <c r="AG32" s="30" t="str" cm="1">
        <f t="array" ref="AG32">IF(Table261425678911[[#This Row],[9]]="","",Table261425678911[[#This Row],[Weight]:[Weight]]-(Table261425678911[[#This Row],[Weight]:[Weight]]*((_xlfn.XMATCH(Table261425678911[[#This Row],[9]],Table261425678911[[#This Row],[1]:[11]],0))-1)/(COUNTA(Table261425678911[[#This Row],[1]:[11]])-COUNTBLANK(Table261425678911[[#This Row],[1]:[11]])-1)))</f>
        <v/>
      </c>
      <c r="AH32" s="30" t="str" cm="1">
        <f t="array" ref="AH32">IF(Table261425678911[[#This Row],[10]]="","",Table261425678911[[#This Row],[Weight]:[Weight]]-(Table261425678911[[#This Row],[Weight]:[Weight]]*((_xlfn.XMATCH(Table261425678911[[#This Row],[10]],Table261425678911[[#This Row],[1]:[11]],0))-1)/(COUNTA(Table261425678911[[#This Row],[1]:[11]])-COUNTBLANK(Table261425678911[[#This Row],[1]:[11]])-1)))</f>
        <v/>
      </c>
      <c r="AI32" s="30" t="str" cm="1">
        <f t="array" ref="AI32">IF(Table261425678911[[#This Row],[11]]="","",Table261425678911[[#This Row],[Weight]:[Weight]]-(Table261425678911[[#This Row],[Weight]:[Weight]]*((_xlfn.XMATCH(Table261425678911[[#This Row],[11]],Table261425678911[[#This Row],[1]:[11]],0))-1)/(COUNTA(Table261425678911[[#This Row],[1]:[11]])-COUNTBLANK(Table261425678911[[#This Row],[1]:[11]])-1)))</f>
        <v/>
      </c>
    </row>
    <row r="33" spans="1:35" ht="108" x14ac:dyDescent="0.2">
      <c r="A33" s="20">
        <v>21</v>
      </c>
      <c r="B33" s="90" t="s">
        <v>543</v>
      </c>
      <c r="C33" s="119" t="s">
        <v>215</v>
      </c>
      <c r="D33" s="153"/>
      <c r="E33" s="153"/>
      <c r="F33" s="121" t="s">
        <v>60</v>
      </c>
      <c r="G33" s="148" cm="1">
        <f t="array" ref="G33">_xlfn.IFS(F33="","",F33="No interest",0,F33="Nice to have",1,F33="Useful",2,F33="Important",3,F33="Very important",4,F33="Critical",5,F33="Show stopper",6)</f>
        <v>6</v>
      </c>
      <c r="H33" s="149">
        <f t="shared" si="1"/>
        <v>1.9736842105263154E-3</v>
      </c>
      <c r="I33" s="150" t="s">
        <v>321</v>
      </c>
      <c r="J33" s="35" t="str" cm="1">
        <f t="array" ref="J33">_xlfn.TEXTJOIN(","&amp;CHAR(10),,TEXT(Table261425678911[[#This Row],[12]:[22]],"0,00%"))</f>
        <v>0,00%,
0,00%,
0,00%,
0,00%,
0,00%</v>
      </c>
      <c r="K33" s="26"/>
      <c r="L33" s="27" t="e">
        <f>H33-(H33*((MATCH(Table261425678911[[#This Row],[Evaluators Response (SELECT)]],Table261425678911[[#This Row],[1]:[11]],0)-1)/(COUNTA(Table261425678911[[#This Row],[1]:[11]])-COUNTBLANK(Table261425678911[[#This Row],[1]:[11]])-1)))</f>
        <v>#N/A</v>
      </c>
      <c r="M33" s="28"/>
      <c r="N33" s="29" t="str" cm="1">
        <f t="array" ref="N33">IFERROR(INDEX(_xlfn.UNIQUE(TRIM(_xlfn.TEXTSPLIT(Table261425678911[[#This Row],[Selection Options]:[Selection Options]],","))),,N$11),"")</f>
        <v>100%: Supported as delivered "out of the box"</v>
      </c>
      <c r="O33" s="29" t="str" cm="1">
        <f t="array" ref="O33">IFERROR(INDEX(_xlfn.UNIQUE(TRIM(_xlfn.TEXTSPLIT(Table261425678911[[#This Row],[Selection Options]:[Selection Options]],","))),,O$11),"")</f>
        <v xml:space="preserve">
75%: Supported via modifications (config)</v>
      </c>
      <c r="P33" s="29" t="str" cm="1">
        <f t="array" ref="P33">IFERROR(INDEX(_xlfn.UNIQUE(TRIM(_xlfn.TEXTSPLIT(Table261425678911[[#This Row],[Selection Options]:[Selection Options]],","))),,P$11),"")</f>
        <v xml:space="preserve">
50%: Supported via a third party solution</v>
      </c>
      <c r="Q33" s="29" t="str" cm="1">
        <f t="array" ref="Q33">IFERROR(INDEX(_xlfn.UNIQUE(TRIM(_xlfn.TEXTSPLIT(Table261425678911[[#This Row],[Selection Options]:[Selection Options]],","))),,Q$11),"")</f>
        <v xml:space="preserve">
25%: Supported via customisation (source code changes)</v>
      </c>
      <c r="R33" s="29" t="str" cm="1">
        <f t="array" ref="R33">IFERROR(INDEX(_xlfn.UNIQUE(TRIM(_xlfn.TEXTSPLIT(Table261425678911[[#This Row],[Selection Options]:[Selection Options]],","))),,R$11),"")</f>
        <v xml:space="preserve">
 0%: Not currently supported</v>
      </c>
      <c r="S33" s="29" t="str" cm="1">
        <f t="array" ref="S33">IFERROR(INDEX(_xlfn.UNIQUE(TRIM(_xlfn.TEXTSPLIT(Table261425678911[[#This Row],[Selection Options]:[Selection Options]],","))),,S$11),"")</f>
        <v/>
      </c>
      <c r="T33" s="29" t="str" cm="1">
        <f t="array" ref="T33">IFERROR(INDEX(_xlfn.UNIQUE(TRIM(_xlfn.TEXTSPLIT(Table261425678911[[#This Row],[Selection Options]:[Selection Options]],","))),,T$11),"")</f>
        <v/>
      </c>
      <c r="U33" s="29" t="str" cm="1">
        <f t="array" ref="U33">IFERROR(INDEX(_xlfn.UNIQUE(TRIM(_xlfn.TEXTSPLIT(Table261425678911[[#This Row],[Selection Options]:[Selection Options]],","))),,U$11),"")</f>
        <v/>
      </c>
      <c r="V33" s="29" t="str" cm="1">
        <f t="array" ref="V33">IFERROR(INDEX(_xlfn.UNIQUE(TRIM(_xlfn.TEXTSPLIT(Table261425678911[[#This Row],[Selection Options]:[Selection Options]],","))),,V$11),"")</f>
        <v/>
      </c>
      <c r="W33" s="29" t="str" cm="1">
        <f t="array" ref="W33">IFERROR(INDEX(_xlfn.UNIQUE(TRIM(_xlfn.TEXTSPLIT(Table261425678911[[#This Row],[Selection Options]:[Selection Options]],","))),,W$11),"")</f>
        <v/>
      </c>
      <c r="X33" s="29" t="str" cm="1">
        <f t="array" ref="X33">IFERROR(INDEX(_xlfn.UNIQUE(TRIM(_xlfn.TEXTSPLIT(Table261425678911[[#This Row],[Selection Options]:[Selection Options]],","))),,X$11),"")</f>
        <v/>
      </c>
      <c r="Y33" s="30" cm="1">
        <f t="array" ref="Y33">IF(Table261425678911[[#This Row],[1]]="","",Table261425678911[[#This Row],[Weight]:[Weight]]-(Table261425678911[[#This Row],[Weight]:[Weight]]*((_xlfn.XMATCH(Table261425678911[[#This Row],[1]],Table261425678911[[#This Row],[1]:[11]],0))-1)/(COUNTA(Table261425678911[[#This Row],[1]:[11]])-COUNTBLANK(Table261425678911[[#This Row],[1]:[11]])-1)))</f>
        <v>1.9736842105263154E-3</v>
      </c>
      <c r="Z33" s="30" cm="1">
        <f t="array" ref="Z33">IF(Table261425678911[[#This Row],[2]]="","",Table261425678911[[#This Row],[Weight]:[Weight]]-(Table261425678911[[#This Row],[Weight]:[Weight]]*((_xlfn.XMATCH(Table261425678911[[#This Row],[2]],Table261425678911[[#This Row],[1]:[11]],0))-1)/(COUNTA(Table261425678911[[#This Row],[1]:[11]])-COUNTBLANK(Table261425678911[[#This Row],[1]:[11]])-1)))</f>
        <v>1.4802631578947367E-3</v>
      </c>
      <c r="AA33" s="30" cm="1">
        <f t="array" ref="AA33">IF(Table261425678911[[#This Row],[3]]="","",Table261425678911[[#This Row],[Weight]:[Weight]]-(Table261425678911[[#This Row],[Weight]:[Weight]]*((_xlfn.XMATCH(Table261425678911[[#This Row],[3]],Table261425678911[[#This Row],[1]:[11]],0))-1)/(COUNTA(Table261425678911[[#This Row],[1]:[11]])-COUNTBLANK(Table261425678911[[#This Row],[1]:[11]])-1)))</f>
        <v>9.8684210526315771E-4</v>
      </c>
      <c r="AB33" s="30" cm="1">
        <f t="array" ref="AB33">IF(Table261425678911[[#This Row],[4]]="","",Table261425678911[[#This Row],[Weight]:[Weight]]-(Table261425678911[[#This Row],[Weight]:[Weight]]*((_xlfn.XMATCH(Table261425678911[[#This Row],[4]],Table261425678911[[#This Row],[1]:[11]],0))-1)/(COUNTA(Table261425678911[[#This Row],[1]:[11]])-COUNTBLANK(Table261425678911[[#This Row],[1]:[11]])-1)))</f>
        <v>4.9342105263157875E-4</v>
      </c>
      <c r="AC33" s="30" cm="1">
        <f t="array" ref="AC33">IF(Table261425678911[[#This Row],[5]]="","",Table261425678911[[#This Row],[Weight]:[Weight]]-(Table261425678911[[#This Row],[Weight]:[Weight]]*((_xlfn.XMATCH(Table261425678911[[#This Row],[5]],Table261425678911[[#This Row],[1]:[11]],0))-1)/(COUNTA(Table261425678911[[#This Row],[1]:[11]])-COUNTBLANK(Table261425678911[[#This Row],[1]:[11]])-1)))</f>
        <v>0</v>
      </c>
      <c r="AD33" s="30" t="str" cm="1">
        <f t="array" ref="AD33">IF(Table261425678911[[#This Row],[6]]="","",Table261425678911[[#This Row],[Weight]:[Weight]]-(Table261425678911[[#This Row],[Weight]:[Weight]]*((_xlfn.XMATCH(Table261425678911[[#This Row],[6]],Table261425678911[[#This Row],[1]:[11]],0))-1)/(COUNTA(Table261425678911[[#This Row],[1]:[11]])-COUNTBLANK(Table261425678911[[#This Row],[1]:[11]])-1)))</f>
        <v/>
      </c>
      <c r="AE33" s="30" t="str" cm="1">
        <f t="array" ref="AE33">IF(Table261425678911[[#This Row],[7]]="","",Table261425678911[[#This Row],[Weight]:[Weight]]-(Table261425678911[[#This Row],[Weight]:[Weight]]*((_xlfn.XMATCH(Table261425678911[[#This Row],[7]],Table261425678911[[#This Row],[1]:[11]],0))-1)/(COUNTA(Table261425678911[[#This Row],[1]:[11]])-COUNTBLANK(Table261425678911[[#This Row],[1]:[11]])-1)))</f>
        <v/>
      </c>
      <c r="AF33" s="30" t="str" cm="1">
        <f t="array" ref="AF33">IF(Table261425678911[[#This Row],[8]]="","",Table261425678911[[#This Row],[Weight]:[Weight]]-(Table261425678911[[#This Row],[Weight]:[Weight]]*((_xlfn.XMATCH(Table261425678911[[#This Row],[8]],Table261425678911[[#This Row],[1]:[11]],0))-1)/(COUNTA(Table261425678911[[#This Row],[1]:[11]])-COUNTBLANK(Table261425678911[[#This Row],[1]:[11]])-1)))</f>
        <v/>
      </c>
      <c r="AG33" s="30" t="str" cm="1">
        <f t="array" ref="AG33">IF(Table261425678911[[#This Row],[9]]="","",Table261425678911[[#This Row],[Weight]:[Weight]]-(Table261425678911[[#This Row],[Weight]:[Weight]]*((_xlfn.XMATCH(Table261425678911[[#This Row],[9]],Table261425678911[[#This Row],[1]:[11]],0))-1)/(COUNTA(Table261425678911[[#This Row],[1]:[11]])-COUNTBLANK(Table261425678911[[#This Row],[1]:[11]])-1)))</f>
        <v/>
      </c>
      <c r="AH33" s="30" t="str" cm="1">
        <f t="array" ref="AH33">IF(Table261425678911[[#This Row],[10]]="","",Table261425678911[[#This Row],[Weight]:[Weight]]-(Table261425678911[[#This Row],[Weight]:[Weight]]*((_xlfn.XMATCH(Table261425678911[[#This Row],[10]],Table261425678911[[#This Row],[1]:[11]],0))-1)/(COUNTA(Table261425678911[[#This Row],[1]:[11]])-COUNTBLANK(Table261425678911[[#This Row],[1]:[11]])-1)))</f>
        <v/>
      </c>
      <c r="AI33" s="30" t="str" cm="1">
        <f t="array" ref="AI33">IF(Table261425678911[[#This Row],[11]]="","",Table261425678911[[#This Row],[Weight]:[Weight]]-(Table261425678911[[#This Row],[Weight]:[Weight]]*((_xlfn.XMATCH(Table261425678911[[#This Row],[11]],Table261425678911[[#This Row],[1]:[11]],0))-1)/(COUNTA(Table261425678911[[#This Row],[1]:[11]])-COUNTBLANK(Table261425678911[[#This Row],[1]:[11]])-1)))</f>
        <v/>
      </c>
    </row>
  </sheetData>
  <sheetProtection insertRows="0" insertHyperlinks="0" deleteRows="0" autoFilter="0"/>
  <mergeCells count="4">
    <mergeCell ref="E2:F3"/>
    <mergeCell ref="A10:A11"/>
    <mergeCell ref="B10:C11"/>
    <mergeCell ref="D10:E11"/>
  </mergeCells>
  <conditionalFormatting sqref="K13:K33">
    <cfRule type="expression" dxfId="286" priority="1">
      <formula>COUNTIF(N13:X13,K13)&lt;&gt;1</formula>
    </cfRule>
  </conditionalFormatting>
  <dataValidations count="4">
    <dataValidation type="list" allowBlank="1" showInputMessage="1" showErrorMessage="1" sqref="F13:F33" xr:uid="{52130AFC-B9A0-4DF7-B261-ECC0509B49F8}">
      <formula1>"No interest,Nice to have,Useful,Important,Very important,Critical,Show stopper"</formula1>
    </dataValidation>
    <dataValidation type="list" allowBlank="1" showInputMessage="1" showErrorMessage="1" sqref="M14" xr:uid="{C064259F-DA31-409B-965A-E56961370511}">
      <formula1>_xlfn.UNIQUE(TRIM(_xlfn.TEXTSPLIT(#REF!,",")))</formula1>
    </dataValidation>
    <dataValidation type="list" allowBlank="1" showInputMessage="1" showErrorMessage="1" sqref="K13:K33" xr:uid="{9A68170D-790E-4DD0-92FA-4000E95A4838}">
      <formula1>$N13:$X13</formula1>
    </dataValidation>
    <dataValidation type="list" allowBlank="1" showInputMessage="1" showErrorMessage="1" sqref="H13:H33" xr:uid="{5B8C95FB-83F7-4B20-9013-B65F65843F14}">
      <formula1>N13:R13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A9D15-4331-4424-8F4A-9FF1B19ABD9A}">
  <sheetPr>
    <tabColor rgb="FF92D050"/>
    <pageSetUpPr fitToPage="1"/>
  </sheetPr>
  <dimension ref="A2:AI60"/>
  <sheetViews>
    <sheetView zoomScale="84" zoomScaleNormal="84" workbookViewId="0">
      <pane xSplit="1" ySplit="11" topLeftCell="C54" activePane="bottomRight" state="frozen"/>
      <selection pane="topRight" activeCell="D7" sqref="D7"/>
      <selection pane="bottomLeft" activeCell="D7" sqref="D7"/>
      <selection pane="bottomRight" activeCell="B55" sqref="B55"/>
    </sheetView>
  </sheetViews>
  <sheetFormatPr defaultColWidth="5.42578125" defaultRowHeight="12" x14ac:dyDescent="0.2"/>
  <cols>
    <col min="1" max="1" width="3" style="6" bestFit="1" customWidth="1"/>
    <col min="2" max="2" width="44.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30.425781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Summary'!C22</f>
        <v>8.7499999999999994E-2</v>
      </c>
      <c r="G11" s="43">
        <f>SUM(Table26142567891112[Priority])</f>
        <v>255</v>
      </c>
      <c r="H11" s="8">
        <f>SUM(Table26142567891112[Weight])</f>
        <v>8.7500000000000022E-2</v>
      </c>
      <c r="I11" s="7"/>
      <c r="J11" s="7"/>
      <c r="K11" s="9" t="s">
        <v>17</v>
      </c>
      <c r="L11" s="8" t="e">
        <f>SUM(Table26142567891112[Score])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544</v>
      </c>
      <c r="C12" s="13" t="s">
        <v>545</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08" x14ac:dyDescent="0.2">
      <c r="A13" s="20">
        <v>1</v>
      </c>
      <c r="B13" s="90" t="s">
        <v>546</v>
      </c>
      <c r="C13" s="119" t="s">
        <v>215</v>
      </c>
      <c r="D13" s="90"/>
      <c r="E13" s="90" t="s">
        <v>547</v>
      </c>
      <c r="F13" s="120" t="s">
        <v>60</v>
      </c>
      <c r="G13" s="148" cm="1">
        <f t="array" ref="G13">_xlfn.IFS(F13="","",F13="No interest",0,F13="Nice to have",1,F13="Useful",2,F13="Important",3,F13="Very important",4,F13="Critical",5,F13="Show stopper",6)</f>
        <v>6</v>
      </c>
      <c r="H13" s="149">
        <f t="shared" ref="H13:H16" si="0">(G13/$G$11)*$F$11</f>
        <v>2.0588235294117644E-3</v>
      </c>
      <c r="I13" s="150" t="s">
        <v>548</v>
      </c>
      <c r="J13" s="25" t="str" cm="1">
        <f t="array" ref="J13">_xlfn.TEXTJOIN(","&amp;CHAR(10),,TEXT(Table26142567891112[[#This Row],[12]:[22]],"0,00%"))</f>
        <v>0,00%,
0,00%,
0,00%,
0,00%,
0,00%</v>
      </c>
      <c r="K13" s="26"/>
      <c r="L13" s="27" t="e">
        <f>H13-(H13*((MATCH(Table26142567891112[[#This Row],[Evaluators Response (SELECT)]],Table26142567891112[[#This Row],[1]:[11]],0)-1)/(COUNTA(Table26142567891112[[#This Row],[1]:[11]])-COUNTBLANK(Table26142567891112[[#This Row],[1]:[11]])-1)))</f>
        <v>#N/A</v>
      </c>
      <c r="M13" s="28"/>
      <c r="N13" s="29" t="str" cm="1">
        <f t="array" ref="N13">IFERROR(INDEX(_xlfn.UNIQUE(TRIM(_xlfn.TEXTSPLIT(Table26142567891112[[#This Row],[Selection Options]:[Selection Options]],","))),,N$11),"")</f>
        <v>100%: Supported as delivered "out of the box"</v>
      </c>
      <c r="O13" s="29" t="str" cm="1">
        <f t="array" ref="O13">IFERROR(INDEX(_xlfn.UNIQUE(TRIM(_xlfn.TEXTSPLIT(Table26142567891112[[#This Row],[Selection Options]:[Selection Options]],","))),,O$11),"")</f>
        <v xml:space="preserve">
75%: Supported via modifications (config)</v>
      </c>
      <c r="P13" s="29" t="str" cm="1">
        <f t="array" ref="P13">IFERROR(INDEX(_xlfn.UNIQUE(TRIM(_xlfn.TEXTSPLIT(Table26142567891112[[#This Row],[Selection Options]:[Selection Options]],","))),,P$11),"")</f>
        <v xml:space="preserve">
50%: Supported via a third party solution</v>
      </c>
      <c r="Q13" s="29" t="str" cm="1">
        <f t="array" ref="Q13">IFERROR(INDEX(_xlfn.UNIQUE(TRIM(_xlfn.TEXTSPLIT(Table26142567891112[[#This Row],[Selection Options]:[Selection Options]],","))),,Q$11),"")</f>
        <v xml:space="preserve">
25%: Supported via customisation (source code changes)</v>
      </c>
      <c r="R13" s="29" t="str" cm="1">
        <f t="array" ref="R13">IFERROR(INDEX(_xlfn.UNIQUE(TRIM(_xlfn.TEXTSPLIT(Table26142567891112[[#This Row],[Selection Options]:[Selection Options]],","))),,R$11),"")</f>
        <v>0%: Not currently supported</v>
      </c>
      <c r="S13" s="29" t="str" cm="1">
        <f t="array" ref="S13">IFERROR(INDEX(_xlfn.UNIQUE(TRIM(_xlfn.TEXTSPLIT(Table26142567891112[[#This Row],[Selection Options]:[Selection Options]],","))),,S$11),"")</f>
        <v/>
      </c>
      <c r="T13" s="29" t="str" cm="1">
        <f t="array" ref="T13">IFERROR(INDEX(_xlfn.UNIQUE(TRIM(_xlfn.TEXTSPLIT(Table26142567891112[[#This Row],[Selection Options]:[Selection Options]],","))),,T$11),"")</f>
        <v/>
      </c>
      <c r="U13" s="29" t="str" cm="1">
        <f t="array" ref="U13">IFERROR(INDEX(_xlfn.UNIQUE(TRIM(_xlfn.TEXTSPLIT(Table26142567891112[[#This Row],[Selection Options]:[Selection Options]],","))),,U$11),"")</f>
        <v/>
      </c>
      <c r="V13" s="29" t="str" cm="1">
        <f t="array" ref="V13">IFERROR(INDEX(_xlfn.UNIQUE(TRIM(_xlfn.TEXTSPLIT(Table26142567891112[[#This Row],[Selection Options]:[Selection Options]],","))),,V$11),"")</f>
        <v/>
      </c>
      <c r="W13" s="29" t="str" cm="1">
        <f t="array" ref="W13">IFERROR(INDEX(_xlfn.UNIQUE(TRIM(_xlfn.TEXTSPLIT(Table26142567891112[[#This Row],[Selection Options]:[Selection Options]],","))),,W$11),"")</f>
        <v/>
      </c>
      <c r="X13" s="29" t="str" cm="1">
        <f t="array" ref="X13">IFERROR(INDEX(_xlfn.UNIQUE(TRIM(_xlfn.TEXTSPLIT(Table26142567891112[[#This Row],[Selection Options]:[Selection Options]],","))),,X$11),"")</f>
        <v/>
      </c>
      <c r="Y13" s="30" cm="1">
        <f t="array" ref="Y13">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13" s="30" cm="1">
        <f t="array" ref="Z13">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13" s="30" cm="1">
        <f t="array" ref="AA13">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13" s="30" cm="1">
        <f t="array" ref="AB13">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13" s="30" cm="1">
        <f t="array" ref="AC13">IF(Table26142567891112[[#This Row],[5]]="","",Table26142567891112[[#This Row],[Weight]:[Weight]]-(Table26142567891112[[#This Row],[Weight]:[Weight]]*((_xlfn.XMATCH(Table26142567891112[[#This Row],[5]],Table26142567891112[[#This Row],[1]:[11]],0))-1)/(COUNTA(Table26142567891112[[#This Row],[1]:[11]])-COUNTBLANK(Table26142567891112[[#This Row],[1]:[11]])-1)))</f>
        <v>0</v>
      </c>
      <c r="AD13" s="30" t="str" cm="1">
        <f t="array" ref="AD13">IF(Table26142567891112[[#This Row],[6]]="","",Table26142567891112[[#This Row],[Weight]:[Weight]]-(Table26142567891112[[#This Row],[Weight]:[Weight]]*((_xlfn.XMATCH(Table26142567891112[[#This Row],[6]],Table26142567891112[[#This Row],[1]:[11]],0))-1)/(COUNTA(Table26142567891112[[#This Row],[1]:[11]])-COUNTBLANK(Table26142567891112[[#This Row],[1]:[11]])-1)))</f>
        <v/>
      </c>
      <c r="AE13" s="30" t="str" cm="1">
        <f t="array" ref="AE13">IF(Table26142567891112[[#This Row],[7]]="","",Table26142567891112[[#This Row],[Weight]:[Weight]]-(Table26142567891112[[#This Row],[Weight]:[Weight]]*((_xlfn.XMATCH(Table26142567891112[[#This Row],[7]],Table26142567891112[[#This Row],[1]:[11]],0))-1)/(COUNTA(Table26142567891112[[#This Row],[1]:[11]])-COUNTBLANK(Table26142567891112[[#This Row],[1]:[11]])-1)))</f>
        <v/>
      </c>
      <c r="AF13" s="30" t="str" cm="1">
        <f t="array" ref="AF13">IF(Table26142567891112[[#This Row],[8]]="","",Table26142567891112[[#This Row],[Weight]:[Weight]]-(Table26142567891112[[#This Row],[Weight]:[Weight]]*((_xlfn.XMATCH(Table26142567891112[[#This Row],[8]],Table26142567891112[[#This Row],[1]:[11]],0))-1)/(COUNTA(Table26142567891112[[#This Row],[1]:[11]])-COUNTBLANK(Table26142567891112[[#This Row],[1]:[11]])-1)))</f>
        <v/>
      </c>
      <c r="AG13" s="30" t="str" cm="1">
        <f t="array" ref="AG13">IF(Table26142567891112[[#This Row],[9]]="","",Table26142567891112[[#This Row],[Weight]:[Weight]]-(Table26142567891112[[#This Row],[Weight]:[Weight]]*((_xlfn.XMATCH(Table26142567891112[[#This Row],[9]],Table26142567891112[[#This Row],[1]:[11]],0))-1)/(COUNTA(Table26142567891112[[#This Row],[1]:[11]])-COUNTBLANK(Table26142567891112[[#This Row],[1]:[11]])-1)))</f>
        <v/>
      </c>
      <c r="AH13" s="30" t="str" cm="1">
        <f t="array" ref="AH13">IF(Table26142567891112[[#This Row],[10]]="","",Table26142567891112[[#This Row],[Weight]:[Weight]]-(Table26142567891112[[#This Row],[Weight]:[Weight]]*((_xlfn.XMATCH(Table26142567891112[[#This Row],[10]],Table26142567891112[[#This Row],[1]:[11]],0))-1)/(COUNTA(Table26142567891112[[#This Row],[1]:[11]])-COUNTBLANK(Table26142567891112[[#This Row],[1]:[11]])-1)))</f>
        <v/>
      </c>
      <c r="AI13" s="30" t="str" cm="1">
        <f t="array" ref="AI13">IF(Table26142567891112[[#This Row],[11]]="","",Table26142567891112[[#This Row],[Weight]:[Weight]]-(Table26142567891112[[#This Row],[Weight]:[Weight]]*((_xlfn.XMATCH(Table26142567891112[[#This Row],[11]],Table26142567891112[[#This Row],[1]:[11]],0))-1)/(COUNTA(Table26142567891112[[#This Row],[1]:[11]])-COUNTBLANK(Table26142567891112[[#This Row],[1]:[11]])-1)))</f>
        <v/>
      </c>
    </row>
    <row r="14" spans="1:35" ht="108" x14ac:dyDescent="0.2">
      <c r="A14" s="206">
        <v>2</v>
      </c>
      <c r="B14" s="207" t="s">
        <v>549</v>
      </c>
      <c r="C14" s="208" t="s">
        <v>215</v>
      </c>
      <c r="D14" s="209"/>
      <c r="E14" s="209" t="s">
        <v>550</v>
      </c>
      <c r="F14" s="210" t="s">
        <v>60</v>
      </c>
      <c r="G14" s="211" cm="1">
        <f t="array" ref="G14">_xlfn.IFS(F14="","",F14="No interest",0,F14="Nice to have",1,F14="Useful",2,F14="Important",3,F14="Very important",4,F14="Critical",5,F14="Show stopper",6)</f>
        <v>6</v>
      </c>
      <c r="H14" s="212">
        <f t="shared" si="0"/>
        <v>2.0588235294117644E-3</v>
      </c>
      <c r="I14" s="213" t="s">
        <v>548</v>
      </c>
      <c r="J14" s="214" t="str" cm="1">
        <f t="array" ref="J14">_xlfn.TEXTJOIN(","&amp;CHAR(10),,TEXT(Table26142567891112[[#This Row],[12]:[22]],"0,00%"))</f>
        <v>0,00%,
0,00%,
0,00%,
0,00%,
0,00%</v>
      </c>
      <c r="K14" s="215"/>
      <c r="L14" s="216" t="e">
        <f>H14-(H14*((MATCH(Table26142567891112[[#This Row],[Evaluators Response (SELECT)]],Table26142567891112[[#This Row],[1]:[11]],0)-1)/(COUNTA(Table26142567891112[[#This Row],[1]:[11]])-COUNTBLANK(Table26142567891112[[#This Row],[1]:[11]])-1)))</f>
        <v>#N/A</v>
      </c>
      <c r="M14" s="217"/>
      <c r="N14" s="29" t="str" cm="1">
        <f t="array" ref="N14">IFERROR(INDEX(_xlfn.UNIQUE(TRIM(_xlfn.TEXTSPLIT(Table26142567891112[[#This Row],[Selection Options]:[Selection Options]],","))),,N$11),"")</f>
        <v>100%: Supported as delivered "out of the box"</v>
      </c>
      <c r="O14" s="29" t="str" cm="1">
        <f t="array" ref="O14">IFERROR(INDEX(_xlfn.UNIQUE(TRIM(_xlfn.TEXTSPLIT(Table26142567891112[[#This Row],[Selection Options]:[Selection Options]],","))),,O$11),"")</f>
        <v xml:space="preserve">
75%: Supported via modifications (config)</v>
      </c>
      <c r="P14" s="29" t="str" cm="1">
        <f t="array" ref="P14">IFERROR(INDEX(_xlfn.UNIQUE(TRIM(_xlfn.TEXTSPLIT(Table26142567891112[[#This Row],[Selection Options]:[Selection Options]],","))),,P$11),"")</f>
        <v xml:space="preserve">
50%: Supported via a third party solution</v>
      </c>
      <c r="Q14" s="29" t="str" cm="1">
        <f t="array" ref="Q14">IFERROR(INDEX(_xlfn.UNIQUE(TRIM(_xlfn.TEXTSPLIT(Table26142567891112[[#This Row],[Selection Options]:[Selection Options]],","))),,Q$11),"")</f>
        <v xml:space="preserve">
25%: Supported via customisation (source code changes)</v>
      </c>
      <c r="R14" s="29" t="str" cm="1">
        <f t="array" ref="R14">IFERROR(INDEX(_xlfn.UNIQUE(TRIM(_xlfn.TEXTSPLIT(Table26142567891112[[#This Row],[Selection Options]:[Selection Options]],","))),,R$11),"")</f>
        <v>0%: Not currently supported</v>
      </c>
      <c r="S14" s="29" t="str" cm="1">
        <f t="array" ref="S14">IFERROR(INDEX(_xlfn.UNIQUE(TRIM(_xlfn.TEXTSPLIT(Table26142567891112[[#This Row],[Selection Options]:[Selection Options]],","))),,S$11),"")</f>
        <v/>
      </c>
      <c r="T14" s="29" t="str" cm="1">
        <f t="array" ref="T14">IFERROR(INDEX(_xlfn.UNIQUE(TRIM(_xlfn.TEXTSPLIT(Table26142567891112[[#This Row],[Selection Options]:[Selection Options]],","))),,T$11),"")</f>
        <v/>
      </c>
      <c r="U14" s="29" t="str" cm="1">
        <f t="array" ref="U14">IFERROR(INDEX(_xlfn.UNIQUE(TRIM(_xlfn.TEXTSPLIT(Table26142567891112[[#This Row],[Selection Options]:[Selection Options]],","))),,U$11),"")</f>
        <v/>
      </c>
      <c r="V14" s="29" t="str" cm="1">
        <f t="array" ref="V14">IFERROR(INDEX(_xlfn.UNIQUE(TRIM(_xlfn.TEXTSPLIT(Table26142567891112[[#This Row],[Selection Options]:[Selection Options]],","))),,V$11),"")</f>
        <v/>
      </c>
      <c r="W14" s="29" t="str" cm="1">
        <f t="array" ref="W14">IFERROR(INDEX(_xlfn.UNIQUE(TRIM(_xlfn.TEXTSPLIT(Table26142567891112[[#This Row],[Selection Options]:[Selection Options]],","))),,W$11),"")</f>
        <v/>
      </c>
      <c r="X14" s="29" t="str" cm="1">
        <f t="array" ref="X14">IFERROR(INDEX(_xlfn.UNIQUE(TRIM(_xlfn.TEXTSPLIT(Table26142567891112[[#This Row],[Selection Options]:[Selection Options]],","))),,X$11),"")</f>
        <v/>
      </c>
      <c r="Y14" s="30" cm="1">
        <f t="array" ref="Y14">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14" s="30" cm="1">
        <f t="array" ref="Z14">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14" s="30" cm="1">
        <f t="array" ref="AA14">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14" s="30" cm="1">
        <f t="array" ref="AB14">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14" s="30" cm="1">
        <f t="array" ref="AC14">IF(Table26142567891112[[#This Row],[5]]="","",Table26142567891112[[#This Row],[Weight]:[Weight]]-(Table26142567891112[[#This Row],[Weight]:[Weight]]*((_xlfn.XMATCH(Table26142567891112[[#This Row],[5]],Table26142567891112[[#This Row],[1]:[11]],0))-1)/(COUNTA(Table26142567891112[[#This Row],[1]:[11]])-COUNTBLANK(Table26142567891112[[#This Row],[1]:[11]])-1)))</f>
        <v>0</v>
      </c>
      <c r="AD14" s="30" t="str" cm="1">
        <f t="array" ref="AD14">IF(Table26142567891112[[#This Row],[6]]="","",Table26142567891112[[#This Row],[Weight]:[Weight]]-(Table26142567891112[[#This Row],[Weight]:[Weight]]*((_xlfn.XMATCH(Table26142567891112[[#This Row],[6]],Table26142567891112[[#This Row],[1]:[11]],0))-1)/(COUNTA(Table26142567891112[[#This Row],[1]:[11]])-COUNTBLANK(Table26142567891112[[#This Row],[1]:[11]])-1)))</f>
        <v/>
      </c>
      <c r="AE14" s="30" t="str" cm="1">
        <f t="array" ref="AE14">IF(Table26142567891112[[#This Row],[7]]="","",Table26142567891112[[#This Row],[Weight]:[Weight]]-(Table26142567891112[[#This Row],[Weight]:[Weight]]*((_xlfn.XMATCH(Table26142567891112[[#This Row],[7]],Table26142567891112[[#This Row],[1]:[11]],0))-1)/(COUNTA(Table26142567891112[[#This Row],[1]:[11]])-COUNTBLANK(Table26142567891112[[#This Row],[1]:[11]])-1)))</f>
        <v/>
      </c>
      <c r="AF14" s="30" t="str" cm="1">
        <f t="array" ref="AF14">IF(Table26142567891112[[#This Row],[8]]="","",Table26142567891112[[#This Row],[Weight]:[Weight]]-(Table26142567891112[[#This Row],[Weight]:[Weight]]*((_xlfn.XMATCH(Table26142567891112[[#This Row],[8]],Table26142567891112[[#This Row],[1]:[11]],0))-1)/(COUNTA(Table26142567891112[[#This Row],[1]:[11]])-COUNTBLANK(Table26142567891112[[#This Row],[1]:[11]])-1)))</f>
        <v/>
      </c>
      <c r="AG14" s="30" t="str" cm="1">
        <f t="array" ref="AG14">IF(Table26142567891112[[#This Row],[9]]="","",Table26142567891112[[#This Row],[Weight]:[Weight]]-(Table26142567891112[[#This Row],[Weight]:[Weight]]*((_xlfn.XMATCH(Table26142567891112[[#This Row],[9]],Table26142567891112[[#This Row],[1]:[11]],0))-1)/(COUNTA(Table26142567891112[[#This Row],[1]:[11]])-COUNTBLANK(Table26142567891112[[#This Row],[1]:[11]])-1)))</f>
        <v/>
      </c>
      <c r="AH14" s="30" t="str" cm="1">
        <f t="array" ref="AH14">IF(Table26142567891112[[#This Row],[10]]="","",Table26142567891112[[#This Row],[Weight]:[Weight]]-(Table26142567891112[[#This Row],[Weight]:[Weight]]*((_xlfn.XMATCH(Table26142567891112[[#This Row],[10]],Table26142567891112[[#This Row],[1]:[11]],0))-1)/(COUNTA(Table26142567891112[[#This Row],[1]:[11]])-COUNTBLANK(Table26142567891112[[#This Row],[1]:[11]])-1)))</f>
        <v/>
      </c>
      <c r="AI14" s="30" t="str" cm="1">
        <f t="array" ref="AI14">IF(Table26142567891112[[#This Row],[11]]="","",Table26142567891112[[#This Row],[Weight]:[Weight]]-(Table26142567891112[[#This Row],[Weight]:[Weight]]*((_xlfn.XMATCH(Table26142567891112[[#This Row],[11]],Table26142567891112[[#This Row],[1]:[11]],0))-1)/(COUNTA(Table26142567891112[[#This Row],[1]:[11]])-COUNTBLANK(Table26142567891112[[#This Row],[1]:[11]])-1)))</f>
        <v/>
      </c>
    </row>
    <row r="15" spans="1:35" ht="108" x14ac:dyDescent="0.2">
      <c r="A15" s="227">
        <v>3</v>
      </c>
      <c r="B15" s="228" t="s">
        <v>551</v>
      </c>
      <c r="C15" s="228" t="s">
        <v>215</v>
      </c>
      <c r="D15" s="274"/>
      <c r="E15" s="274" t="s">
        <v>552</v>
      </c>
      <c r="F15" s="230" t="s">
        <v>188</v>
      </c>
      <c r="G15" s="275" cm="1">
        <f t="array" ref="G15">_xlfn.IFS(F15="","",F15="No interest",0,F15="Nice to have",1,F15="Useful",2,F15="Important",3,F15="Very important",4,F15="Critical",5,F15="Show stopper",6)</f>
        <v>5</v>
      </c>
      <c r="H15" s="276">
        <f t="shared" si="0"/>
        <v>1.7156862745098037E-3</v>
      </c>
      <c r="I15" s="233" t="s">
        <v>548</v>
      </c>
      <c r="J15" s="234" t="str" cm="1">
        <f t="array" ref="J15">_xlfn.TEXTJOIN(","&amp;CHAR(10),,TEXT(Table26142567891112[[#This Row],[12]:[22]],"0,00%"))</f>
        <v>0,00%,
0,00%,
0,00%,
0,00%,
0,00%</v>
      </c>
      <c r="K15" s="194"/>
      <c r="L15" s="277" t="e">
        <f>H15-(H15*((MATCH(Table26142567891112[[#This Row],[Evaluators Response (SELECT)]],Table26142567891112[[#This Row],[1]:[11]],0)-1)/(COUNTA(Table26142567891112[[#This Row],[1]:[11]])-COUNTBLANK(Table26142567891112[[#This Row],[1]:[11]])-1)))</f>
        <v>#N/A</v>
      </c>
      <c r="M15" s="278"/>
      <c r="N15" s="29" t="str" cm="1">
        <f t="array" ref="N15">IFERROR(INDEX(_xlfn.UNIQUE(TRIM(_xlfn.TEXTSPLIT(Table26142567891112[[#This Row],[Selection Options]:[Selection Options]],","))),,N$11),"")</f>
        <v>100%: Supported as delivered "out of the box"</v>
      </c>
      <c r="O15" s="29" t="str" cm="1">
        <f t="array" ref="O15">IFERROR(INDEX(_xlfn.UNIQUE(TRIM(_xlfn.TEXTSPLIT(Table26142567891112[[#This Row],[Selection Options]:[Selection Options]],","))),,O$11),"")</f>
        <v xml:space="preserve">
75%: Supported via modifications (config)</v>
      </c>
      <c r="P15" s="29" t="str" cm="1">
        <f t="array" ref="P15">IFERROR(INDEX(_xlfn.UNIQUE(TRIM(_xlfn.TEXTSPLIT(Table26142567891112[[#This Row],[Selection Options]:[Selection Options]],","))),,P$11),"")</f>
        <v xml:space="preserve">
50%: Supported via a third party solution</v>
      </c>
      <c r="Q15" s="29" t="str" cm="1">
        <f t="array" ref="Q15">IFERROR(INDEX(_xlfn.UNIQUE(TRIM(_xlfn.TEXTSPLIT(Table26142567891112[[#This Row],[Selection Options]:[Selection Options]],","))),,Q$11),"")</f>
        <v xml:space="preserve">
25%: Supported via customisation (source code changes)</v>
      </c>
      <c r="R15" s="29" t="str" cm="1">
        <f t="array" ref="R15">IFERROR(INDEX(_xlfn.UNIQUE(TRIM(_xlfn.TEXTSPLIT(Table26142567891112[[#This Row],[Selection Options]:[Selection Options]],","))),,R$11),"")</f>
        <v>0%: Not currently supported</v>
      </c>
      <c r="S15" s="29" t="str" cm="1">
        <f t="array" ref="S15">IFERROR(INDEX(_xlfn.UNIQUE(TRIM(_xlfn.TEXTSPLIT(Table26142567891112[[#This Row],[Selection Options]:[Selection Options]],","))),,S$11),"")</f>
        <v/>
      </c>
      <c r="T15" s="29" t="str" cm="1">
        <f t="array" ref="T15">IFERROR(INDEX(_xlfn.UNIQUE(TRIM(_xlfn.TEXTSPLIT(Table26142567891112[[#This Row],[Selection Options]:[Selection Options]],","))),,T$11),"")</f>
        <v/>
      </c>
      <c r="U15" s="29" t="str" cm="1">
        <f t="array" ref="U15">IFERROR(INDEX(_xlfn.UNIQUE(TRIM(_xlfn.TEXTSPLIT(Table26142567891112[[#This Row],[Selection Options]:[Selection Options]],","))),,U$11),"")</f>
        <v/>
      </c>
      <c r="V15" s="29" t="str" cm="1">
        <f t="array" ref="V15">IFERROR(INDEX(_xlfn.UNIQUE(TRIM(_xlfn.TEXTSPLIT(Table26142567891112[[#This Row],[Selection Options]:[Selection Options]],","))),,V$11),"")</f>
        <v/>
      </c>
      <c r="W15" s="29" t="str" cm="1">
        <f t="array" ref="W15">IFERROR(INDEX(_xlfn.UNIQUE(TRIM(_xlfn.TEXTSPLIT(Table26142567891112[[#This Row],[Selection Options]:[Selection Options]],","))),,W$11),"")</f>
        <v/>
      </c>
      <c r="X15" s="29" t="str" cm="1">
        <f t="array" ref="X15">IFERROR(INDEX(_xlfn.UNIQUE(TRIM(_xlfn.TEXTSPLIT(Table26142567891112[[#This Row],[Selection Options]:[Selection Options]],","))),,X$11),"")</f>
        <v/>
      </c>
      <c r="Y15" s="30" cm="1">
        <f t="array" ref="Y15">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15" s="30" cm="1">
        <f t="array" ref="Z15">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15" s="30" cm="1">
        <f t="array" ref="AA15">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15" s="30" cm="1">
        <f t="array" ref="AB15">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15" s="30" cm="1">
        <f t="array" ref="AC15">IF(Table26142567891112[[#This Row],[5]]="","",Table26142567891112[[#This Row],[Weight]:[Weight]]-(Table26142567891112[[#This Row],[Weight]:[Weight]]*((_xlfn.XMATCH(Table26142567891112[[#This Row],[5]],Table26142567891112[[#This Row],[1]:[11]],0))-1)/(COUNTA(Table26142567891112[[#This Row],[1]:[11]])-COUNTBLANK(Table26142567891112[[#This Row],[1]:[11]])-1)))</f>
        <v>0</v>
      </c>
      <c r="AD15" s="30" t="str" cm="1">
        <f t="array" ref="AD15">IF(Table26142567891112[[#This Row],[6]]="","",Table26142567891112[[#This Row],[Weight]:[Weight]]-(Table26142567891112[[#This Row],[Weight]:[Weight]]*((_xlfn.XMATCH(Table26142567891112[[#This Row],[6]],Table26142567891112[[#This Row],[1]:[11]],0))-1)/(COUNTA(Table26142567891112[[#This Row],[1]:[11]])-COUNTBLANK(Table26142567891112[[#This Row],[1]:[11]])-1)))</f>
        <v/>
      </c>
      <c r="AE15" s="30" t="str" cm="1">
        <f t="array" ref="AE15">IF(Table26142567891112[[#This Row],[7]]="","",Table26142567891112[[#This Row],[Weight]:[Weight]]-(Table26142567891112[[#This Row],[Weight]:[Weight]]*((_xlfn.XMATCH(Table26142567891112[[#This Row],[7]],Table26142567891112[[#This Row],[1]:[11]],0))-1)/(COUNTA(Table26142567891112[[#This Row],[1]:[11]])-COUNTBLANK(Table26142567891112[[#This Row],[1]:[11]])-1)))</f>
        <v/>
      </c>
      <c r="AF15" s="30" t="str" cm="1">
        <f t="array" ref="AF15">IF(Table26142567891112[[#This Row],[8]]="","",Table26142567891112[[#This Row],[Weight]:[Weight]]-(Table26142567891112[[#This Row],[Weight]:[Weight]]*((_xlfn.XMATCH(Table26142567891112[[#This Row],[8]],Table26142567891112[[#This Row],[1]:[11]],0))-1)/(COUNTA(Table26142567891112[[#This Row],[1]:[11]])-COUNTBLANK(Table26142567891112[[#This Row],[1]:[11]])-1)))</f>
        <v/>
      </c>
      <c r="AG15" s="30" t="str" cm="1">
        <f t="array" ref="AG15">IF(Table26142567891112[[#This Row],[9]]="","",Table26142567891112[[#This Row],[Weight]:[Weight]]-(Table26142567891112[[#This Row],[Weight]:[Weight]]*((_xlfn.XMATCH(Table26142567891112[[#This Row],[9]],Table26142567891112[[#This Row],[1]:[11]],0))-1)/(COUNTA(Table26142567891112[[#This Row],[1]:[11]])-COUNTBLANK(Table26142567891112[[#This Row],[1]:[11]])-1)))</f>
        <v/>
      </c>
      <c r="AH15" s="30" t="str" cm="1">
        <f t="array" ref="AH15">IF(Table26142567891112[[#This Row],[10]]="","",Table26142567891112[[#This Row],[Weight]:[Weight]]-(Table26142567891112[[#This Row],[Weight]:[Weight]]*((_xlfn.XMATCH(Table26142567891112[[#This Row],[10]],Table26142567891112[[#This Row],[1]:[11]],0))-1)/(COUNTA(Table26142567891112[[#This Row],[1]:[11]])-COUNTBLANK(Table26142567891112[[#This Row],[1]:[11]])-1)))</f>
        <v/>
      </c>
      <c r="AI15" s="30" t="str" cm="1">
        <f t="array" ref="AI15">IF(Table26142567891112[[#This Row],[11]]="","",Table26142567891112[[#This Row],[Weight]:[Weight]]-(Table26142567891112[[#This Row],[Weight]:[Weight]]*((_xlfn.XMATCH(Table26142567891112[[#This Row],[11]],Table26142567891112[[#This Row],[1]:[11]],0))-1)/(COUNTA(Table26142567891112[[#This Row],[1]:[11]])-COUNTBLANK(Table26142567891112[[#This Row],[1]:[11]])-1)))</f>
        <v/>
      </c>
    </row>
    <row r="16" spans="1:35" ht="108" x14ac:dyDescent="0.2">
      <c r="A16" s="20">
        <v>4</v>
      </c>
      <c r="B16" s="119" t="s">
        <v>553</v>
      </c>
      <c r="C16" s="119" t="s">
        <v>215</v>
      </c>
      <c r="D16" s="146"/>
      <c r="E16" s="146"/>
      <c r="F16" s="120" t="s">
        <v>188</v>
      </c>
      <c r="G16" s="148" cm="1">
        <f t="array" ref="G16">_xlfn.IFS(F16="","",F16="No interest",0,F16="Nice to have",1,F16="Useful",2,F16="Important",3,F16="Very important",4,F16="Critical",5,F16="Show stopper",6)</f>
        <v>5</v>
      </c>
      <c r="H16" s="149">
        <f t="shared" si="0"/>
        <v>1.7156862745098037E-3</v>
      </c>
      <c r="I16" s="150" t="s">
        <v>548</v>
      </c>
      <c r="J16" s="25" t="str" cm="1">
        <f t="array" ref="J16">_xlfn.TEXTJOIN(","&amp;CHAR(10),,TEXT(Table26142567891112[[#This Row],[12]:[22]],"0,00%"))</f>
        <v>0,00%,
0,00%,
0,00%,
0,00%,
0,00%</v>
      </c>
      <c r="K16" s="26"/>
      <c r="L16" s="27" t="e">
        <f>H16-(H16*((MATCH(Table26142567891112[[#This Row],[Evaluators Response (SELECT)]],Table26142567891112[[#This Row],[1]:[11]],0)-1)/(COUNTA(Table26142567891112[[#This Row],[1]:[11]])-COUNTBLANK(Table26142567891112[[#This Row],[1]:[11]])-1)))</f>
        <v>#N/A</v>
      </c>
      <c r="M16" s="28"/>
      <c r="N16" s="29" t="str" cm="1">
        <f t="array" ref="N16">IFERROR(INDEX(_xlfn.UNIQUE(TRIM(_xlfn.TEXTSPLIT(Table26142567891112[[#This Row],[Selection Options]:[Selection Options]],","))),,N$11),"")</f>
        <v>100%: Supported as delivered "out of the box"</v>
      </c>
      <c r="O16" s="29" t="str" cm="1">
        <f t="array" ref="O16">IFERROR(INDEX(_xlfn.UNIQUE(TRIM(_xlfn.TEXTSPLIT(Table26142567891112[[#This Row],[Selection Options]:[Selection Options]],","))),,O$11),"")</f>
        <v xml:space="preserve">
75%: Supported via modifications (config)</v>
      </c>
      <c r="P16" s="29" t="str" cm="1">
        <f t="array" ref="P16">IFERROR(INDEX(_xlfn.UNIQUE(TRIM(_xlfn.TEXTSPLIT(Table26142567891112[[#This Row],[Selection Options]:[Selection Options]],","))),,P$11),"")</f>
        <v xml:space="preserve">
50%: Supported via a third party solution</v>
      </c>
      <c r="Q16" s="29" t="str" cm="1">
        <f t="array" ref="Q16">IFERROR(INDEX(_xlfn.UNIQUE(TRIM(_xlfn.TEXTSPLIT(Table26142567891112[[#This Row],[Selection Options]:[Selection Options]],","))),,Q$11),"")</f>
        <v xml:space="preserve">
25%: Supported via customisation (source code changes)</v>
      </c>
      <c r="R16" s="29" t="str" cm="1">
        <f t="array" ref="R16">IFERROR(INDEX(_xlfn.UNIQUE(TRIM(_xlfn.TEXTSPLIT(Table26142567891112[[#This Row],[Selection Options]:[Selection Options]],","))),,R$11),"")</f>
        <v>0%: Not currently supported</v>
      </c>
      <c r="S16" s="29" t="str" cm="1">
        <f t="array" ref="S16">IFERROR(INDEX(_xlfn.UNIQUE(TRIM(_xlfn.TEXTSPLIT(Table26142567891112[[#This Row],[Selection Options]:[Selection Options]],","))),,S$11),"")</f>
        <v/>
      </c>
      <c r="T16" s="29" t="str" cm="1">
        <f t="array" ref="T16">IFERROR(INDEX(_xlfn.UNIQUE(TRIM(_xlfn.TEXTSPLIT(Table26142567891112[[#This Row],[Selection Options]:[Selection Options]],","))),,T$11),"")</f>
        <v/>
      </c>
      <c r="U16" s="29" t="str" cm="1">
        <f t="array" ref="U16">IFERROR(INDEX(_xlfn.UNIQUE(TRIM(_xlfn.TEXTSPLIT(Table26142567891112[[#This Row],[Selection Options]:[Selection Options]],","))),,U$11),"")</f>
        <v/>
      </c>
      <c r="V16" s="29" t="str" cm="1">
        <f t="array" ref="V16">IFERROR(INDEX(_xlfn.UNIQUE(TRIM(_xlfn.TEXTSPLIT(Table26142567891112[[#This Row],[Selection Options]:[Selection Options]],","))),,V$11),"")</f>
        <v/>
      </c>
      <c r="W16" s="29" t="str" cm="1">
        <f t="array" ref="W16">IFERROR(INDEX(_xlfn.UNIQUE(TRIM(_xlfn.TEXTSPLIT(Table26142567891112[[#This Row],[Selection Options]:[Selection Options]],","))),,W$11),"")</f>
        <v/>
      </c>
      <c r="X16" s="29" t="str" cm="1">
        <f t="array" ref="X16">IFERROR(INDEX(_xlfn.UNIQUE(TRIM(_xlfn.TEXTSPLIT(Table26142567891112[[#This Row],[Selection Options]:[Selection Options]],","))),,X$11),"")</f>
        <v/>
      </c>
      <c r="Y16" s="30" cm="1">
        <f t="array" ref="Y16">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16" s="30" cm="1">
        <f t="array" ref="Z16">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16" s="30" cm="1">
        <f t="array" ref="AA16">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16" s="30" cm="1">
        <f t="array" ref="AB16">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16" s="30" cm="1">
        <f t="array" ref="AC16">IF(Table26142567891112[[#This Row],[5]]="","",Table26142567891112[[#This Row],[Weight]:[Weight]]-(Table26142567891112[[#This Row],[Weight]:[Weight]]*((_xlfn.XMATCH(Table26142567891112[[#This Row],[5]],Table26142567891112[[#This Row],[1]:[11]],0))-1)/(COUNTA(Table26142567891112[[#This Row],[1]:[11]])-COUNTBLANK(Table26142567891112[[#This Row],[1]:[11]])-1)))</f>
        <v>0</v>
      </c>
      <c r="AD16" s="30" t="str" cm="1">
        <f t="array" ref="AD16">IF(Table26142567891112[[#This Row],[6]]="","",Table26142567891112[[#This Row],[Weight]:[Weight]]-(Table26142567891112[[#This Row],[Weight]:[Weight]]*((_xlfn.XMATCH(Table26142567891112[[#This Row],[6]],Table26142567891112[[#This Row],[1]:[11]],0))-1)/(COUNTA(Table26142567891112[[#This Row],[1]:[11]])-COUNTBLANK(Table26142567891112[[#This Row],[1]:[11]])-1)))</f>
        <v/>
      </c>
      <c r="AE16" s="30" t="str" cm="1">
        <f t="array" ref="AE16">IF(Table26142567891112[[#This Row],[7]]="","",Table26142567891112[[#This Row],[Weight]:[Weight]]-(Table26142567891112[[#This Row],[Weight]:[Weight]]*((_xlfn.XMATCH(Table26142567891112[[#This Row],[7]],Table26142567891112[[#This Row],[1]:[11]],0))-1)/(COUNTA(Table26142567891112[[#This Row],[1]:[11]])-COUNTBLANK(Table26142567891112[[#This Row],[1]:[11]])-1)))</f>
        <v/>
      </c>
      <c r="AF16" s="30" t="str" cm="1">
        <f t="array" ref="AF16">IF(Table26142567891112[[#This Row],[8]]="","",Table26142567891112[[#This Row],[Weight]:[Weight]]-(Table26142567891112[[#This Row],[Weight]:[Weight]]*((_xlfn.XMATCH(Table26142567891112[[#This Row],[8]],Table26142567891112[[#This Row],[1]:[11]],0))-1)/(COUNTA(Table26142567891112[[#This Row],[1]:[11]])-COUNTBLANK(Table26142567891112[[#This Row],[1]:[11]])-1)))</f>
        <v/>
      </c>
      <c r="AG16" s="30" t="str" cm="1">
        <f t="array" ref="AG16">IF(Table26142567891112[[#This Row],[9]]="","",Table26142567891112[[#This Row],[Weight]:[Weight]]-(Table26142567891112[[#This Row],[Weight]:[Weight]]*((_xlfn.XMATCH(Table26142567891112[[#This Row],[9]],Table26142567891112[[#This Row],[1]:[11]],0))-1)/(COUNTA(Table26142567891112[[#This Row],[1]:[11]])-COUNTBLANK(Table26142567891112[[#This Row],[1]:[11]])-1)))</f>
        <v/>
      </c>
      <c r="AH16" s="30" t="str" cm="1">
        <f t="array" ref="AH16">IF(Table26142567891112[[#This Row],[10]]="","",Table26142567891112[[#This Row],[Weight]:[Weight]]-(Table26142567891112[[#This Row],[Weight]:[Weight]]*((_xlfn.XMATCH(Table26142567891112[[#This Row],[10]],Table26142567891112[[#This Row],[1]:[11]],0))-1)/(COUNTA(Table26142567891112[[#This Row],[1]:[11]])-COUNTBLANK(Table26142567891112[[#This Row],[1]:[11]])-1)))</f>
        <v/>
      </c>
      <c r="AI16" s="30" t="str" cm="1">
        <f t="array" ref="AI16">IF(Table26142567891112[[#This Row],[11]]="","",Table26142567891112[[#This Row],[Weight]:[Weight]]-(Table26142567891112[[#This Row],[Weight]:[Weight]]*((_xlfn.XMATCH(Table26142567891112[[#This Row],[11]],Table26142567891112[[#This Row],[1]:[11]],0))-1)/(COUNTA(Table26142567891112[[#This Row],[1]:[11]])-COUNTBLANK(Table26142567891112[[#This Row],[1]:[11]])-1)))</f>
        <v/>
      </c>
    </row>
    <row r="17" spans="1:35" ht="108" x14ac:dyDescent="0.2">
      <c r="A17" s="20">
        <v>5</v>
      </c>
      <c r="B17" s="119" t="s">
        <v>554</v>
      </c>
      <c r="C17" s="119" t="s">
        <v>215</v>
      </c>
      <c r="D17" s="146"/>
      <c r="E17" s="146"/>
      <c r="F17" s="120" t="s">
        <v>555</v>
      </c>
      <c r="G17" s="148" cm="1">
        <f t="array" ref="G17">_xlfn.IFS(F17="","",F17="No interest",0,F17="Nice to have",1,F17="Useful",2,F17="Important",3,F17="Very important",4,F17="Critical",5,F17="Show stopper",6)</f>
        <v>4</v>
      </c>
      <c r="H17" s="149">
        <f>(G17/$G$11)*$F$11</f>
        <v>1.3725490196078429E-3</v>
      </c>
      <c r="I17" s="150" t="s">
        <v>548</v>
      </c>
      <c r="J17" s="35" t="str" cm="1">
        <f t="array" ref="J17">_xlfn.TEXTJOIN(","&amp;CHAR(10),,TEXT(Table26142567891112[[#This Row],[12]:[22]],"0,00%"))</f>
        <v>0,00%,
0,00%,
0,00%,
0,00%,
0,00%</v>
      </c>
      <c r="K17" s="26"/>
      <c r="L17" s="27" t="e">
        <f>H17-(H17*((MATCH(Table26142567891112[[#This Row],[Evaluators Response (SELECT)]],Table26142567891112[[#This Row],[1]:[11]],0)-1)/(COUNTA(Table26142567891112[[#This Row],[1]:[11]])-COUNTBLANK(Table26142567891112[[#This Row],[1]:[11]])-1)))</f>
        <v>#N/A</v>
      </c>
      <c r="M17" s="28"/>
      <c r="N17" s="29" t="str" cm="1">
        <f t="array" ref="N17">IFERROR(INDEX(_xlfn.UNIQUE(TRIM(_xlfn.TEXTSPLIT(Table26142567891112[[#This Row],[Selection Options]:[Selection Options]],","))),,N$11),"")</f>
        <v>100%: Supported as delivered "out of the box"</v>
      </c>
      <c r="O17" s="29" t="str" cm="1">
        <f t="array" ref="O17">IFERROR(INDEX(_xlfn.UNIQUE(TRIM(_xlfn.TEXTSPLIT(Table26142567891112[[#This Row],[Selection Options]:[Selection Options]],","))),,O$11),"")</f>
        <v xml:space="preserve">
75%: Supported via modifications (config)</v>
      </c>
      <c r="P17" s="29" t="str" cm="1">
        <f t="array" ref="P17">IFERROR(INDEX(_xlfn.UNIQUE(TRIM(_xlfn.TEXTSPLIT(Table26142567891112[[#This Row],[Selection Options]:[Selection Options]],","))),,P$11),"")</f>
        <v xml:space="preserve">
50%: Supported via a third party solution</v>
      </c>
      <c r="Q17" s="29" t="str" cm="1">
        <f t="array" ref="Q17">IFERROR(INDEX(_xlfn.UNIQUE(TRIM(_xlfn.TEXTSPLIT(Table26142567891112[[#This Row],[Selection Options]:[Selection Options]],","))),,Q$11),"")</f>
        <v xml:space="preserve">
25%: Supported via customisation (source code changes)</v>
      </c>
      <c r="R17" s="29" t="str" cm="1">
        <f t="array" ref="R17">IFERROR(INDEX(_xlfn.UNIQUE(TRIM(_xlfn.TEXTSPLIT(Table26142567891112[[#This Row],[Selection Options]:[Selection Options]],","))),,R$11),"")</f>
        <v>0%: Not currently supported</v>
      </c>
      <c r="S17" s="29" t="str" cm="1">
        <f t="array" ref="S17">IFERROR(INDEX(_xlfn.UNIQUE(TRIM(_xlfn.TEXTSPLIT(Table26142567891112[[#This Row],[Selection Options]:[Selection Options]],","))),,S$11),"")</f>
        <v/>
      </c>
      <c r="T17" s="29" t="str" cm="1">
        <f t="array" ref="T17">IFERROR(INDEX(_xlfn.UNIQUE(TRIM(_xlfn.TEXTSPLIT(Table26142567891112[[#This Row],[Selection Options]:[Selection Options]],","))),,T$11),"")</f>
        <v/>
      </c>
      <c r="U17" s="29" t="str" cm="1">
        <f t="array" ref="U17">IFERROR(INDEX(_xlfn.UNIQUE(TRIM(_xlfn.TEXTSPLIT(Table26142567891112[[#This Row],[Selection Options]:[Selection Options]],","))),,U$11),"")</f>
        <v/>
      </c>
      <c r="V17" s="29" t="str" cm="1">
        <f t="array" ref="V17">IFERROR(INDEX(_xlfn.UNIQUE(TRIM(_xlfn.TEXTSPLIT(Table26142567891112[[#This Row],[Selection Options]:[Selection Options]],","))),,V$11),"")</f>
        <v/>
      </c>
      <c r="W17" s="29" t="str" cm="1">
        <f t="array" ref="W17">IFERROR(INDEX(_xlfn.UNIQUE(TRIM(_xlfn.TEXTSPLIT(Table26142567891112[[#This Row],[Selection Options]:[Selection Options]],","))),,W$11),"")</f>
        <v/>
      </c>
      <c r="X17" s="29" t="str" cm="1">
        <f t="array" ref="X17">IFERROR(INDEX(_xlfn.UNIQUE(TRIM(_xlfn.TEXTSPLIT(Table26142567891112[[#This Row],[Selection Options]:[Selection Options]],","))),,X$11),"")</f>
        <v/>
      </c>
      <c r="Y17" s="30" cm="1">
        <f t="array" ref="Y17">IF(Table26142567891112[[#This Row],[1]]="","",Table26142567891112[[#This Row],[Weight]:[Weight]]-(Table26142567891112[[#This Row],[Weight]:[Weight]]*((_xlfn.XMATCH(Table26142567891112[[#This Row],[1]],Table26142567891112[[#This Row],[1]:[11]],0))-1)/(COUNTA(Table26142567891112[[#This Row],[1]:[11]])-COUNTBLANK(Table26142567891112[[#This Row],[1]:[11]])-1)))</f>
        <v>1.3725490196078429E-3</v>
      </c>
      <c r="Z17" s="30" cm="1">
        <f t="array" ref="Z17">IF(Table26142567891112[[#This Row],[2]]="","",Table26142567891112[[#This Row],[Weight]:[Weight]]-(Table26142567891112[[#This Row],[Weight]:[Weight]]*((_xlfn.XMATCH(Table26142567891112[[#This Row],[2]],Table26142567891112[[#This Row],[1]:[11]],0))-1)/(COUNTA(Table26142567891112[[#This Row],[1]:[11]])-COUNTBLANK(Table26142567891112[[#This Row],[1]:[11]])-1)))</f>
        <v>1.0294117647058822E-3</v>
      </c>
      <c r="AA17" s="30" cm="1">
        <f t="array" ref="AA17">IF(Table26142567891112[[#This Row],[3]]="","",Table26142567891112[[#This Row],[Weight]:[Weight]]-(Table26142567891112[[#This Row],[Weight]:[Weight]]*((_xlfn.XMATCH(Table26142567891112[[#This Row],[3]],Table26142567891112[[#This Row],[1]:[11]],0))-1)/(COUNTA(Table26142567891112[[#This Row],[1]:[11]])-COUNTBLANK(Table26142567891112[[#This Row],[1]:[11]])-1)))</f>
        <v>6.8627450980392147E-4</v>
      </c>
      <c r="AB17" s="30" cm="1">
        <f t="array" ref="AB17">IF(Table26142567891112[[#This Row],[4]]="","",Table26142567891112[[#This Row],[Weight]:[Weight]]-(Table26142567891112[[#This Row],[Weight]:[Weight]]*((_xlfn.XMATCH(Table26142567891112[[#This Row],[4]],Table26142567891112[[#This Row],[1]:[11]],0))-1)/(COUNTA(Table26142567891112[[#This Row],[1]:[11]])-COUNTBLANK(Table26142567891112[[#This Row],[1]:[11]])-1)))</f>
        <v>3.4313725490196074E-4</v>
      </c>
      <c r="AC17" s="30" cm="1">
        <f t="array" ref="AC17">IF(Table26142567891112[[#This Row],[5]]="","",Table26142567891112[[#This Row],[Weight]:[Weight]]-(Table26142567891112[[#This Row],[Weight]:[Weight]]*((_xlfn.XMATCH(Table26142567891112[[#This Row],[5]],Table26142567891112[[#This Row],[1]:[11]],0))-1)/(COUNTA(Table26142567891112[[#This Row],[1]:[11]])-COUNTBLANK(Table26142567891112[[#This Row],[1]:[11]])-1)))</f>
        <v>0</v>
      </c>
      <c r="AD17" s="30" t="str" cm="1">
        <f t="array" ref="AD17">IF(Table26142567891112[[#This Row],[6]]="","",Table26142567891112[[#This Row],[Weight]:[Weight]]-(Table26142567891112[[#This Row],[Weight]:[Weight]]*((_xlfn.XMATCH(Table26142567891112[[#This Row],[6]],Table26142567891112[[#This Row],[1]:[11]],0))-1)/(COUNTA(Table26142567891112[[#This Row],[1]:[11]])-COUNTBLANK(Table26142567891112[[#This Row],[1]:[11]])-1)))</f>
        <v/>
      </c>
      <c r="AE17" s="30" t="str" cm="1">
        <f t="array" ref="AE17">IF(Table26142567891112[[#This Row],[7]]="","",Table26142567891112[[#This Row],[Weight]:[Weight]]-(Table26142567891112[[#This Row],[Weight]:[Weight]]*((_xlfn.XMATCH(Table26142567891112[[#This Row],[7]],Table26142567891112[[#This Row],[1]:[11]],0))-1)/(COUNTA(Table26142567891112[[#This Row],[1]:[11]])-COUNTBLANK(Table26142567891112[[#This Row],[1]:[11]])-1)))</f>
        <v/>
      </c>
      <c r="AF17" s="30" t="str" cm="1">
        <f t="array" ref="AF17">IF(Table26142567891112[[#This Row],[8]]="","",Table26142567891112[[#This Row],[Weight]:[Weight]]-(Table26142567891112[[#This Row],[Weight]:[Weight]]*((_xlfn.XMATCH(Table26142567891112[[#This Row],[8]],Table26142567891112[[#This Row],[1]:[11]],0))-1)/(COUNTA(Table26142567891112[[#This Row],[1]:[11]])-COUNTBLANK(Table26142567891112[[#This Row],[1]:[11]])-1)))</f>
        <v/>
      </c>
      <c r="AG17" s="30" t="str" cm="1">
        <f t="array" ref="AG17">IF(Table26142567891112[[#This Row],[9]]="","",Table26142567891112[[#This Row],[Weight]:[Weight]]-(Table26142567891112[[#This Row],[Weight]:[Weight]]*((_xlfn.XMATCH(Table26142567891112[[#This Row],[9]],Table26142567891112[[#This Row],[1]:[11]],0))-1)/(COUNTA(Table26142567891112[[#This Row],[1]:[11]])-COUNTBLANK(Table26142567891112[[#This Row],[1]:[11]])-1)))</f>
        <v/>
      </c>
      <c r="AH17" s="30" t="str" cm="1">
        <f t="array" ref="AH17">IF(Table26142567891112[[#This Row],[10]]="","",Table26142567891112[[#This Row],[Weight]:[Weight]]-(Table26142567891112[[#This Row],[Weight]:[Weight]]*((_xlfn.XMATCH(Table26142567891112[[#This Row],[10]],Table26142567891112[[#This Row],[1]:[11]],0))-1)/(COUNTA(Table26142567891112[[#This Row],[1]:[11]])-COUNTBLANK(Table26142567891112[[#This Row],[1]:[11]])-1)))</f>
        <v/>
      </c>
      <c r="AI17" s="30" t="str" cm="1">
        <f t="array" ref="AI17">IF(Table26142567891112[[#This Row],[11]]="","",Table26142567891112[[#This Row],[Weight]:[Weight]]-(Table26142567891112[[#This Row],[Weight]:[Weight]]*((_xlfn.XMATCH(Table26142567891112[[#This Row],[11]],Table26142567891112[[#This Row],[1]:[11]],0))-1)/(COUNTA(Table26142567891112[[#This Row],[1]:[11]])-COUNTBLANK(Table26142567891112[[#This Row],[1]:[11]])-1)))</f>
        <v/>
      </c>
    </row>
    <row r="18" spans="1:35" ht="108" x14ac:dyDescent="0.2">
      <c r="A18" s="206">
        <v>6</v>
      </c>
      <c r="B18" s="242" t="s">
        <v>556</v>
      </c>
      <c r="C18" s="208" t="s">
        <v>215</v>
      </c>
      <c r="D18" s="218"/>
      <c r="E18" s="218"/>
      <c r="F18" s="219" t="s">
        <v>188</v>
      </c>
      <c r="G18" s="220" cm="1">
        <f t="array" ref="G18">_xlfn.IFS(F18="","",F18="No interest",0,F18="Nice to have",1,F18="Useful",2,F18="Important",3,F18="Very important",4,F18="Critical",5,F18="Show stopper",6)</f>
        <v>5</v>
      </c>
      <c r="H18" s="221">
        <f t="shared" ref="H18:H33" si="1">(G18/$G$11)*$F$11</f>
        <v>1.7156862745098037E-3</v>
      </c>
      <c r="I18" s="213" t="s">
        <v>548</v>
      </c>
      <c r="J18" s="222" t="str" cm="1">
        <f t="array" ref="J18">_xlfn.TEXTJOIN(","&amp;CHAR(10),,TEXT(Table26142567891112[[#This Row],[12]:[22]],"0,00%"))</f>
        <v>0,00%,
0,00%,
0,00%,
0,00%,
0,00%</v>
      </c>
      <c r="K18" s="223"/>
      <c r="L18" s="224" t="e">
        <f>H18-(H18*((MATCH(Table26142567891112[[#This Row],[Evaluators Response (SELECT)]],Table26142567891112[[#This Row],[1]:[11]],0)-1)/(COUNTA(Table26142567891112[[#This Row],[1]:[11]])-COUNTBLANK(Table26142567891112[[#This Row],[1]:[11]])-1)))</f>
        <v>#N/A</v>
      </c>
      <c r="M18" s="225"/>
      <c r="N18" s="29" t="str" cm="1">
        <f t="array" ref="N18">IFERROR(INDEX(_xlfn.UNIQUE(TRIM(_xlfn.TEXTSPLIT(Table26142567891112[[#This Row],[Selection Options]:[Selection Options]],","))),,N$11),"")</f>
        <v>100%: Supported as delivered "out of the box"</v>
      </c>
      <c r="O18" s="29" t="str" cm="1">
        <f t="array" ref="O18">IFERROR(INDEX(_xlfn.UNIQUE(TRIM(_xlfn.TEXTSPLIT(Table26142567891112[[#This Row],[Selection Options]:[Selection Options]],","))),,O$11),"")</f>
        <v xml:space="preserve">
75%: Supported via modifications (config)</v>
      </c>
      <c r="P18" s="29" t="str" cm="1">
        <f t="array" ref="P18">IFERROR(INDEX(_xlfn.UNIQUE(TRIM(_xlfn.TEXTSPLIT(Table26142567891112[[#This Row],[Selection Options]:[Selection Options]],","))),,P$11),"")</f>
        <v xml:space="preserve">
50%: Supported via a third party solution</v>
      </c>
      <c r="Q18" s="29" t="str" cm="1">
        <f t="array" ref="Q18">IFERROR(INDEX(_xlfn.UNIQUE(TRIM(_xlfn.TEXTSPLIT(Table26142567891112[[#This Row],[Selection Options]:[Selection Options]],","))),,Q$11),"")</f>
        <v xml:space="preserve">
25%: Supported via customisation (source code changes)</v>
      </c>
      <c r="R18" s="29" t="str" cm="1">
        <f t="array" ref="R18">IFERROR(INDEX(_xlfn.UNIQUE(TRIM(_xlfn.TEXTSPLIT(Table26142567891112[[#This Row],[Selection Options]:[Selection Options]],","))),,R$11),"")</f>
        <v>0%: Not currently supported</v>
      </c>
      <c r="S18" s="29" t="str" cm="1">
        <f t="array" ref="S18">IFERROR(INDEX(_xlfn.UNIQUE(TRIM(_xlfn.TEXTSPLIT(Table26142567891112[[#This Row],[Selection Options]:[Selection Options]],","))),,S$11),"")</f>
        <v/>
      </c>
      <c r="T18" s="29" t="str" cm="1">
        <f t="array" ref="T18">IFERROR(INDEX(_xlfn.UNIQUE(TRIM(_xlfn.TEXTSPLIT(Table26142567891112[[#This Row],[Selection Options]:[Selection Options]],","))),,T$11),"")</f>
        <v/>
      </c>
      <c r="U18" s="29" t="str" cm="1">
        <f t="array" ref="U18">IFERROR(INDEX(_xlfn.UNIQUE(TRIM(_xlfn.TEXTSPLIT(Table26142567891112[[#This Row],[Selection Options]:[Selection Options]],","))),,U$11),"")</f>
        <v/>
      </c>
      <c r="V18" s="29" t="str" cm="1">
        <f t="array" ref="V18">IFERROR(INDEX(_xlfn.UNIQUE(TRIM(_xlfn.TEXTSPLIT(Table26142567891112[[#This Row],[Selection Options]:[Selection Options]],","))),,V$11),"")</f>
        <v/>
      </c>
      <c r="W18" s="29" t="str" cm="1">
        <f t="array" ref="W18">IFERROR(INDEX(_xlfn.UNIQUE(TRIM(_xlfn.TEXTSPLIT(Table26142567891112[[#This Row],[Selection Options]:[Selection Options]],","))),,W$11),"")</f>
        <v/>
      </c>
      <c r="X18" s="29" t="str" cm="1">
        <f t="array" ref="X18">IFERROR(INDEX(_xlfn.UNIQUE(TRIM(_xlfn.TEXTSPLIT(Table26142567891112[[#This Row],[Selection Options]:[Selection Options]],","))),,X$11),"")</f>
        <v/>
      </c>
      <c r="Y18" s="30" cm="1">
        <f t="array" ref="Y18">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18" s="30" cm="1">
        <f t="array" ref="Z18">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18" s="30" cm="1">
        <f t="array" ref="AA18">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18" s="30" cm="1">
        <f t="array" ref="AB18">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18" s="30" cm="1">
        <f t="array" ref="AC18">IF(Table26142567891112[[#This Row],[5]]="","",Table26142567891112[[#This Row],[Weight]:[Weight]]-(Table26142567891112[[#This Row],[Weight]:[Weight]]*((_xlfn.XMATCH(Table26142567891112[[#This Row],[5]],Table26142567891112[[#This Row],[1]:[11]],0))-1)/(COUNTA(Table26142567891112[[#This Row],[1]:[11]])-COUNTBLANK(Table26142567891112[[#This Row],[1]:[11]])-1)))</f>
        <v>0</v>
      </c>
      <c r="AD18" s="30" t="str" cm="1">
        <f t="array" ref="AD18">IF(Table26142567891112[[#This Row],[6]]="","",Table26142567891112[[#This Row],[Weight]:[Weight]]-(Table26142567891112[[#This Row],[Weight]:[Weight]]*((_xlfn.XMATCH(Table26142567891112[[#This Row],[6]],Table26142567891112[[#This Row],[1]:[11]],0))-1)/(COUNTA(Table26142567891112[[#This Row],[1]:[11]])-COUNTBLANK(Table26142567891112[[#This Row],[1]:[11]])-1)))</f>
        <v/>
      </c>
      <c r="AE18" s="30" t="str" cm="1">
        <f t="array" ref="AE18">IF(Table26142567891112[[#This Row],[7]]="","",Table26142567891112[[#This Row],[Weight]:[Weight]]-(Table26142567891112[[#This Row],[Weight]:[Weight]]*((_xlfn.XMATCH(Table26142567891112[[#This Row],[7]],Table26142567891112[[#This Row],[1]:[11]],0))-1)/(COUNTA(Table26142567891112[[#This Row],[1]:[11]])-COUNTBLANK(Table26142567891112[[#This Row],[1]:[11]])-1)))</f>
        <v/>
      </c>
      <c r="AF18" s="30" t="str" cm="1">
        <f t="array" ref="AF18">IF(Table26142567891112[[#This Row],[8]]="","",Table26142567891112[[#This Row],[Weight]:[Weight]]-(Table26142567891112[[#This Row],[Weight]:[Weight]]*((_xlfn.XMATCH(Table26142567891112[[#This Row],[8]],Table26142567891112[[#This Row],[1]:[11]],0))-1)/(COUNTA(Table26142567891112[[#This Row],[1]:[11]])-COUNTBLANK(Table26142567891112[[#This Row],[1]:[11]])-1)))</f>
        <v/>
      </c>
      <c r="AG18" s="30" t="str" cm="1">
        <f t="array" ref="AG18">IF(Table26142567891112[[#This Row],[9]]="","",Table26142567891112[[#This Row],[Weight]:[Weight]]-(Table26142567891112[[#This Row],[Weight]:[Weight]]*((_xlfn.XMATCH(Table26142567891112[[#This Row],[9]],Table26142567891112[[#This Row],[1]:[11]],0))-1)/(COUNTA(Table26142567891112[[#This Row],[1]:[11]])-COUNTBLANK(Table26142567891112[[#This Row],[1]:[11]])-1)))</f>
        <v/>
      </c>
      <c r="AH18" s="30" t="str" cm="1">
        <f t="array" ref="AH18">IF(Table26142567891112[[#This Row],[10]]="","",Table26142567891112[[#This Row],[Weight]:[Weight]]-(Table26142567891112[[#This Row],[Weight]:[Weight]]*((_xlfn.XMATCH(Table26142567891112[[#This Row],[10]],Table26142567891112[[#This Row],[1]:[11]],0))-1)/(COUNTA(Table26142567891112[[#This Row],[1]:[11]])-COUNTBLANK(Table26142567891112[[#This Row],[1]:[11]])-1)))</f>
        <v/>
      </c>
      <c r="AI18" s="30" t="str" cm="1">
        <f t="array" ref="AI18">IF(Table26142567891112[[#This Row],[11]]="","",Table26142567891112[[#This Row],[Weight]:[Weight]]-(Table26142567891112[[#This Row],[Weight]:[Weight]]*((_xlfn.XMATCH(Table26142567891112[[#This Row],[11]],Table26142567891112[[#This Row],[1]:[11]],0))-1)/(COUNTA(Table26142567891112[[#This Row],[1]:[11]])-COUNTBLANK(Table26142567891112[[#This Row],[1]:[11]])-1)))</f>
        <v/>
      </c>
    </row>
    <row r="19" spans="1:35" ht="108" x14ac:dyDescent="0.2">
      <c r="A19" s="20">
        <v>7</v>
      </c>
      <c r="B19" s="119" t="s">
        <v>557</v>
      </c>
      <c r="C19" s="119" t="s">
        <v>215</v>
      </c>
      <c r="D19" s="147"/>
      <c r="E19" s="147"/>
      <c r="F19" s="121" t="s">
        <v>188</v>
      </c>
      <c r="G19" s="151" cm="1">
        <f t="array" ref="G19">_xlfn.IFS(F19="","",F19="No interest",0,F19="Nice to have",1,F19="Useful",2,F19="Important",3,F19="Very important",4,F19="Critical",5,F19="Show stopper",6)</f>
        <v>5</v>
      </c>
      <c r="H19" s="152">
        <f t="shared" si="1"/>
        <v>1.7156862745098037E-3</v>
      </c>
      <c r="I19" s="150" t="s">
        <v>548</v>
      </c>
      <c r="J19" s="35" t="str" cm="1">
        <f t="array" ref="J19">_xlfn.TEXTJOIN(","&amp;CHAR(10),,TEXT(Table26142567891112[[#This Row],[12]:[22]],"0,00%"))</f>
        <v>0,00%,
0,00%,
0,00%,
0,00%,
0,00%</v>
      </c>
      <c r="K19" s="36"/>
      <c r="L19" s="37" t="e">
        <f>H19-(H19*((MATCH(Table26142567891112[[#This Row],[Evaluators Response (SELECT)]],Table26142567891112[[#This Row],[1]:[11]],0)-1)/(COUNTA(Table26142567891112[[#This Row],[1]:[11]])-COUNTBLANK(Table26142567891112[[#This Row],[1]:[11]])-1)))</f>
        <v>#N/A</v>
      </c>
      <c r="M19" s="38"/>
      <c r="N19" s="29" t="str" cm="1">
        <f t="array" ref="N19">IFERROR(INDEX(_xlfn.UNIQUE(TRIM(_xlfn.TEXTSPLIT(Table26142567891112[[#This Row],[Selection Options]:[Selection Options]],","))),,N$11),"")</f>
        <v>100%: Supported as delivered "out of the box"</v>
      </c>
      <c r="O19" s="29" t="str" cm="1">
        <f t="array" ref="O19">IFERROR(INDEX(_xlfn.UNIQUE(TRIM(_xlfn.TEXTSPLIT(Table26142567891112[[#This Row],[Selection Options]:[Selection Options]],","))),,O$11),"")</f>
        <v xml:space="preserve">
75%: Supported via modifications (config)</v>
      </c>
      <c r="P19" s="29" t="str" cm="1">
        <f t="array" ref="P19">IFERROR(INDEX(_xlfn.UNIQUE(TRIM(_xlfn.TEXTSPLIT(Table26142567891112[[#This Row],[Selection Options]:[Selection Options]],","))),,P$11),"")</f>
        <v xml:space="preserve">
50%: Supported via a third party solution</v>
      </c>
      <c r="Q19" s="29" t="str" cm="1">
        <f t="array" ref="Q19">IFERROR(INDEX(_xlfn.UNIQUE(TRIM(_xlfn.TEXTSPLIT(Table26142567891112[[#This Row],[Selection Options]:[Selection Options]],","))),,Q$11),"")</f>
        <v xml:space="preserve">
25%: Supported via customisation (source code changes)</v>
      </c>
      <c r="R19" s="29" t="str" cm="1">
        <f t="array" ref="R19">IFERROR(INDEX(_xlfn.UNIQUE(TRIM(_xlfn.TEXTSPLIT(Table26142567891112[[#This Row],[Selection Options]:[Selection Options]],","))),,R$11),"")</f>
        <v>0%: Not currently supported</v>
      </c>
      <c r="S19" s="29" t="str" cm="1">
        <f t="array" ref="S19">IFERROR(INDEX(_xlfn.UNIQUE(TRIM(_xlfn.TEXTSPLIT(Table26142567891112[[#This Row],[Selection Options]:[Selection Options]],","))),,S$11),"")</f>
        <v/>
      </c>
      <c r="T19" s="29" t="str" cm="1">
        <f t="array" ref="T19">IFERROR(INDEX(_xlfn.UNIQUE(TRIM(_xlfn.TEXTSPLIT(Table26142567891112[[#This Row],[Selection Options]:[Selection Options]],","))),,T$11),"")</f>
        <v/>
      </c>
      <c r="U19" s="29" t="str" cm="1">
        <f t="array" ref="U19">IFERROR(INDEX(_xlfn.UNIQUE(TRIM(_xlfn.TEXTSPLIT(Table26142567891112[[#This Row],[Selection Options]:[Selection Options]],","))),,U$11),"")</f>
        <v/>
      </c>
      <c r="V19" s="29" t="str" cm="1">
        <f t="array" ref="V19">IFERROR(INDEX(_xlfn.UNIQUE(TRIM(_xlfn.TEXTSPLIT(Table26142567891112[[#This Row],[Selection Options]:[Selection Options]],","))),,V$11),"")</f>
        <v/>
      </c>
      <c r="W19" s="29" t="str" cm="1">
        <f t="array" ref="W19">IFERROR(INDEX(_xlfn.UNIQUE(TRIM(_xlfn.TEXTSPLIT(Table26142567891112[[#This Row],[Selection Options]:[Selection Options]],","))),,W$11),"")</f>
        <v/>
      </c>
      <c r="X19" s="29" t="str" cm="1">
        <f t="array" ref="X19">IFERROR(INDEX(_xlfn.UNIQUE(TRIM(_xlfn.TEXTSPLIT(Table26142567891112[[#This Row],[Selection Options]:[Selection Options]],","))),,X$11),"")</f>
        <v/>
      </c>
      <c r="Y19" s="30" cm="1">
        <f t="array" ref="Y19">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19" s="30" cm="1">
        <f t="array" ref="Z19">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19" s="30" cm="1">
        <f t="array" ref="AA19">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19" s="30" cm="1">
        <f t="array" ref="AB19">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19" s="30" cm="1">
        <f t="array" ref="AC19">IF(Table26142567891112[[#This Row],[5]]="","",Table26142567891112[[#This Row],[Weight]:[Weight]]-(Table26142567891112[[#This Row],[Weight]:[Weight]]*((_xlfn.XMATCH(Table26142567891112[[#This Row],[5]],Table26142567891112[[#This Row],[1]:[11]],0))-1)/(COUNTA(Table26142567891112[[#This Row],[1]:[11]])-COUNTBLANK(Table26142567891112[[#This Row],[1]:[11]])-1)))</f>
        <v>0</v>
      </c>
      <c r="AD19" s="30" t="str" cm="1">
        <f t="array" ref="AD19">IF(Table26142567891112[[#This Row],[6]]="","",Table26142567891112[[#This Row],[Weight]:[Weight]]-(Table26142567891112[[#This Row],[Weight]:[Weight]]*((_xlfn.XMATCH(Table26142567891112[[#This Row],[6]],Table26142567891112[[#This Row],[1]:[11]],0))-1)/(COUNTA(Table26142567891112[[#This Row],[1]:[11]])-COUNTBLANK(Table26142567891112[[#This Row],[1]:[11]])-1)))</f>
        <v/>
      </c>
      <c r="AE19" s="30" t="str" cm="1">
        <f t="array" ref="AE19">IF(Table26142567891112[[#This Row],[7]]="","",Table26142567891112[[#This Row],[Weight]:[Weight]]-(Table26142567891112[[#This Row],[Weight]:[Weight]]*((_xlfn.XMATCH(Table26142567891112[[#This Row],[7]],Table26142567891112[[#This Row],[1]:[11]],0))-1)/(COUNTA(Table26142567891112[[#This Row],[1]:[11]])-COUNTBLANK(Table26142567891112[[#This Row],[1]:[11]])-1)))</f>
        <v/>
      </c>
      <c r="AF19" s="30" t="str" cm="1">
        <f t="array" ref="AF19">IF(Table26142567891112[[#This Row],[8]]="","",Table26142567891112[[#This Row],[Weight]:[Weight]]-(Table26142567891112[[#This Row],[Weight]:[Weight]]*((_xlfn.XMATCH(Table26142567891112[[#This Row],[8]],Table26142567891112[[#This Row],[1]:[11]],0))-1)/(COUNTA(Table26142567891112[[#This Row],[1]:[11]])-COUNTBLANK(Table26142567891112[[#This Row],[1]:[11]])-1)))</f>
        <v/>
      </c>
      <c r="AG19" s="30" t="str" cm="1">
        <f t="array" ref="AG19">IF(Table26142567891112[[#This Row],[9]]="","",Table26142567891112[[#This Row],[Weight]:[Weight]]-(Table26142567891112[[#This Row],[Weight]:[Weight]]*((_xlfn.XMATCH(Table26142567891112[[#This Row],[9]],Table26142567891112[[#This Row],[1]:[11]],0))-1)/(COUNTA(Table26142567891112[[#This Row],[1]:[11]])-COUNTBLANK(Table26142567891112[[#This Row],[1]:[11]])-1)))</f>
        <v/>
      </c>
      <c r="AH19" s="30" t="str" cm="1">
        <f t="array" ref="AH19">IF(Table26142567891112[[#This Row],[10]]="","",Table26142567891112[[#This Row],[Weight]:[Weight]]-(Table26142567891112[[#This Row],[Weight]:[Weight]]*((_xlfn.XMATCH(Table26142567891112[[#This Row],[10]],Table26142567891112[[#This Row],[1]:[11]],0))-1)/(COUNTA(Table26142567891112[[#This Row],[1]:[11]])-COUNTBLANK(Table26142567891112[[#This Row],[1]:[11]])-1)))</f>
        <v/>
      </c>
      <c r="AI19" s="30" t="str" cm="1">
        <f t="array" ref="AI19">IF(Table26142567891112[[#This Row],[11]]="","",Table26142567891112[[#This Row],[Weight]:[Weight]]-(Table26142567891112[[#This Row],[Weight]:[Weight]]*((_xlfn.XMATCH(Table26142567891112[[#This Row],[11]],Table26142567891112[[#This Row],[1]:[11]],0))-1)/(COUNTA(Table26142567891112[[#This Row],[1]:[11]])-COUNTBLANK(Table26142567891112[[#This Row],[1]:[11]])-1)))</f>
        <v/>
      </c>
    </row>
    <row r="20" spans="1:35" ht="108" x14ac:dyDescent="0.2">
      <c r="A20" s="206">
        <v>8</v>
      </c>
      <c r="B20" s="226" t="s">
        <v>558</v>
      </c>
      <c r="C20" s="208" t="s">
        <v>215</v>
      </c>
      <c r="D20" s="218"/>
      <c r="E20" s="218"/>
      <c r="F20" s="219" t="s">
        <v>555</v>
      </c>
      <c r="G20" s="220" cm="1">
        <f t="array" ref="G20">_xlfn.IFS(F20="","",F20="No interest",0,F20="Nice to have",1,F20="Useful",2,F20="Important",3,F20="Very important",4,F20="Critical",5,F20="Show stopper",6)</f>
        <v>4</v>
      </c>
      <c r="H20" s="221">
        <f t="shared" si="1"/>
        <v>1.3725490196078429E-3</v>
      </c>
      <c r="I20" s="213" t="s">
        <v>548</v>
      </c>
      <c r="J20" s="222" t="str" cm="1">
        <f t="array" ref="J20">_xlfn.TEXTJOIN(","&amp;CHAR(10),,TEXT(Table26142567891112[[#This Row],[12]:[22]],"0,00%"))</f>
        <v>0,00%,
0,00%,
0,00%,
0,00%,
0,00%</v>
      </c>
      <c r="K20" s="223"/>
      <c r="L20" s="224" t="e">
        <f>H20-(H20*((MATCH(Table26142567891112[[#This Row],[Evaluators Response (SELECT)]],Table26142567891112[[#This Row],[1]:[11]],0)-1)/(COUNTA(Table26142567891112[[#This Row],[1]:[11]])-COUNTBLANK(Table26142567891112[[#This Row],[1]:[11]])-1)))</f>
        <v>#N/A</v>
      </c>
      <c r="M20" s="225"/>
      <c r="N20" s="29" t="str" cm="1">
        <f t="array" ref="N20">IFERROR(INDEX(_xlfn.UNIQUE(TRIM(_xlfn.TEXTSPLIT(Table26142567891112[[#This Row],[Selection Options]:[Selection Options]],","))),,N$11),"")</f>
        <v>100%: Supported as delivered "out of the box"</v>
      </c>
      <c r="O20" s="29" t="str" cm="1">
        <f t="array" ref="O20">IFERROR(INDEX(_xlfn.UNIQUE(TRIM(_xlfn.TEXTSPLIT(Table26142567891112[[#This Row],[Selection Options]:[Selection Options]],","))),,O$11),"")</f>
        <v xml:space="preserve">
75%: Supported via modifications (config)</v>
      </c>
      <c r="P20" s="29" t="str" cm="1">
        <f t="array" ref="P20">IFERROR(INDEX(_xlfn.UNIQUE(TRIM(_xlfn.TEXTSPLIT(Table26142567891112[[#This Row],[Selection Options]:[Selection Options]],","))),,P$11),"")</f>
        <v xml:space="preserve">
50%: Supported via a third party solution</v>
      </c>
      <c r="Q20" s="29" t="str" cm="1">
        <f t="array" ref="Q20">IFERROR(INDEX(_xlfn.UNIQUE(TRIM(_xlfn.TEXTSPLIT(Table26142567891112[[#This Row],[Selection Options]:[Selection Options]],","))),,Q$11),"")</f>
        <v xml:space="preserve">
25%: Supported via customisation (source code changes)</v>
      </c>
      <c r="R20" s="29" t="str" cm="1">
        <f t="array" ref="R20">IFERROR(INDEX(_xlfn.UNIQUE(TRIM(_xlfn.TEXTSPLIT(Table26142567891112[[#This Row],[Selection Options]:[Selection Options]],","))),,R$11),"")</f>
        <v>0%: Not currently supported</v>
      </c>
      <c r="S20" s="29" t="str" cm="1">
        <f t="array" ref="S20">IFERROR(INDEX(_xlfn.UNIQUE(TRIM(_xlfn.TEXTSPLIT(Table26142567891112[[#This Row],[Selection Options]:[Selection Options]],","))),,S$11),"")</f>
        <v/>
      </c>
      <c r="T20" s="29" t="str" cm="1">
        <f t="array" ref="T20">IFERROR(INDEX(_xlfn.UNIQUE(TRIM(_xlfn.TEXTSPLIT(Table26142567891112[[#This Row],[Selection Options]:[Selection Options]],","))),,T$11),"")</f>
        <v/>
      </c>
      <c r="U20" s="29" t="str" cm="1">
        <f t="array" ref="U20">IFERROR(INDEX(_xlfn.UNIQUE(TRIM(_xlfn.TEXTSPLIT(Table26142567891112[[#This Row],[Selection Options]:[Selection Options]],","))),,U$11),"")</f>
        <v/>
      </c>
      <c r="V20" s="29" t="str" cm="1">
        <f t="array" ref="V20">IFERROR(INDEX(_xlfn.UNIQUE(TRIM(_xlfn.TEXTSPLIT(Table26142567891112[[#This Row],[Selection Options]:[Selection Options]],","))),,V$11),"")</f>
        <v/>
      </c>
      <c r="W20" s="29" t="str" cm="1">
        <f t="array" ref="W20">IFERROR(INDEX(_xlfn.UNIQUE(TRIM(_xlfn.TEXTSPLIT(Table26142567891112[[#This Row],[Selection Options]:[Selection Options]],","))),,W$11),"")</f>
        <v/>
      </c>
      <c r="X20" s="29" t="str" cm="1">
        <f t="array" ref="X20">IFERROR(INDEX(_xlfn.UNIQUE(TRIM(_xlfn.TEXTSPLIT(Table26142567891112[[#This Row],[Selection Options]:[Selection Options]],","))),,X$11),"")</f>
        <v/>
      </c>
      <c r="Y20" s="30" cm="1">
        <f t="array" ref="Y20">IF(Table26142567891112[[#This Row],[1]]="","",Table26142567891112[[#This Row],[Weight]:[Weight]]-(Table26142567891112[[#This Row],[Weight]:[Weight]]*((_xlfn.XMATCH(Table26142567891112[[#This Row],[1]],Table26142567891112[[#This Row],[1]:[11]],0))-1)/(COUNTA(Table26142567891112[[#This Row],[1]:[11]])-COUNTBLANK(Table26142567891112[[#This Row],[1]:[11]])-1)))</f>
        <v>1.3725490196078429E-3</v>
      </c>
      <c r="Z20" s="30" cm="1">
        <f t="array" ref="Z20">IF(Table26142567891112[[#This Row],[2]]="","",Table26142567891112[[#This Row],[Weight]:[Weight]]-(Table26142567891112[[#This Row],[Weight]:[Weight]]*((_xlfn.XMATCH(Table26142567891112[[#This Row],[2]],Table26142567891112[[#This Row],[1]:[11]],0))-1)/(COUNTA(Table26142567891112[[#This Row],[1]:[11]])-COUNTBLANK(Table26142567891112[[#This Row],[1]:[11]])-1)))</f>
        <v>1.0294117647058822E-3</v>
      </c>
      <c r="AA20" s="30" cm="1">
        <f t="array" ref="AA20">IF(Table26142567891112[[#This Row],[3]]="","",Table26142567891112[[#This Row],[Weight]:[Weight]]-(Table26142567891112[[#This Row],[Weight]:[Weight]]*((_xlfn.XMATCH(Table26142567891112[[#This Row],[3]],Table26142567891112[[#This Row],[1]:[11]],0))-1)/(COUNTA(Table26142567891112[[#This Row],[1]:[11]])-COUNTBLANK(Table26142567891112[[#This Row],[1]:[11]])-1)))</f>
        <v>6.8627450980392147E-4</v>
      </c>
      <c r="AB20" s="30" cm="1">
        <f t="array" ref="AB20">IF(Table26142567891112[[#This Row],[4]]="","",Table26142567891112[[#This Row],[Weight]:[Weight]]-(Table26142567891112[[#This Row],[Weight]:[Weight]]*((_xlfn.XMATCH(Table26142567891112[[#This Row],[4]],Table26142567891112[[#This Row],[1]:[11]],0))-1)/(COUNTA(Table26142567891112[[#This Row],[1]:[11]])-COUNTBLANK(Table26142567891112[[#This Row],[1]:[11]])-1)))</f>
        <v>3.4313725490196074E-4</v>
      </c>
      <c r="AC20" s="30" cm="1">
        <f t="array" ref="AC20">IF(Table26142567891112[[#This Row],[5]]="","",Table26142567891112[[#This Row],[Weight]:[Weight]]-(Table26142567891112[[#This Row],[Weight]:[Weight]]*((_xlfn.XMATCH(Table26142567891112[[#This Row],[5]],Table26142567891112[[#This Row],[1]:[11]],0))-1)/(COUNTA(Table26142567891112[[#This Row],[1]:[11]])-COUNTBLANK(Table26142567891112[[#This Row],[1]:[11]])-1)))</f>
        <v>0</v>
      </c>
      <c r="AD20" s="30" t="str" cm="1">
        <f t="array" ref="AD20">IF(Table26142567891112[[#This Row],[6]]="","",Table26142567891112[[#This Row],[Weight]:[Weight]]-(Table26142567891112[[#This Row],[Weight]:[Weight]]*((_xlfn.XMATCH(Table26142567891112[[#This Row],[6]],Table26142567891112[[#This Row],[1]:[11]],0))-1)/(COUNTA(Table26142567891112[[#This Row],[1]:[11]])-COUNTBLANK(Table26142567891112[[#This Row],[1]:[11]])-1)))</f>
        <v/>
      </c>
      <c r="AE20" s="30" t="str" cm="1">
        <f t="array" ref="AE20">IF(Table26142567891112[[#This Row],[7]]="","",Table26142567891112[[#This Row],[Weight]:[Weight]]-(Table26142567891112[[#This Row],[Weight]:[Weight]]*((_xlfn.XMATCH(Table26142567891112[[#This Row],[7]],Table26142567891112[[#This Row],[1]:[11]],0))-1)/(COUNTA(Table26142567891112[[#This Row],[1]:[11]])-COUNTBLANK(Table26142567891112[[#This Row],[1]:[11]])-1)))</f>
        <v/>
      </c>
      <c r="AF20" s="30" t="str" cm="1">
        <f t="array" ref="AF20">IF(Table26142567891112[[#This Row],[8]]="","",Table26142567891112[[#This Row],[Weight]:[Weight]]-(Table26142567891112[[#This Row],[Weight]:[Weight]]*((_xlfn.XMATCH(Table26142567891112[[#This Row],[8]],Table26142567891112[[#This Row],[1]:[11]],0))-1)/(COUNTA(Table26142567891112[[#This Row],[1]:[11]])-COUNTBLANK(Table26142567891112[[#This Row],[1]:[11]])-1)))</f>
        <v/>
      </c>
      <c r="AG20" s="30" t="str" cm="1">
        <f t="array" ref="AG20">IF(Table26142567891112[[#This Row],[9]]="","",Table26142567891112[[#This Row],[Weight]:[Weight]]-(Table26142567891112[[#This Row],[Weight]:[Weight]]*((_xlfn.XMATCH(Table26142567891112[[#This Row],[9]],Table26142567891112[[#This Row],[1]:[11]],0))-1)/(COUNTA(Table26142567891112[[#This Row],[1]:[11]])-COUNTBLANK(Table26142567891112[[#This Row],[1]:[11]])-1)))</f>
        <v/>
      </c>
      <c r="AH20" s="30" t="str" cm="1">
        <f t="array" ref="AH20">IF(Table26142567891112[[#This Row],[10]]="","",Table26142567891112[[#This Row],[Weight]:[Weight]]-(Table26142567891112[[#This Row],[Weight]:[Weight]]*((_xlfn.XMATCH(Table26142567891112[[#This Row],[10]],Table26142567891112[[#This Row],[1]:[11]],0))-1)/(COUNTA(Table26142567891112[[#This Row],[1]:[11]])-COUNTBLANK(Table26142567891112[[#This Row],[1]:[11]])-1)))</f>
        <v/>
      </c>
      <c r="AI20" s="30" t="str" cm="1">
        <f t="array" ref="AI20">IF(Table26142567891112[[#This Row],[11]]="","",Table26142567891112[[#This Row],[Weight]:[Weight]]-(Table26142567891112[[#This Row],[Weight]:[Weight]]*((_xlfn.XMATCH(Table26142567891112[[#This Row],[11]],Table26142567891112[[#This Row],[1]:[11]],0))-1)/(COUNTA(Table26142567891112[[#This Row],[1]:[11]])-COUNTBLANK(Table26142567891112[[#This Row],[1]:[11]])-1)))</f>
        <v/>
      </c>
    </row>
    <row r="21" spans="1:35" ht="108" x14ac:dyDescent="0.2">
      <c r="A21" s="227">
        <v>9</v>
      </c>
      <c r="B21" s="228" t="s">
        <v>559</v>
      </c>
      <c r="C21" s="228" t="s">
        <v>215</v>
      </c>
      <c r="D21" s="229"/>
      <c r="E21" s="229"/>
      <c r="F21" s="230" t="s">
        <v>56</v>
      </c>
      <c r="G21" s="231" cm="1">
        <f t="array" ref="G21">_xlfn.IFS(F21="","",F21="No interest",0,F21="Nice to have",1,F21="Useful",2,F21="Important",3,F21="Very important",4,F21="Critical",5,F21="Show stopper",6)</f>
        <v>3</v>
      </c>
      <c r="H21" s="232">
        <f t="shared" si="1"/>
        <v>1.0294117647058822E-3</v>
      </c>
      <c r="I21" s="233" t="s">
        <v>548</v>
      </c>
      <c r="J21" s="234" t="str" cm="1">
        <f t="array" ref="J21">_xlfn.TEXTJOIN(","&amp;CHAR(10),,TEXT(Table26142567891112[[#This Row],[12]:[22]],"0,00%"))</f>
        <v>0,00%,
0,00%,
0,00%,
0,00%,
0,00%</v>
      </c>
      <c r="K21" s="235"/>
      <c r="L21" s="236" t="e">
        <f>H21-(H21*((MATCH(Table26142567891112[[#This Row],[Evaluators Response (SELECT)]],Table26142567891112[[#This Row],[1]:[11]],0)-1)/(COUNTA(Table26142567891112[[#This Row],[1]:[11]])-COUNTBLANK(Table26142567891112[[#This Row],[1]:[11]])-1)))</f>
        <v>#N/A</v>
      </c>
      <c r="M21" s="237"/>
      <c r="N21" s="29" t="str" cm="1">
        <f t="array" ref="N21">IFERROR(INDEX(_xlfn.UNIQUE(TRIM(_xlfn.TEXTSPLIT(Table26142567891112[[#This Row],[Selection Options]:[Selection Options]],","))),,N$11),"")</f>
        <v>100%: Supported as delivered "out of the box"</v>
      </c>
      <c r="O21" s="29" t="str" cm="1">
        <f t="array" ref="O21">IFERROR(INDEX(_xlfn.UNIQUE(TRIM(_xlfn.TEXTSPLIT(Table26142567891112[[#This Row],[Selection Options]:[Selection Options]],","))),,O$11),"")</f>
        <v xml:space="preserve">
75%: Supported via modifications (config)</v>
      </c>
      <c r="P21" s="29" t="str" cm="1">
        <f t="array" ref="P21">IFERROR(INDEX(_xlfn.UNIQUE(TRIM(_xlfn.TEXTSPLIT(Table26142567891112[[#This Row],[Selection Options]:[Selection Options]],","))),,P$11),"")</f>
        <v xml:space="preserve">
50%: Supported via a third party solution</v>
      </c>
      <c r="Q21" s="29" t="str" cm="1">
        <f t="array" ref="Q21">IFERROR(INDEX(_xlfn.UNIQUE(TRIM(_xlfn.TEXTSPLIT(Table26142567891112[[#This Row],[Selection Options]:[Selection Options]],","))),,Q$11),"")</f>
        <v xml:space="preserve">
25%: Supported via customisation (source code changes)</v>
      </c>
      <c r="R21" s="29" t="str" cm="1">
        <f t="array" ref="R21">IFERROR(INDEX(_xlfn.UNIQUE(TRIM(_xlfn.TEXTSPLIT(Table26142567891112[[#This Row],[Selection Options]:[Selection Options]],","))),,R$11),"")</f>
        <v>0%: Not currently supported</v>
      </c>
      <c r="S21" s="29" t="str" cm="1">
        <f t="array" ref="S21">IFERROR(INDEX(_xlfn.UNIQUE(TRIM(_xlfn.TEXTSPLIT(Table26142567891112[[#This Row],[Selection Options]:[Selection Options]],","))),,S$11),"")</f>
        <v/>
      </c>
      <c r="T21" s="29" t="str" cm="1">
        <f t="array" ref="T21">IFERROR(INDEX(_xlfn.UNIQUE(TRIM(_xlfn.TEXTSPLIT(Table26142567891112[[#This Row],[Selection Options]:[Selection Options]],","))),,T$11),"")</f>
        <v/>
      </c>
      <c r="U21" s="29" t="str" cm="1">
        <f t="array" ref="U21">IFERROR(INDEX(_xlfn.UNIQUE(TRIM(_xlfn.TEXTSPLIT(Table26142567891112[[#This Row],[Selection Options]:[Selection Options]],","))),,U$11),"")</f>
        <v/>
      </c>
      <c r="V21" s="29" t="str" cm="1">
        <f t="array" ref="V21">IFERROR(INDEX(_xlfn.UNIQUE(TRIM(_xlfn.TEXTSPLIT(Table26142567891112[[#This Row],[Selection Options]:[Selection Options]],","))),,V$11),"")</f>
        <v/>
      </c>
      <c r="W21" s="29" t="str" cm="1">
        <f t="array" ref="W21">IFERROR(INDEX(_xlfn.UNIQUE(TRIM(_xlfn.TEXTSPLIT(Table26142567891112[[#This Row],[Selection Options]:[Selection Options]],","))),,W$11),"")</f>
        <v/>
      </c>
      <c r="X21" s="29" t="str" cm="1">
        <f t="array" ref="X21">IFERROR(INDEX(_xlfn.UNIQUE(TRIM(_xlfn.TEXTSPLIT(Table26142567891112[[#This Row],[Selection Options]:[Selection Options]],","))),,X$11),"")</f>
        <v/>
      </c>
      <c r="Y21" s="30" cm="1">
        <f t="array" ref="Y21">IF(Table26142567891112[[#This Row],[1]]="","",Table26142567891112[[#This Row],[Weight]:[Weight]]-(Table26142567891112[[#This Row],[Weight]:[Weight]]*((_xlfn.XMATCH(Table26142567891112[[#This Row],[1]],Table26142567891112[[#This Row],[1]:[11]],0))-1)/(COUNTA(Table26142567891112[[#This Row],[1]:[11]])-COUNTBLANK(Table26142567891112[[#This Row],[1]:[11]])-1)))</f>
        <v>1.0294117647058822E-3</v>
      </c>
      <c r="Z21" s="30" cm="1">
        <f t="array" ref="Z21">IF(Table26142567891112[[#This Row],[2]]="","",Table26142567891112[[#This Row],[Weight]:[Weight]]-(Table26142567891112[[#This Row],[Weight]:[Weight]]*((_xlfn.XMATCH(Table26142567891112[[#This Row],[2]],Table26142567891112[[#This Row],[1]:[11]],0))-1)/(COUNTA(Table26142567891112[[#This Row],[1]:[11]])-COUNTBLANK(Table26142567891112[[#This Row],[1]:[11]])-1)))</f>
        <v>7.7205882352941171E-4</v>
      </c>
      <c r="AA21" s="30" cm="1">
        <f t="array" ref="AA21">IF(Table26142567891112[[#This Row],[3]]="","",Table26142567891112[[#This Row],[Weight]:[Weight]]-(Table26142567891112[[#This Row],[Weight]:[Weight]]*((_xlfn.XMATCH(Table26142567891112[[#This Row],[3]],Table26142567891112[[#This Row],[1]:[11]],0))-1)/(COUNTA(Table26142567891112[[#This Row],[1]:[11]])-COUNTBLANK(Table26142567891112[[#This Row],[1]:[11]])-1)))</f>
        <v>5.147058823529411E-4</v>
      </c>
      <c r="AB21" s="30" cm="1">
        <f t="array" ref="AB21">IF(Table26142567891112[[#This Row],[4]]="","",Table26142567891112[[#This Row],[Weight]:[Weight]]-(Table26142567891112[[#This Row],[Weight]:[Weight]]*((_xlfn.XMATCH(Table26142567891112[[#This Row],[4]],Table26142567891112[[#This Row],[1]:[11]],0))-1)/(COUNTA(Table26142567891112[[#This Row],[1]:[11]])-COUNTBLANK(Table26142567891112[[#This Row],[1]:[11]])-1)))</f>
        <v>2.573529411764705E-4</v>
      </c>
      <c r="AC21" s="30" cm="1">
        <f t="array" ref="AC21">IF(Table26142567891112[[#This Row],[5]]="","",Table26142567891112[[#This Row],[Weight]:[Weight]]-(Table26142567891112[[#This Row],[Weight]:[Weight]]*((_xlfn.XMATCH(Table26142567891112[[#This Row],[5]],Table26142567891112[[#This Row],[1]:[11]],0))-1)/(COUNTA(Table26142567891112[[#This Row],[1]:[11]])-COUNTBLANK(Table26142567891112[[#This Row],[1]:[11]])-1)))</f>
        <v>0</v>
      </c>
      <c r="AD21" s="30" t="str" cm="1">
        <f t="array" ref="AD21">IF(Table26142567891112[[#This Row],[6]]="","",Table26142567891112[[#This Row],[Weight]:[Weight]]-(Table26142567891112[[#This Row],[Weight]:[Weight]]*((_xlfn.XMATCH(Table26142567891112[[#This Row],[6]],Table26142567891112[[#This Row],[1]:[11]],0))-1)/(COUNTA(Table26142567891112[[#This Row],[1]:[11]])-COUNTBLANK(Table26142567891112[[#This Row],[1]:[11]])-1)))</f>
        <v/>
      </c>
      <c r="AE21" s="30" t="str" cm="1">
        <f t="array" ref="AE21">IF(Table26142567891112[[#This Row],[7]]="","",Table26142567891112[[#This Row],[Weight]:[Weight]]-(Table26142567891112[[#This Row],[Weight]:[Weight]]*((_xlfn.XMATCH(Table26142567891112[[#This Row],[7]],Table26142567891112[[#This Row],[1]:[11]],0))-1)/(COUNTA(Table26142567891112[[#This Row],[1]:[11]])-COUNTBLANK(Table26142567891112[[#This Row],[1]:[11]])-1)))</f>
        <v/>
      </c>
      <c r="AF21" s="30" t="str" cm="1">
        <f t="array" ref="AF21">IF(Table26142567891112[[#This Row],[8]]="","",Table26142567891112[[#This Row],[Weight]:[Weight]]-(Table26142567891112[[#This Row],[Weight]:[Weight]]*((_xlfn.XMATCH(Table26142567891112[[#This Row],[8]],Table26142567891112[[#This Row],[1]:[11]],0))-1)/(COUNTA(Table26142567891112[[#This Row],[1]:[11]])-COUNTBLANK(Table26142567891112[[#This Row],[1]:[11]])-1)))</f>
        <v/>
      </c>
      <c r="AG21" s="30" t="str" cm="1">
        <f t="array" ref="AG21">IF(Table26142567891112[[#This Row],[9]]="","",Table26142567891112[[#This Row],[Weight]:[Weight]]-(Table26142567891112[[#This Row],[Weight]:[Weight]]*((_xlfn.XMATCH(Table26142567891112[[#This Row],[9]],Table26142567891112[[#This Row],[1]:[11]],0))-1)/(COUNTA(Table26142567891112[[#This Row],[1]:[11]])-COUNTBLANK(Table26142567891112[[#This Row],[1]:[11]])-1)))</f>
        <v/>
      </c>
      <c r="AH21" s="30" t="str" cm="1">
        <f t="array" ref="AH21">IF(Table26142567891112[[#This Row],[10]]="","",Table26142567891112[[#This Row],[Weight]:[Weight]]-(Table26142567891112[[#This Row],[Weight]:[Weight]]*((_xlfn.XMATCH(Table26142567891112[[#This Row],[10]],Table26142567891112[[#This Row],[1]:[11]],0))-1)/(COUNTA(Table26142567891112[[#This Row],[1]:[11]])-COUNTBLANK(Table26142567891112[[#This Row],[1]:[11]])-1)))</f>
        <v/>
      </c>
      <c r="AI21" s="30" t="str" cm="1">
        <f t="array" ref="AI21">IF(Table26142567891112[[#This Row],[11]]="","",Table26142567891112[[#This Row],[Weight]:[Weight]]-(Table26142567891112[[#This Row],[Weight]:[Weight]]*((_xlfn.XMATCH(Table26142567891112[[#This Row],[11]],Table26142567891112[[#This Row],[1]:[11]],0))-1)/(COUNTA(Table26142567891112[[#This Row],[1]:[11]])-COUNTBLANK(Table26142567891112[[#This Row],[1]:[11]])-1)))</f>
        <v/>
      </c>
    </row>
    <row r="22" spans="1:35" ht="108" x14ac:dyDescent="0.2">
      <c r="A22" s="206">
        <v>10</v>
      </c>
      <c r="B22" s="208" t="s">
        <v>560</v>
      </c>
      <c r="C22" s="208" t="s">
        <v>215</v>
      </c>
      <c r="D22" s="209"/>
      <c r="E22" s="209"/>
      <c r="F22" s="219" t="s">
        <v>188</v>
      </c>
      <c r="G22" s="211" cm="1">
        <f t="array" ref="G22">_xlfn.IFS(F22="","",F22="No interest",0,F22="Nice to have",1,F22="Useful",2,F22="Important",3,F22="Very important",4,F22="Critical",5,F22="Show stopper",6)</f>
        <v>5</v>
      </c>
      <c r="H22" s="212">
        <f t="shared" si="1"/>
        <v>1.7156862745098037E-3</v>
      </c>
      <c r="I22" s="213" t="s">
        <v>548</v>
      </c>
      <c r="J22" s="222" t="str" cm="1">
        <f t="array" ref="J22">_xlfn.TEXTJOIN(","&amp;CHAR(10),,TEXT(Table26142567891112[[#This Row],[12]:[22]],"0,00%"))</f>
        <v>0,00%,
0,00%,
0,00%,
0,00%,
0,00%</v>
      </c>
      <c r="K22" s="223"/>
      <c r="L22" s="216" t="e">
        <f>H22-(H22*((MATCH(Table26142567891112[[#This Row],[Evaluators Response (SELECT)]],Table26142567891112[[#This Row],[1]:[11]],0)-1)/(COUNTA(Table26142567891112[[#This Row],[1]:[11]])-COUNTBLANK(Table26142567891112[[#This Row],[1]:[11]])-1)))</f>
        <v>#N/A</v>
      </c>
      <c r="M22" s="217"/>
      <c r="N22" s="29" t="str" cm="1">
        <f t="array" ref="N22">IFERROR(INDEX(_xlfn.UNIQUE(TRIM(_xlfn.TEXTSPLIT(Table26142567891112[[#This Row],[Selection Options]:[Selection Options]],","))),,N$11),"")</f>
        <v>100%: Supported as delivered "out of the box"</v>
      </c>
      <c r="O22" s="29" t="str" cm="1">
        <f t="array" ref="O22">IFERROR(INDEX(_xlfn.UNIQUE(TRIM(_xlfn.TEXTSPLIT(Table26142567891112[[#This Row],[Selection Options]:[Selection Options]],","))),,O$11),"")</f>
        <v xml:space="preserve">
75%: Supported via modifications (config)</v>
      </c>
      <c r="P22" s="29" t="str" cm="1">
        <f t="array" ref="P22">IFERROR(INDEX(_xlfn.UNIQUE(TRIM(_xlfn.TEXTSPLIT(Table26142567891112[[#This Row],[Selection Options]:[Selection Options]],","))),,P$11),"")</f>
        <v xml:space="preserve">
50%: Supported via a third party solution</v>
      </c>
      <c r="Q22" s="29" t="str" cm="1">
        <f t="array" ref="Q22">IFERROR(INDEX(_xlfn.UNIQUE(TRIM(_xlfn.TEXTSPLIT(Table26142567891112[[#This Row],[Selection Options]:[Selection Options]],","))),,Q$11),"")</f>
        <v xml:space="preserve">
25%: Supported via customisation (source code changes)</v>
      </c>
      <c r="R22" s="29" t="str" cm="1">
        <f t="array" ref="R22">IFERROR(INDEX(_xlfn.UNIQUE(TRIM(_xlfn.TEXTSPLIT(Table26142567891112[[#This Row],[Selection Options]:[Selection Options]],","))),,R$11),"")</f>
        <v>0%: Not currently supported</v>
      </c>
      <c r="S22" s="29" t="str" cm="1">
        <f t="array" ref="S22">IFERROR(INDEX(_xlfn.UNIQUE(TRIM(_xlfn.TEXTSPLIT(Table26142567891112[[#This Row],[Selection Options]:[Selection Options]],","))),,S$11),"")</f>
        <v/>
      </c>
      <c r="T22" s="29" t="str" cm="1">
        <f t="array" ref="T22">IFERROR(INDEX(_xlfn.UNIQUE(TRIM(_xlfn.TEXTSPLIT(Table26142567891112[[#This Row],[Selection Options]:[Selection Options]],","))),,T$11),"")</f>
        <v/>
      </c>
      <c r="U22" s="29" t="str" cm="1">
        <f t="array" ref="U22">IFERROR(INDEX(_xlfn.UNIQUE(TRIM(_xlfn.TEXTSPLIT(Table26142567891112[[#This Row],[Selection Options]:[Selection Options]],","))),,U$11),"")</f>
        <v/>
      </c>
      <c r="V22" s="29" t="str" cm="1">
        <f t="array" ref="V22">IFERROR(INDEX(_xlfn.UNIQUE(TRIM(_xlfn.TEXTSPLIT(Table26142567891112[[#This Row],[Selection Options]:[Selection Options]],","))),,V$11),"")</f>
        <v/>
      </c>
      <c r="W22" s="29" t="str" cm="1">
        <f t="array" ref="W22">IFERROR(INDEX(_xlfn.UNIQUE(TRIM(_xlfn.TEXTSPLIT(Table26142567891112[[#This Row],[Selection Options]:[Selection Options]],","))),,W$11),"")</f>
        <v/>
      </c>
      <c r="X22" s="29" t="str" cm="1">
        <f t="array" ref="X22">IFERROR(INDEX(_xlfn.UNIQUE(TRIM(_xlfn.TEXTSPLIT(Table26142567891112[[#This Row],[Selection Options]:[Selection Options]],","))),,X$11),"")</f>
        <v/>
      </c>
      <c r="Y22" s="30" cm="1">
        <f t="array" ref="Y22">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2" s="30" cm="1">
        <f t="array" ref="Z22">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2" s="30" cm="1">
        <f t="array" ref="AA22">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2" s="30" cm="1">
        <f t="array" ref="AB22">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2" s="30" cm="1">
        <f t="array" ref="AC22">IF(Table26142567891112[[#This Row],[5]]="","",Table26142567891112[[#This Row],[Weight]:[Weight]]-(Table26142567891112[[#This Row],[Weight]:[Weight]]*((_xlfn.XMATCH(Table26142567891112[[#This Row],[5]],Table26142567891112[[#This Row],[1]:[11]],0))-1)/(COUNTA(Table26142567891112[[#This Row],[1]:[11]])-COUNTBLANK(Table26142567891112[[#This Row],[1]:[11]])-1)))</f>
        <v>0</v>
      </c>
      <c r="AD22" s="30" t="str" cm="1">
        <f t="array" ref="AD22">IF(Table26142567891112[[#This Row],[6]]="","",Table26142567891112[[#This Row],[Weight]:[Weight]]-(Table26142567891112[[#This Row],[Weight]:[Weight]]*((_xlfn.XMATCH(Table26142567891112[[#This Row],[6]],Table26142567891112[[#This Row],[1]:[11]],0))-1)/(COUNTA(Table26142567891112[[#This Row],[1]:[11]])-COUNTBLANK(Table26142567891112[[#This Row],[1]:[11]])-1)))</f>
        <v/>
      </c>
      <c r="AE22" s="30" t="str" cm="1">
        <f t="array" ref="AE22">IF(Table26142567891112[[#This Row],[7]]="","",Table26142567891112[[#This Row],[Weight]:[Weight]]-(Table26142567891112[[#This Row],[Weight]:[Weight]]*((_xlfn.XMATCH(Table26142567891112[[#This Row],[7]],Table26142567891112[[#This Row],[1]:[11]],0))-1)/(COUNTA(Table26142567891112[[#This Row],[1]:[11]])-COUNTBLANK(Table26142567891112[[#This Row],[1]:[11]])-1)))</f>
        <v/>
      </c>
      <c r="AF22" s="30" t="str" cm="1">
        <f t="array" ref="AF22">IF(Table26142567891112[[#This Row],[8]]="","",Table26142567891112[[#This Row],[Weight]:[Weight]]-(Table26142567891112[[#This Row],[Weight]:[Weight]]*((_xlfn.XMATCH(Table26142567891112[[#This Row],[8]],Table26142567891112[[#This Row],[1]:[11]],0))-1)/(COUNTA(Table26142567891112[[#This Row],[1]:[11]])-COUNTBLANK(Table26142567891112[[#This Row],[1]:[11]])-1)))</f>
        <v/>
      </c>
      <c r="AG22" s="30" t="str" cm="1">
        <f t="array" ref="AG22">IF(Table26142567891112[[#This Row],[9]]="","",Table26142567891112[[#This Row],[Weight]:[Weight]]-(Table26142567891112[[#This Row],[Weight]:[Weight]]*((_xlfn.XMATCH(Table26142567891112[[#This Row],[9]],Table26142567891112[[#This Row],[1]:[11]],0))-1)/(COUNTA(Table26142567891112[[#This Row],[1]:[11]])-COUNTBLANK(Table26142567891112[[#This Row],[1]:[11]])-1)))</f>
        <v/>
      </c>
      <c r="AH22" s="30" t="str" cm="1">
        <f t="array" ref="AH22">IF(Table26142567891112[[#This Row],[10]]="","",Table26142567891112[[#This Row],[Weight]:[Weight]]-(Table26142567891112[[#This Row],[Weight]:[Weight]]*((_xlfn.XMATCH(Table26142567891112[[#This Row],[10]],Table26142567891112[[#This Row],[1]:[11]],0))-1)/(COUNTA(Table26142567891112[[#This Row],[1]:[11]])-COUNTBLANK(Table26142567891112[[#This Row],[1]:[11]])-1)))</f>
        <v/>
      </c>
      <c r="AI22" s="30" t="str" cm="1">
        <f t="array" ref="AI22">IF(Table26142567891112[[#This Row],[11]]="","",Table26142567891112[[#This Row],[Weight]:[Weight]]-(Table26142567891112[[#This Row],[Weight]:[Weight]]*((_xlfn.XMATCH(Table26142567891112[[#This Row],[11]],Table26142567891112[[#This Row],[1]:[11]],0))-1)/(COUNTA(Table26142567891112[[#This Row],[1]:[11]])-COUNTBLANK(Table26142567891112[[#This Row],[1]:[11]])-1)))</f>
        <v/>
      </c>
    </row>
    <row r="23" spans="1:35" ht="108" x14ac:dyDescent="0.2">
      <c r="A23" s="20">
        <v>11</v>
      </c>
      <c r="B23" s="158" t="s">
        <v>561</v>
      </c>
      <c r="C23" s="119" t="s">
        <v>215</v>
      </c>
      <c r="D23" s="146"/>
      <c r="E23" s="146"/>
      <c r="F23" s="121" t="s">
        <v>188</v>
      </c>
      <c r="G23" s="148" cm="1">
        <f t="array" ref="G23">_xlfn.IFS(F23="","",F23="No interest",0,F23="Nice to have",1,F23="Useful",2,F23="Important",3,F23="Very important",4,F23="Critical",5,F23="Show stopper",6)</f>
        <v>5</v>
      </c>
      <c r="H23" s="149">
        <f t="shared" si="1"/>
        <v>1.7156862745098037E-3</v>
      </c>
      <c r="I23" s="150" t="s">
        <v>548</v>
      </c>
      <c r="J23" s="35" t="str" cm="1">
        <f t="array" ref="J23">_xlfn.TEXTJOIN(","&amp;CHAR(10),,TEXT(Table26142567891112[[#This Row],[12]:[22]],"0,00%"))</f>
        <v>0,00%,
0,00%,
0,00%,
0,00%,
0,00%</v>
      </c>
      <c r="K23" s="36"/>
      <c r="L23" s="27" t="e">
        <f>H23-(H23*((MATCH(Table26142567891112[[#This Row],[Evaluators Response (SELECT)]],Table26142567891112[[#This Row],[1]:[11]],0)-1)/(COUNTA(Table26142567891112[[#This Row],[1]:[11]])-COUNTBLANK(Table26142567891112[[#This Row],[1]:[11]])-1)))</f>
        <v>#N/A</v>
      </c>
      <c r="M23" s="28"/>
      <c r="N23" s="29" t="str" cm="1">
        <f t="array" ref="N23">IFERROR(INDEX(_xlfn.UNIQUE(TRIM(_xlfn.TEXTSPLIT(Table26142567891112[[#This Row],[Selection Options]:[Selection Options]],","))),,N$11),"")</f>
        <v>100%: Supported as delivered "out of the box"</v>
      </c>
      <c r="O23" s="29" t="str" cm="1">
        <f t="array" ref="O23">IFERROR(INDEX(_xlfn.UNIQUE(TRIM(_xlfn.TEXTSPLIT(Table26142567891112[[#This Row],[Selection Options]:[Selection Options]],","))),,O$11),"")</f>
        <v xml:space="preserve">
75%: Supported via modifications (config)</v>
      </c>
      <c r="P23" s="29" t="str" cm="1">
        <f t="array" ref="P23">IFERROR(INDEX(_xlfn.UNIQUE(TRIM(_xlfn.TEXTSPLIT(Table26142567891112[[#This Row],[Selection Options]:[Selection Options]],","))),,P$11),"")</f>
        <v xml:space="preserve">
50%: Supported via a third party solution</v>
      </c>
      <c r="Q23" s="29" t="str" cm="1">
        <f t="array" ref="Q23">IFERROR(INDEX(_xlfn.UNIQUE(TRIM(_xlfn.TEXTSPLIT(Table26142567891112[[#This Row],[Selection Options]:[Selection Options]],","))),,Q$11),"")</f>
        <v xml:space="preserve">
25%: Supported via customisation (source code changes)</v>
      </c>
      <c r="R23" s="29" t="str" cm="1">
        <f t="array" ref="R23">IFERROR(INDEX(_xlfn.UNIQUE(TRIM(_xlfn.TEXTSPLIT(Table26142567891112[[#This Row],[Selection Options]:[Selection Options]],","))),,R$11),"")</f>
        <v>0%: Not currently supported</v>
      </c>
      <c r="S23" s="29" t="str" cm="1">
        <f t="array" ref="S23">IFERROR(INDEX(_xlfn.UNIQUE(TRIM(_xlfn.TEXTSPLIT(Table26142567891112[[#This Row],[Selection Options]:[Selection Options]],","))),,S$11),"")</f>
        <v/>
      </c>
      <c r="T23" s="29" t="str" cm="1">
        <f t="array" ref="T23">IFERROR(INDEX(_xlfn.UNIQUE(TRIM(_xlfn.TEXTSPLIT(Table26142567891112[[#This Row],[Selection Options]:[Selection Options]],","))),,T$11),"")</f>
        <v/>
      </c>
      <c r="U23" s="29" t="str" cm="1">
        <f t="array" ref="U23">IFERROR(INDEX(_xlfn.UNIQUE(TRIM(_xlfn.TEXTSPLIT(Table26142567891112[[#This Row],[Selection Options]:[Selection Options]],","))),,U$11),"")</f>
        <v/>
      </c>
      <c r="V23" s="29" t="str" cm="1">
        <f t="array" ref="V23">IFERROR(INDEX(_xlfn.UNIQUE(TRIM(_xlfn.TEXTSPLIT(Table26142567891112[[#This Row],[Selection Options]:[Selection Options]],","))),,V$11),"")</f>
        <v/>
      </c>
      <c r="W23" s="29" t="str" cm="1">
        <f t="array" ref="W23">IFERROR(INDEX(_xlfn.UNIQUE(TRIM(_xlfn.TEXTSPLIT(Table26142567891112[[#This Row],[Selection Options]:[Selection Options]],","))),,W$11),"")</f>
        <v/>
      </c>
      <c r="X23" s="29" t="str" cm="1">
        <f t="array" ref="X23">IFERROR(INDEX(_xlfn.UNIQUE(TRIM(_xlfn.TEXTSPLIT(Table26142567891112[[#This Row],[Selection Options]:[Selection Options]],","))),,X$11),"")</f>
        <v/>
      </c>
      <c r="Y23" s="30" cm="1">
        <f t="array" ref="Y23">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3" s="30" cm="1">
        <f t="array" ref="Z23">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3" s="30" cm="1">
        <f t="array" ref="AA23">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3" s="30" cm="1">
        <f t="array" ref="AB23">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3" s="30" cm="1">
        <f t="array" ref="AC23">IF(Table26142567891112[[#This Row],[5]]="","",Table26142567891112[[#This Row],[Weight]:[Weight]]-(Table26142567891112[[#This Row],[Weight]:[Weight]]*((_xlfn.XMATCH(Table26142567891112[[#This Row],[5]],Table26142567891112[[#This Row],[1]:[11]],0))-1)/(COUNTA(Table26142567891112[[#This Row],[1]:[11]])-COUNTBLANK(Table26142567891112[[#This Row],[1]:[11]])-1)))</f>
        <v>0</v>
      </c>
      <c r="AD23" s="30" t="str" cm="1">
        <f t="array" ref="AD23">IF(Table26142567891112[[#This Row],[6]]="","",Table26142567891112[[#This Row],[Weight]:[Weight]]-(Table26142567891112[[#This Row],[Weight]:[Weight]]*((_xlfn.XMATCH(Table26142567891112[[#This Row],[6]],Table26142567891112[[#This Row],[1]:[11]],0))-1)/(COUNTA(Table26142567891112[[#This Row],[1]:[11]])-COUNTBLANK(Table26142567891112[[#This Row],[1]:[11]])-1)))</f>
        <v/>
      </c>
      <c r="AE23" s="30" t="str" cm="1">
        <f t="array" ref="AE23">IF(Table26142567891112[[#This Row],[7]]="","",Table26142567891112[[#This Row],[Weight]:[Weight]]-(Table26142567891112[[#This Row],[Weight]:[Weight]]*((_xlfn.XMATCH(Table26142567891112[[#This Row],[7]],Table26142567891112[[#This Row],[1]:[11]],0))-1)/(COUNTA(Table26142567891112[[#This Row],[1]:[11]])-COUNTBLANK(Table26142567891112[[#This Row],[1]:[11]])-1)))</f>
        <v/>
      </c>
      <c r="AF23" s="30" t="str" cm="1">
        <f t="array" ref="AF23">IF(Table26142567891112[[#This Row],[8]]="","",Table26142567891112[[#This Row],[Weight]:[Weight]]-(Table26142567891112[[#This Row],[Weight]:[Weight]]*((_xlfn.XMATCH(Table26142567891112[[#This Row],[8]],Table26142567891112[[#This Row],[1]:[11]],0))-1)/(COUNTA(Table26142567891112[[#This Row],[1]:[11]])-COUNTBLANK(Table26142567891112[[#This Row],[1]:[11]])-1)))</f>
        <v/>
      </c>
      <c r="AG23" s="30" t="str" cm="1">
        <f t="array" ref="AG23">IF(Table26142567891112[[#This Row],[9]]="","",Table26142567891112[[#This Row],[Weight]:[Weight]]-(Table26142567891112[[#This Row],[Weight]:[Weight]]*((_xlfn.XMATCH(Table26142567891112[[#This Row],[9]],Table26142567891112[[#This Row],[1]:[11]],0))-1)/(COUNTA(Table26142567891112[[#This Row],[1]:[11]])-COUNTBLANK(Table26142567891112[[#This Row],[1]:[11]])-1)))</f>
        <v/>
      </c>
      <c r="AH23" s="30" t="str" cm="1">
        <f t="array" ref="AH23">IF(Table26142567891112[[#This Row],[10]]="","",Table26142567891112[[#This Row],[Weight]:[Weight]]-(Table26142567891112[[#This Row],[Weight]:[Weight]]*((_xlfn.XMATCH(Table26142567891112[[#This Row],[10]],Table26142567891112[[#This Row],[1]:[11]],0))-1)/(COUNTA(Table26142567891112[[#This Row],[1]:[11]])-COUNTBLANK(Table26142567891112[[#This Row],[1]:[11]])-1)))</f>
        <v/>
      </c>
      <c r="AI23" s="30" t="str" cm="1">
        <f t="array" ref="AI23">IF(Table26142567891112[[#This Row],[11]]="","",Table26142567891112[[#This Row],[Weight]:[Weight]]-(Table26142567891112[[#This Row],[Weight]:[Weight]]*((_xlfn.XMATCH(Table26142567891112[[#This Row],[11]],Table26142567891112[[#This Row],[1]:[11]],0))-1)/(COUNTA(Table26142567891112[[#This Row],[1]:[11]])-COUNTBLANK(Table26142567891112[[#This Row],[1]:[11]])-1)))</f>
        <v/>
      </c>
    </row>
    <row r="24" spans="1:35" ht="108" x14ac:dyDescent="0.2">
      <c r="A24" s="206">
        <v>12</v>
      </c>
      <c r="B24" s="208" t="s">
        <v>562</v>
      </c>
      <c r="C24" s="208" t="s">
        <v>215</v>
      </c>
      <c r="D24" s="209"/>
      <c r="E24" s="209"/>
      <c r="F24" s="219" t="s">
        <v>555</v>
      </c>
      <c r="G24" s="211" cm="1">
        <f t="array" ref="G24">_xlfn.IFS(F24="","",F24="No interest",0,F24="Nice to have",1,F24="Useful",2,F24="Important",3,F24="Very important",4,F24="Critical",5,F24="Show stopper",6)</f>
        <v>4</v>
      </c>
      <c r="H24" s="212">
        <f t="shared" si="1"/>
        <v>1.3725490196078429E-3</v>
      </c>
      <c r="I24" s="213" t="s">
        <v>548</v>
      </c>
      <c r="J24" s="222" t="str" cm="1">
        <f t="array" ref="J24">_xlfn.TEXTJOIN(","&amp;CHAR(10),,TEXT(Table26142567891112[[#This Row],[12]:[22]],"0,00%"))</f>
        <v>0,00%,
0,00%,
0,00%,
0,00%,
0,00%</v>
      </c>
      <c r="K24" s="223"/>
      <c r="L24" s="216" t="e">
        <f>H24-(H24*((MATCH(Table26142567891112[[#This Row],[Evaluators Response (SELECT)]],Table26142567891112[[#This Row],[1]:[11]],0)-1)/(COUNTA(Table26142567891112[[#This Row],[1]:[11]])-COUNTBLANK(Table26142567891112[[#This Row],[1]:[11]])-1)))</f>
        <v>#N/A</v>
      </c>
      <c r="M24" s="217"/>
      <c r="N24" s="29" t="str" cm="1">
        <f t="array" ref="N24">IFERROR(INDEX(_xlfn.UNIQUE(TRIM(_xlfn.TEXTSPLIT(Table26142567891112[[#This Row],[Selection Options]:[Selection Options]],","))),,N$11),"")</f>
        <v>100%: Supported as delivered "out of the box"</v>
      </c>
      <c r="O24" s="29" t="str" cm="1">
        <f t="array" ref="O24">IFERROR(INDEX(_xlfn.UNIQUE(TRIM(_xlfn.TEXTSPLIT(Table26142567891112[[#This Row],[Selection Options]:[Selection Options]],","))),,O$11),"")</f>
        <v xml:space="preserve">
75%: Supported via modifications (config)</v>
      </c>
      <c r="P24" s="29" t="str" cm="1">
        <f t="array" ref="P24">IFERROR(INDEX(_xlfn.UNIQUE(TRIM(_xlfn.TEXTSPLIT(Table26142567891112[[#This Row],[Selection Options]:[Selection Options]],","))),,P$11),"")</f>
        <v xml:space="preserve">
50%: Supported via a third party solution</v>
      </c>
      <c r="Q24" s="29" t="str" cm="1">
        <f t="array" ref="Q24">IFERROR(INDEX(_xlfn.UNIQUE(TRIM(_xlfn.TEXTSPLIT(Table26142567891112[[#This Row],[Selection Options]:[Selection Options]],","))),,Q$11),"")</f>
        <v xml:space="preserve">
25%: Supported via customisation (source code changes)</v>
      </c>
      <c r="R24" s="29" t="str" cm="1">
        <f t="array" ref="R24">IFERROR(INDEX(_xlfn.UNIQUE(TRIM(_xlfn.TEXTSPLIT(Table26142567891112[[#This Row],[Selection Options]:[Selection Options]],","))),,R$11),"")</f>
        <v>0%: Not currently supported</v>
      </c>
      <c r="S24" s="29" t="str" cm="1">
        <f t="array" ref="S24">IFERROR(INDEX(_xlfn.UNIQUE(TRIM(_xlfn.TEXTSPLIT(Table26142567891112[[#This Row],[Selection Options]:[Selection Options]],","))),,S$11),"")</f>
        <v/>
      </c>
      <c r="T24" s="29" t="str" cm="1">
        <f t="array" ref="T24">IFERROR(INDEX(_xlfn.UNIQUE(TRIM(_xlfn.TEXTSPLIT(Table26142567891112[[#This Row],[Selection Options]:[Selection Options]],","))),,T$11),"")</f>
        <v/>
      </c>
      <c r="U24" s="29" t="str" cm="1">
        <f t="array" ref="U24">IFERROR(INDEX(_xlfn.UNIQUE(TRIM(_xlfn.TEXTSPLIT(Table26142567891112[[#This Row],[Selection Options]:[Selection Options]],","))),,U$11),"")</f>
        <v/>
      </c>
      <c r="V24" s="29" t="str" cm="1">
        <f t="array" ref="V24">IFERROR(INDEX(_xlfn.UNIQUE(TRIM(_xlfn.TEXTSPLIT(Table26142567891112[[#This Row],[Selection Options]:[Selection Options]],","))),,V$11),"")</f>
        <v/>
      </c>
      <c r="W24" s="29" t="str" cm="1">
        <f t="array" ref="W24">IFERROR(INDEX(_xlfn.UNIQUE(TRIM(_xlfn.TEXTSPLIT(Table26142567891112[[#This Row],[Selection Options]:[Selection Options]],","))),,W$11),"")</f>
        <v/>
      </c>
      <c r="X24" s="29" t="str" cm="1">
        <f t="array" ref="X24">IFERROR(INDEX(_xlfn.UNIQUE(TRIM(_xlfn.TEXTSPLIT(Table26142567891112[[#This Row],[Selection Options]:[Selection Options]],","))),,X$11),"")</f>
        <v/>
      </c>
      <c r="Y24" s="30" cm="1">
        <f t="array" ref="Y24">IF(Table26142567891112[[#This Row],[1]]="","",Table26142567891112[[#This Row],[Weight]:[Weight]]-(Table26142567891112[[#This Row],[Weight]:[Weight]]*((_xlfn.XMATCH(Table26142567891112[[#This Row],[1]],Table26142567891112[[#This Row],[1]:[11]],0))-1)/(COUNTA(Table26142567891112[[#This Row],[1]:[11]])-COUNTBLANK(Table26142567891112[[#This Row],[1]:[11]])-1)))</f>
        <v>1.3725490196078429E-3</v>
      </c>
      <c r="Z24" s="30" cm="1">
        <f t="array" ref="Z24">IF(Table26142567891112[[#This Row],[2]]="","",Table26142567891112[[#This Row],[Weight]:[Weight]]-(Table26142567891112[[#This Row],[Weight]:[Weight]]*((_xlfn.XMATCH(Table26142567891112[[#This Row],[2]],Table26142567891112[[#This Row],[1]:[11]],0))-1)/(COUNTA(Table26142567891112[[#This Row],[1]:[11]])-COUNTBLANK(Table26142567891112[[#This Row],[1]:[11]])-1)))</f>
        <v>1.0294117647058822E-3</v>
      </c>
      <c r="AA24" s="30" cm="1">
        <f t="array" ref="AA24">IF(Table26142567891112[[#This Row],[3]]="","",Table26142567891112[[#This Row],[Weight]:[Weight]]-(Table26142567891112[[#This Row],[Weight]:[Weight]]*((_xlfn.XMATCH(Table26142567891112[[#This Row],[3]],Table26142567891112[[#This Row],[1]:[11]],0))-1)/(COUNTA(Table26142567891112[[#This Row],[1]:[11]])-COUNTBLANK(Table26142567891112[[#This Row],[1]:[11]])-1)))</f>
        <v>6.8627450980392147E-4</v>
      </c>
      <c r="AB24" s="30" cm="1">
        <f t="array" ref="AB24">IF(Table26142567891112[[#This Row],[4]]="","",Table26142567891112[[#This Row],[Weight]:[Weight]]-(Table26142567891112[[#This Row],[Weight]:[Weight]]*((_xlfn.XMATCH(Table26142567891112[[#This Row],[4]],Table26142567891112[[#This Row],[1]:[11]],0))-1)/(COUNTA(Table26142567891112[[#This Row],[1]:[11]])-COUNTBLANK(Table26142567891112[[#This Row],[1]:[11]])-1)))</f>
        <v>3.4313725490196074E-4</v>
      </c>
      <c r="AC24" s="30" cm="1">
        <f t="array" ref="AC24">IF(Table26142567891112[[#This Row],[5]]="","",Table26142567891112[[#This Row],[Weight]:[Weight]]-(Table26142567891112[[#This Row],[Weight]:[Weight]]*((_xlfn.XMATCH(Table26142567891112[[#This Row],[5]],Table26142567891112[[#This Row],[1]:[11]],0))-1)/(COUNTA(Table26142567891112[[#This Row],[1]:[11]])-COUNTBLANK(Table26142567891112[[#This Row],[1]:[11]])-1)))</f>
        <v>0</v>
      </c>
      <c r="AD24" s="30" t="str" cm="1">
        <f t="array" ref="AD24">IF(Table26142567891112[[#This Row],[6]]="","",Table26142567891112[[#This Row],[Weight]:[Weight]]-(Table26142567891112[[#This Row],[Weight]:[Weight]]*((_xlfn.XMATCH(Table26142567891112[[#This Row],[6]],Table26142567891112[[#This Row],[1]:[11]],0))-1)/(COUNTA(Table26142567891112[[#This Row],[1]:[11]])-COUNTBLANK(Table26142567891112[[#This Row],[1]:[11]])-1)))</f>
        <v/>
      </c>
      <c r="AE24" s="30" t="str" cm="1">
        <f t="array" ref="AE24">IF(Table26142567891112[[#This Row],[7]]="","",Table26142567891112[[#This Row],[Weight]:[Weight]]-(Table26142567891112[[#This Row],[Weight]:[Weight]]*((_xlfn.XMATCH(Table26142567891112[[#This Row],[7]],Table26142567891112[[#This Row],[1]:[11]],0))-1)/(COUNTA(Table26142567891112[[#This Row],[1]:[11]])-COUNTBLANK(Table26142567891112[[#This Row],[1]:[11]])-1)))</f>
        <v/>
      </c>
      <c r="AF24" s="30" t="str" cm="1">
        <f t="array" ref="AF24">IF(Table26142567891112[[#This Row],[8]]="","",Table26142567891112[[#This Row],[Weight]:[Weight]]-(Table26142567891112[[#This Row],[Weight]:[Weight]]*((_xlfn.XMATCH(Table26142567891112[[#This Row],[8]],Table26142567891112[[#This Row],[1]:[11]],0))-1)/(COUNTA(Table26142567891112[[#This Row],[1]:[11]])-COUNTBLANK(Table26142567891112[[#This Row],[1]:[11]])-1)))</f>
        <v/>
      </c>
      <c r="AG24" s="30" t="str" cm="1">
        <f t="array" ref="AG24">IF(Table26142567891112[[#This Row],[9]]="","",Table26142567891112[[#This Row],[Weight]:[Weight]]-(Table26142567891112[[#This Row],[Weight]:[Weight]]*((_xlfn.XMATCH(Table26142567891112[[#This Row],[9]],Table26142567891112[[#This Row],[1]:[11]],0))-1)/(COUNTA(Table26142567891112[[#This Row],[1]:[11]])-COUNTBLANK(Table26142567891112[[#This Row],[1]:[11]])-1)))</f>
        <v/>
      </c>
      <c r="AH24" s="30" t="str" cm="1">
        <f t="array" ref="AH24">IF(Table26142567891112[[#This Row],[10]]="","",Table26142567891112[[#This Row],[Weight]:[Weight]]-(Table26142567891112[[#This Row],[Weight]:[Weight]]*((_xlfn.XMATCH(Table26142567891112[[#This Row],[10]],Table26142567891112[[#This Row],[1]:[11]],0))-1)/(COUNTA(Table26142567891112[[#This Row],[1]:[11]])-COUNTBLANK(Table26142567891112[[#This Row],[1]:[11]])-1)))</f>
        <v/>
      </c>
      <c r="AI24" s="30" t="str" cm="1">
        <f t="array" ref="AI24">IF(Table26142567891112[[#This Row],[11]]="","",Table26142567891112[[#This Row],[Weight]:[Weight]]-(Table26142567891112[[#This Row],[Weight]:[Weight]]*((_xlfn.XMATCH(Table26142567891112[[#This Row],[11]],Table26142567891112[[#This Row],[1]:[11]],0))-1)/(COUNTA(Table26142567891112[[#This Row],[1]:[11]])-COUNTBLANK(Table26142567891112[[#This Row],[1]:[11]])-1)))</f>
        <v/>
      </c>
    </row>
    <row r="25" spans="1:35" ht="108" x14ac:dyDescent="0.2">
      <c r="A25" s="20">
        <v>13</v>
      </c>
      <c r="B25" s="119" t="s">
        <v>563</v>
      </c>
      <c r="C25" s="119" t="s">
        <v>215</v>
      </c>
      <c r="D25" s="146"/>
      <c r="E25" s="146"/>
      <c r="F25" s="121" t="s">
        <v>188</v>
      </c>
      <c r="G25" s="148" cm="1">
        <f t="array" ref="G25">_xlfn.IFS(F25="","",F25="No interest",0,F25="Nice to have",1,F25="Useful",2,F25="Important",3,F25="Very important",4,F25="Critical",5,F25="Show stopper",6)</f>
        <v>5</v>
      </c>
      <c r="H25" s="149">
        <f t="shared" si="1"/>
        <v>1.7156862745098037E-3</v>
      </c>
      <c r="I25" s="150" t="s">
        <v>548</v>
      </c>
      <c r="J25" s="35" t="str" cm="1">
        <f t="array" ref="J25">_xlfn.TEXTJOIN(","&amp;CHAR(10),,TEXT(Table26142567891112[[#This Row],[12]:[22]],"0,00%"))</f>
        <v>0,00%,
0,00%,
0,00%,
0,00%,
0,00%</v>
      </c>
      <c r="K25" s="36"/>
      <c r="L25" s="27" t="e">
        <f>H25-(H25*((MATCH(Table26142567891112[[#This Row],[Evaluators Response (SELECT)]],Table26142567891112[[#This Row],[1]:[11]],0)-1)/(COUNTA(Table26142567891112[[#This Row],[1]:[11]])-COUNTBLANK(Table26142567891112[[#This Row],[1]:[11]])-1)))</f>
        <v>#N/A</v>
      </c>
      <c r="M25" s="28"/>
      <c r="N25" s="29" t="str" cm="1">
        <f t="array" ref="N25">IFERROR(INDEX(_xlfn.UNIQUE(TRIM(_xlfn.TEXTSPLIT(Table26142567891112[[#This Row],[Selection Options]:[Selection Options]],","))),,N$11),"")</f>
        <v>100%: Supported as delivered "out of the box"</v>
      </c>
      <c r="O25" s="29" t="str" cm="1">
        <f t="array" ref="O25">IFERROR(INDEX(_xlfn.UNIQUE(TRIM(_xlfn.TEXTSPLIT(Table26142567891112[[#This Row],[Selection Options]:[Selection Options]],","))),,O$11),"")</f>
        <v xml:space="preserve">
75%: Supported via modifications (config)</v>
      </c>
      <c r="P25" s="29" t="str" cm="1">
        <f t="array" ref="P25">IFERROR(INDEX(_xlfn.UNIQUE(TRIM(_xlfn.TEXTSPLIT(Table26142567891112[[#This Row],[Selection Options]:[Selection Options]],","))),,P$11),"")</f>
        <v xml:space="preserve">
50%: Supported via a third party solution</v>
      </c>
      <c r="Q25" s="29" t="str" cm="1">
        <f t="array" ref="Q25">IFERROR(INDEX(_xlfn.UNIQUE(TRIM(_xlfn.TEXTSPLIT(Table26142567891112[[#This Row],[Selection Options]:[Selection Options]],","))),,Q$11),"")</f>
        <v xml:space="preserve">
25%: Supported via customisation (source code changes)</v>
      </c>
      <c r="R25" s="29" t="str" cm="1">
        <f t="array" ref="R25">IFERROR(INDEX(_xlfn.UNIQUE(TRIM(_xlfn.TEXTSPLIT(Table26142567891112[[#This Row],[Selection Options]:[Selection Options]],","))),,R$11),"")</f>
        <v>0%: Not currently supported</v>
      </c>
      <c r="S25" s="29" t="str" cm="1">
        <f t="array" ref="S25">IFERROR(INDEX(_xlfn.UNIQUE(TRIM(_xlfn.TEXTSPLIT(Table26142567891112[[#This Row],[Selection Options]:[Selection Options]],","))),,S$11),"")</f>
        <v/>
      </c>
      <c r="T25" s="29" t="str" cm="1">
        <f t="array" ref="T25">IFERROR(INDEX(_xlfn.UNIQUE(TRIM(_xlfn.TEXTSPLIT(Table26142567891112[[#This Row],[Selection Options]:[Selection Options]],","))),,T$11),"")</f>
        <v/>
      </c>
      <c r="U25" s="29" t="str" cm="1">
        <f t="array" ref="U25">IFERROR(INDEX(_xlfn.UNIQUE(TRIM(_xlfn.TEXTSPLIT(Table26142567891112[[#This Row],[Selection Options]:[Selection Options]],","))),,U$11),"")</f>
        <v/>
      </c>
      <c r="V25" s="29" t="str" cm="1">
        <f t="array" ref="V25">IFERROR(INDEX(_xlfn.UNIQUE(TRIM(_xlfn.TEXTSPLIT(Table26142567891112[[#This Row],[Selection Options]:[Selection Options]],","))),,V$11),"")</f>
        <v/>
      </c>
      <c r="W25" s="29" t="str" cm="1">
        <f t="array" ref="W25">IFERROR(INDEX(_xlfn.UNIQUE(TRIM(_xlfn.TEXTSPLIT(Table26142567891112[[#This Row],[Selection Options]:[Selection Options]],","))),,W$11),"")</f>
        <v/>
      </c>
      <c r="X25" s="29" t="str" cm="1">
        <f t="array" ref="X25">IFERROR(INDEX(_xlfn.UNIQUE(TRIM(_xlfn.TEXTSPLIT(Table26142567891112[[#This Row],[Selection Options]:[Selection Options]],","))),,X$11),"")</f>
        <v/>
      </c>
      <c r="Y25" s="30" cm="1">
        <f t="array" ref="Y25">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5" s="30" cm="1">
        <f t="array" ref="Z25">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5" s="30" cm="1">
        <f t="array" ref="AA25">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5" s="30" cm="1">
        <f t="array" ref="AB25">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5" s="30" cm="1">
        <f t="array" ref="AC25">IF(Table26142567891112[[#This Row],[5]]="","",Table26142567891112[[#This Row],[Weight]:[Weight]]-(Table26142567891112[[#This Row],[Weight]:[Weight]]*((_xlfn.XMATCH(Table26142567891112[[#This Row],[5]],Table26142567891112[[#This Row],[1]:[11]],0))-1)/(COUNTA(Table26142567891112[[#This Row],[1]:[11]])-COUNTBLANK(Table26142567891112[[#This Row],[1]:[11]])-1)))</f>
        <v>0</v>
      </c>
      <c r="AD25" s="30" t="str" cm="1">
        <f t="array" ref="AD25">IF(Table26142567891112[[#This Row],[6]]="","",Table26142567891112[[#This Row],[Weight]:[Weight]]-(Table26142567891112[[#This Row],[Weight]:[Weight]]*((_xlfn.XMATCH(Table26142567891112[[#This Row],[6]],Table26142567891112[[#This Row],[1]:[11]],0))-1)/(COUNTA(Table26142567891112[[#This Row],[1]:[11]])-COUNTBLANK(Table26142567891112[[#This Row],[1]:[11]])-1)))</f>
        <v/>
      </c>
      <c r="AE25" s="30" t="str" cm="1">
        <f t="array" ref="AE25">IF(Table26142567891112[[#This Row],[7]]="","",Table26142567891112[[#This Row],[Weight]:[Weight]]-(Table26142567891112[[#This Row],[Weight]:[Weight]]*((_xlfn.XMATCH(Table26142567891112[[#This Row],[7]],Table26142567891112[[#This Row],[1]:[11]],0))-1)/(COUNTA(Table26142567891112[[#This Row],[1]:[11]])-COUNTBLANK(Table26142567891112[[#This Row],[1]:[11]])-1)))</f>
        <v/>
      </c>
      <c r="AF25" s="30" t="str" cm="1">
        <f t="array" ref="AF25">IF(Table26142567891112[[#This Row],[8]]="","",Table26142567891112[[#This Row],[Weight]:[Weight]]-(Table26142567891112[[#This Row],[Weight]:[Weight]]*((_xlfn.XMATCH(Table26142567891112[[#This Row],[8]],Table26142567891112[[#This Row],[1]:[11]],0))-1)/(COUNTA(Table26142567891112[[#This Row],[1]:[11]])-COUNTBLANK(Table26142567891112[[#This Row],[1]:[11]])-1)))</f>
        <v/>
      </c>
      <c r="AG25" s="30" t="str" cm="1">
        <f t="array" ref="AG25">IF(Table26142567891112[[#This Row],[9]]="","",Table26142567891112[[#This Row],[Weight]:[Weight]]-(Table26142567891112[[#This Row],[Weight]:[Weight]]*((_xlfn.XMATCH(Table26142567891112[[#This Row],[9]],Table26142567891112[[#This Row],[1]:[11]],0))-1)/(COUNTA(Table26142567891112[[#This Row],[1]:[11]])-COUNTBLANK(Table26142567891112[[#This Row],[1]:[11]])-1)))</f>
        <v/>
      </c>
      <c r="AH25" s="30" t="str" cm="1">
        <f t="array" ref="AH25">IF(Table26142567891112[[#This Row],[10]]="","",Table26142567891112[[#This Row],[Weight]:[Weight]]-(Table26142567891112[[#This Row],[Weight]:[Weight]]*((_xlfn.XMATCH(Table26142567891112[[#This Row],[10]],Table26142567891112[[#This Row],[1]:[11]],0))-1)/(COUNTA(Table26142567891112[[#This Row],[1]:[11]])-COUNTBLANK(Table26142567891112[[#This Row],[1]:[11]])-1)))</f>
        <v/>
      </c>
      <c r="AI25" s="30" t="str" cm="1">
        <f t="array" ref="AI25">IF(Table26142567891112[[#This Row],[11]]="","",Table26142567891112[[#This Row],[Weight]:[Weight]]-(Table26142567891112[[#This Row],[Weight]:[Weight]]*((_xlfn.XMATCH(Table26142567891112[[#This Row],[11]],Table26142567891112[[#This Row],[1]:[11]],0))-1)/(COUNTA(Table26142567891112[[#This Row],[1]:[11]])-COUNTBLANK(Table26142567891112[[#This Row],[1]:[11]])-1)))</f>
        <v/>
      </c>
    </row>
    <row r="26" spans="1:35" ht="108" x14ac:dyDescent="0.2">
      <c r="A26" s="206">
        <v>14</v>
      </c>
      <c r="B26" s="208" t="s">
        <v>564</v>
      </c>
      <c r="C26" s="208" t="s">
        <v>215</v>
      </c>
      <c r="D26" s="209"/>
      <c r="E26" s="209"/>
      <c r="F26" s="219" t="s">
        <v>188</v>
      </c>
      <c r="G26" s="211" cm="1">
        <f t="array" ref="G26">_xlfn.IFS(F26="","",F26="No interest",0,F26="Nice to have",1,F26="Useful",2,F26="Important",3,F26="Very important",4,F26="Critical",5,F26="Show stopper",6)</f>
        <v>5</v>
      </c>
      <c r="H26" s="212">
        <f t="shared" si="1"/>
        <v>1.7156862745098037E-3</v>
      </c>
      <c r="I26" s="213" t="s">
        <v>548</v>
      </c>
      <c r="J26" s="222" t="str" cm="1">
        <f t="array" ref="J26">_xlfn.TEXTJOIN(","&amp;CHAR(10),,TEXT(Table26142567891112[[#This Row],[12]:[22]],"0,00%"))</f>
        <v>0,00%,
0,00%,
0,00%,
0,00%,
0,00%</v>
      </c>
      <c r="K26" s="223"/>
      <c r="L26" s="216" t="e">
        <f>H26-(H26*((MATCH(Table26142567891112[[#This Row],[Evaluators Response (SELECT)]],Table26142567891112[[#This Row],[1]:[11]],0)-1)/(COUNTA(Table26142567891112[[#This Row],[1]:[11]])-COUNTBLANK(Table26142567891112[[#This Row],[1]:[11]])-1)))</f>
        <v>#N/A</v>
      </c>
      <c r="M26" s="217"/>
      <c r="N26" s="29" t="str" cm="1">
        <f t="array" ref="N26">IFERROR(INDEX(_xlfn.UNIQUE(TRIM(_xlfn.TEXTSPLIT(Table26142567891112[[#This Row],[Selection Options]:[Selection Options]],","))),,N$11),"")</f>
        <v>100%: Supported as delivered "out of the box"</v>
      </c>
      <c r="O26" s="29" t="str" cm="1">
        <f t="array" ref="O26">IFERROR(INDEX(_xlfn.UNIQUE(TRIM(_xlfn.TEXTSPLIT(Table26142567891112[[#This Row],[Selection Options]:[Selection Options]],","))),,O$11),"")</f>
        <v xml:space="preserve">
75%: Supported via modifications (config)</v>
      </c>
      <c r="P26" s="29" t="str" cm="1">
        <f t="array" ref="P26">IFERROR(INDEX(_xlfn.UNIQUE(TRIM(_xlfn.TEXTSPLIT(Table26142567891112[[#This Row],[Selection Options]:[Selection Options]],","))),,P$11),"")</f>
        <v xml:space="preserve">
50%: Supported via a third party solution</v>
      </c>
      <c r="Q26" s="29" t="str" cm="1">
        <f t="array" ref="Q26">IFERROR(INDEX(_xlfn.UNIQUE(TRIM(_xlfn.TEXTSPLIT(Table26142567891112[[#This Row],[Selection Options]:[Selection Options]],","))),,Q$11),"")</f>
        <v xml:space="preserve">
25%: Supported via customisation (source code changes)</v>
      </c>
      <c r="R26" s="29" t="str" cm="1">
        <f t="array" ref="R26">IFERROR(INDEX(_xlfn.UNIQUE(TRIM(_xlfn.TEXTSPLIT(Table26142567891112[[#This Row],[Selection Options]:[Selection Options]],","))),,R$11),"")</f>
        <v>0%: Not currently supported</v>
      </c>
      <c r="S26" s="29" t="str" cm="1">
        <f t="array" ref="S26">IFERROR(INDEX(_xlfn.UNIQUE(TRIM(_xlfn.TEXTSPLIT(Table26142567891112[[#This Row],[Selection Options]:[Selection Options]],","))),,S$11),"")</f>
        <v/>
      </c>
      <c r="T26" s="29" t="str" cm="1">
        <f t="array" ref="T26">IFERROR(INDEX(_xlfn.UNIQUE(TRIM(_xlfn.TEXTSPLIT(Table26142567891112[[#This Row],[Selection Options]:[Selection Options]],","))),,T$11),"")</f>
        <v/>
      </c>
      <c r="U26" s="29" t="str" cm="1">
        <f t="array" ref="U26">IFERROR(INDEX(_xlfn.UNIQUE(TRIM(_xlfn.TEXTSPLIT(Table26142567891112[[#This Row],[Selection Options]:[Selection Options]],","))),,U$11),"")</f>
        <v/>
      </c>
      <c r="V26" s="29" t="str" cm="1">
        <f t="array" ref="V26">IFERROR(INDEX(_xlfn.UNIQUE(TRIM(_xlfn.TEXTSPLIT(Table26142567891112[[#This Row],[Selection Options]:[Selection Options]],","))),,V$11),"")</f>
        <v/>
      </c>
      <c r="W26" s="29" t="str" cm="1">
        <f t="array" ref="W26">IFERROR(INDEX(_xlfn.UNIQUE(TRIM(_xlfn.TEXTSPLIT(Table26142567891112[[#This Row],[Selection Options]:[Selection Options]],","))),,W$11),"")</f>
        <v/>
      </c>
      <c r="X26" s="29" t="str" cm="1">
        <f t="array" ref="X26">IFERROR(INDEX(_xlfn.UNIQUE(TRIM(_xlfn.TEXTSPLIT(Table26142567891112[[#This Row],[Selection Options]:[Selection Options]],","))),,X$11),"")</f>
        <v/>
      </c>
      <c r="Y26" s="30" cm="1">
        <f t="array" ref="Y26">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6" s="30" cm="1">
        <f t="array" ref="Z26">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6" s="30" cm="1">
        <f t="array" ref="AA26">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6" s="30" cm="1">
        <f t="array" ref="AB26">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6" s="30" cm="1">
        <f t="array" ref="AC26">IF(Table26142567891112[[#This Row],[5]]="","",Table26142567891112[[#This Row],[Weight]:[Weight]]-(Table26142567891112[[#This Row],[Weight]:[Weight]]*((_xlfn.XMATCH(Table26142567891112[[#This Row],[5]],Table26142567891112[[#This Row],[1]:[11]],0))-1)/(COUNTA(Table26142567891112[[#This Row],[1]:[11]])-COUNTBLANK(Table26142567891112[[#This Row],[1]:[11]])-1)))</f>
        <v>0</v>
      </c>
      <c r="AD26" s="30" t="str" cm="1">
        <f t="array" ref="AD26">IF(Table26142567891112[[#This Row],[6]]="","",Table26142567891112[[#This Row],[Weight]:[Weight]]-(Table26142567891112[[#This Row],[Weight]:[Weight]]*((_xlfn.XMATCH(Table26142567891112[[#This Row],[6]],Table26142567891112[[#This Row],[1]:[11]],0))-1)/(COUNTA(Table26142567891112[[#This Row],[1]:[11]])-COUNTBLANK(Table26142567891112[[#This Row],[1]:[11]])-1)))</f>
        <v/>
      </c>
      <c r="AE26" s="30" t="str" cm="1">
        <f t="array" ref="AE26">IF(Table26142567891112[[#This Row],[7]]="","",Table26142567891112[[#This Row],[Weight]:[Weight]]-(Table26142567891112[[#This Row],[Weight]:[Weight]]*((_xlfn.XMATCH(Table26142567891112[[#This Row],[7]],Table26142567891112[[#This Row],[1]:[11]],0))-1)/(COUNTA(Table26142567891112[[#This Row],[1]:[11]])-COUNTBLANK(Table26142567891112[[#This Row],[1]:[11]])-1)))</f>
        <v/>
      </c>
      <c r="AF26" s="30" t="str" cm="1">
        <f t="array" ref="AF26">IF(Table26142567891112[[#This Row],[8]]="","",Table26142567891112[[#This Row],[Weight]:[Weight]]-(Table26142567891112[[#This Row],[Weight]:[Weight]]*((_xlfn.XMATCH(Table26142567891112[[#This Row],[8]],Table26142567891112[[#This Row],[1]:[11]],0))-1)/(COUNTA(Table26142567891112[[#This Row],[1]:[11]])-COUNTBLANK(Table26142567891112[[#This Row],[1]:[11]])-1)))</f>
        <v/>
      </c>
      <c r="AG26" s="30" t="str" cm="1">
        <f t="array" ref="AG26">IF(Table26142567891112[[#This Row],[9]]="","",Table26142567891112[[#This Row],[Weight]:[Weight]]-(Table26142567891112[[#This Row],[Weight]:[Weight]]*((_xlfn.XMATCH(Table26142567891112[[#This Row],[9]],Table26142567891112[[#This Row],[1]:[11]],0))-1)/(COUNTA(Table26142567891112[[#This Row],[1]:[11]])-COUNTBLANK(Table26142567891112[[#This Row],[1]:[11]])-1)))</f>
        <v/>
      </c>
      <c r="AH26" s="30" t="str" cm="1">
        <f t="array" ref="AH26">IF(Table26142567891112[[#This Row],[10]]="","",Table26142567891112[[#This Row],[Weight]:[Weight]]-(Table26142567891112[[#This Row],[Weight]:[Weight]]*((_xlfn.XMATCH(Table26142567891112[[#This Row],[10]],Table26142567891112[[#This Row],[1]:[11]],0))-1)/(COUNTA(Table26142567891112[[#This Row],[1]:[11]])-COUNTBLANK(Table26142567891112[[#This Row],[1]:[11]])-1)))</f>
        <v/>
      </c>
      <c r="AI26" s="30" t="str" cm="1">
        <f t="array" ref="AI26">IF(Table26142567891112[[#This Row],[11]]="","",Table26142567891112[[#This Row],[Weight]:[Weight]]-(Table26142567891112[[#This Row],[Weight]:[Weight]]*((_xlfn.XMATCH(Table26142567891112[[#This Row],[11]],Table26142567891112[[#This Row],[1]:[11]],0))-1)/(COUNTA(Table26142567891112[[#This Row],[1]:[11]])-COUNTBLANK(Table26142567891112[[#This Row],[1]:[11]])-1)))</f>
        <v/>
      </c>
    </row>
    <row r="27" spans="1:35" ht="136.5" customHeight="1" x14ac:dyDescent="0.2">
      <c r="A27" s="20">
        <v>15</v>
      </c>
      <c r="B27" s="119" t="s">
        <v>565</v>
      </c>
      <c r="C27" s="119" t="s">
        <v>215</v>
      </c>
      <c r="D27" s="153"/>
      <c r="E27" s="153"/>
      <c r="F27" s="121" t="s">
        <v>188</v>
      </c>
      <c r="G27" s="148" cm="1">
        <f t="array" ref="G27">_xlfn.IFS(F27="","",F27="No interest",0,F27="Nice to have",1,F27="Useful",2,F27="Important",3,F27="Very important",4,F27="Critical",5,F27="Show stopper",6)</f>
        <v>5</v>
      </c>
      <c r="H27" s="149">
        <f t="shared" si="1"/>
        <v>1.7156862745098037E-3</v>
      </c>
      <c r="I27" s="150" t="s">
        <v>548</v>
      </c>
      <c r="J27" s="35" t="str" cm="1">
        <f t="array" ref="J27">_xlfn.TEXTJOIN(","&amp;CHAR(10),,TEXT(Table26142567891112[[#This Row],[12]:[22]],"0,00%"))</f>
        <v>0,00%,
0,00%,
0,00%,
0,00%,
0,00%</v>
      </c>
      <c r="K27" s="36"/>
      <c r="L27" s="27" t="e">
        <f>H27-(H27*((MATCH(Table26142567891112[[#This Row],[Evaluators Response (SELECT)]],Table26142567891112[[#This Row],[1]:[11]],0)-1)/(COUNTA(Table26142567891112[[#This Row],[1]:[11]])-COUNTBLANK(Table26142567891112[[#This Row],[1]:[11]])-1)))</f>
        <v>#N/A</v>
      </c>
      <c r="M27" s="28"/>
      <c r="N27" s="29" t="str" cm="1">
        <f t="array" ref="N27">IFERROR(INDEX(_xlfn.UNIQUE(TRIM(_xlfn.TEXTSPLIT(Table26142567891112[[#This Row],[Selection Options]:[Selection Options]],","))),,N$11),"")</f>
        <v>100%: Supported as delivered "out of the box"</v>
      </c>
      <c r="O27" s="29" t="str" cm="1">
        <f t="array" ref="O27">IFERROR(INDEX(_xlfn.UNIQUE(TRIM(_xlfn.TEXTSPLIT(Table26142567891112[[#This Row],[Selection Options]:[Selection Options]],","))),,O$11),"")</f>
        <v xml:space="preserve">
75%: Supported via modifications (config)</v>
      </c>
      <c r="P27" s="29" t="str" cm="1">
        <f t="array" ref="P27">IFERROR(INDEX(_xlfn.UNIQUE(TRIM(_xlfn.TEXTSPLIT(Table26142567891112[[#This Row],[Selection Options]:[Selection Options]],","))),,P$11),"")</f>
        <v xml:space="preserve">
50%: Supported via a third party solution</v>
      </c>
      <c r="Q27" s="29" t="str" cm="1">
        <f t="array" ref="Q27">IFERROR(INDEX(_xlfn.UNIQUE(TRIM(_xlfn.TEXTSPLIT(Table26142567891112[[#This Row],[Selection Options]:[Selection Options]],","))),,Q$11),"")</f>
        <v xml:space="preserve">
25%: Supported via customisation (source code changes)</v>
      </c>
      <c r="R27" s="29" t="str" cm="1">
        <f t="array" ref="R27">IFERROR(INDEX(_xlfn.UNIQUE(TRIM(_xlfn.TEXTSPLIT(Table26142567891112[[#This Row],[Selection Options]:[Selection Options]],","))),,R$11),"")</f>
        <v>0%: Not currently supported</v>
      </c>
      <c r="S27" s="29" t="str" cm="1">
        <f t="array" ref="S27">IFERROR(INDEX(_xlfn.UNIQUE(TRIM(_xlfn.TEXTSPLIT(Table26142567891112[[#This Row],[Selection Options]:[Selection Options]],","))),,S$11),"")</f>
        <v/>
      </c>
      <c r="T27" s="29" t="str" cm="1">
        <f t="array" ref="T27">IFERROR(INDEX(_xlfn.UNIQUE(TRIM(_xlfn.TEXTSPLIT(Table26142567891112[[#This Row],[Selection Options]:[Selection Options]],","))),,T$11),"")</f>
        <v/>
      </c>
      <c r="U27" s="29" t="str" cm="1">
        <f t="array" ref="U27">IFERROR(INDEX(_xlfn.UNIQUE(TRIM(_xlfn.TEXTSPLIT(Table26142567891112[[#This Row],[Selection Options]:[Selection Options]],","))),,U$11),"")</f>
        <v/>
      </c>
      <c r="V27" s="29" t="str" cm="1">
        <f t="array" ref="V27">IFERROR(INDEX(_xlfn.UNIQUE(TRIM(_xlfn.TEXTSPLIT(Table26142567891112[[#This Row],[Selection Options]:[Selection Options]],","))),,V$11),"")</f>
        <v/>
      </c>
      <c r="W27" s="29" t="str" cm="1">
        <f t="array" ref="W27">IFERROR(INDEX(_xlfn.UNIQUE(TRIM(_xlfn.TEXTSPLIT(Table26142567891112[[#This Row],[Selection Options]:[Selection Options]],","))),,W$11),"")</f>
        <v/>
      </c>
      <c r="X27" s="29" t="str" cm="1">
        <f t="array" ref="X27">IFERROR(INDEX(_xlfn.UNIQUE(TRIM(_xlfn.TEXTSPLIT(Table26142567891112[[#This Row],[Selection Options]:[Selection Options]],","))),,X$11),"")</f>
        <v/>
      </c>
      <c r="Y27" s="30" cm="1">
        <f t="array" ref="Y27">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7" s="30" cm="1">
        <f t="array" ref="Z27">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7" s="30" cm="1">
        <f t="array" ref="AA27">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7" s="30" cm="1">
        <f t="array" ref="AB27">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7" s="30" cm="1">
        <f t="array" ref="AC27">IF(Table26142567891112[[#This Row],[5]]="","",Table26142567891112[[#This Row],[Weight]:[Weight]]-(Table26142567891112[[#This Row],[Weight]:[Weight]]*((_xlfn.XMATCH(Table26142567891112[[#This Row],[5]],Table26142567891112[[#This Row],[1]:[11]],0))-1)/(COUNTA(Table26142567891112[[#This Row],[1]:[11]])-COUNTBLANK(Table26142567891112[[#This Row],[1]:[11]])-1)))</f>
        <v>0</v>
      </c>
      <c r="AD27" s="30" t="str" cm="1">
        <f t="array" ref="AD27">IF(Table26142567891112[[#This Row],[6]]="","",Table26142567891112[[#This Row],[Weight]:[Weight]]-(Table26142567891112[[#This Row],[Weight]:[Weight]]*((_xlfn.XMATCH(Table26142567891112[[#This Row],[6]],Table26142567891112[[#This Row],[1]:[11]],0))-1)/(COUNTA(Table26142567891112[[#This Row],[1]:[11]])-COUNTBLANK(Table26142567891112[[#This Row],[1]:[11]])-1)))</f>
        <v/>
      </c>
      <c r="AE27" s="30" t="str" cm="1">
        <f t="array" ref="AE27">IF(Table26142567891112[[#This Row],[7]]="","",Table26142567891112[[#This Row],[Weight]:[Weight]]-(Table26142567891112[[#This Row],[Weight]:[Weight]]*((_xlfn.XMATCH(Table26142567891112[[#This Row],[7]],Table26142567891112[[#This Row],[1]:[11]],0))-1)/(COUNTA(Table26142567891112[[#This Row],[1]:[11]])-COUNTBLANK(Table26142567891112[[#This Row],[1]:[11]])-1)))</f>
        <v/>
      </c>
      <c r="AF27" s="30" t="str" cm="1">
        <f t="array" ref="AF27">IF(Table26142567891112[[#This Row],[8]]="","",Table26142567891112[[#This Row],[Weight]:[Weight]]-(Table26142567891112[[#This Row],[Weight]:[Weight]]*((_xlfn.XMATCH(Table26142567891112[[#This Row],[8]],Table26142567891112[[#This Row],[1]:[11]],0))-1)/(COUNTA(Table26142567891112[[#This Row],[1]:[11]])-COUNTBLANK(Table26142567891112[[#This Row],[1]:[11]])-1)))</f>
        <v/>
      </c>
      <c r="AG27" s="30" t="str" cm="1">
        <f t="array" ref="AG27">IF(Table26142567891112[[#This Row],[9]]="","",Table26142567891112[[#This Row],[Weight]:[Weight]]-(Table26142567891112[[#This Row],[Weight]:[Weight]]*((_xlfn.XMATCH(Table26142567891112[[#This Row],[9]],Table26142567891112[[#This Row],[1]:[11]],0))-1)/(COUNTA(Table26142567891112[[#This Row],[1]:[11]])-COUNTBLANK(Table26142567891112[[#This Row],[1]:[11]])-1)))</f>
        <v/>
      </c>
      <c r="AH27" s="30" t="str" cm="1">
        <f t="array" ref="AH27">IF(Table26142567891112[[#This Row],[10]]="","",Table26142567891112[[#This Row],[Weight]:[Weight]]-(Table26142567891112[[#This Row],[Weight]:[Weight]]*((_xlfn.XMATCH(Table26142567891112[[#This Row],[10]],Table26142567891112[[#This Row],[1]:[11]],0))-1)/(COUNTA(Table26142567891112[[#This Row],[1]:[11]])-COUNTBLANK(Table26142567891112[[#This Row],[1]:[11]])-1)))</f>
        <v/>
      </c>
      <c r="AI27" s="30" t="str" cm="1">
        <f t="array" ref="AI27">IF(Table26142567891112[[#This Row],[11]]="","",Table26142567891112[[#This Row],[Weight]:[Weight]]-(Table26142567891112[[#This Row],[Weight]:[Weight]]*((_xlfn.XMATCH(Table26142567891112[[#This Row],[11]],Table26142567891112[[#This Row],[1]:[11]],0))-1)/(COUNTA(Table26142567891112[[#This Row],[1]:[11]])-COUNTBLANK(Table26142567891112[[#This Row],[1]:[11]])-1)))</f>
        <v/>
      </c>
    </row>
    <row r="28" spans="1:35" ht="108" x14ac:dyDescent="0.2">
      <c r="A28" s="20">
        <v>16</v>
      </c>
      <c r="B28" s="119" t="s">
        <v>566</v>
      </c>
      <c r="C28" s="119" t="s">
        <v>215</v>
      </c>
      <c r="D28" s="153"/>
      <c r="E28" s="153"/>
      <c r="F28" s="121" t="s">
        <v>188</v>
      </c>
      <c r="G28" s="148" cm="1">
        <f t="array" ref="G28">_xlfn.IFS(F28="","",F28="No interest",0,F28="Nice to have",1,F28="Useful",2,F28="Important",3,F28="Very important",4,F28="Critical",5,F28="Show stopper",6)</f>
        <v>5</v>
      </c>
      <c r="H28" s="149">
        <f t="shared" si="1"/>
        <v>1.7156862745098037E-3</v>
      </c>
      <c r="I28" s="150" t="s">
        <v>548</v>
      </c>
      <c r="J28" s="35" t="str" cm="1">
        <f t="array" ref="J28">_xlfn.TEXTJOIN(","&amp;CHAR(10),,TEXT(Table26142567891112[[#This Row],[12]:[22]],"0,00%"))</f>
        <v>0,00%,
0,00%,
0,00%,
0,00%,
0,00%</v>
      </c>
      <c r="K28" s="36"/>
      <c r="L28" s="27" t="e">
        <f>H28-(H28*((MATCH(Table26142567891112[[#This Row],[Evaluators Response (SELECT)]],Table26142567891112[[#This Row],[1]:[11]],0)-1)/(COUNTA(Table26142567891112[[#This Row],[1]:[11]])-COUNTBLANK(Table26142567891112[[#This Row],[1]:[11]])-1)))</f>
        <v>#N/A</v>
      </c>
      <c r="M28" s="28"/>
      <c r="N28" s="29" t="str" cm="1">
        <f t="array" ref="N28">IFERROR(INDEX(_xlfn.UNIQUE(TRIM(_xlfn.TEXTSPLIT(Table26142567891112[[#This Row],[Selection Options]:[Selection Options]],","))),,N$11),"")</f>
        <v>100%: Supported as delivered "out of the box"</v>
      </c>
      <c r="O28" s="29" t="str" cm="1">
        <f t="array" ref="O28">IFERROR(INDEX(_xlfn.UNIQUE(TRIM(_xlfn.TEXTSPLIT(Table26142567891112[[#This Row],[Selection Options]:[Selection Options]],","))),,O$11),"")</f>
        <v xml:space="preserve">
75%: Supported via modifications (config)</v>
      </c>
      <c r="P28" s="29" t="str" cm="1">
        <f t="array" ref="P28">IFERROR(INDEX(_xlfn.UNIQUE(TRIM(_xlfn.TEXTSPLIT(Table26142567891112[[#This Row],[Selection Options]:[Selection Options]],","))),,P$11),"")</f>
        <v xml:space="preserve">
50%: Supported via a third party solution</v>
      </c>
      <c r="Q28" s="29" t="str" cm="1">
        <f t="array" ref="Q28">IFERROR(INDEX(_xlfn.UNIQUE(TRIM(_xlfn.TEXTSPLIT(Table26142567891112[[#This Row],[Selection Options]:[Selection Options]],","))),,Q$11),"")</f>
        <v xml:space="preserve">
25%: Supported via customisation (source code changes)</v>
      </c>
      <c r="R28" s="29" t="str" cm="1">
        <f t="array" ref="R28">IFERROR(INDEX(_xlfn.UNIQUE(TRIM(_xlfn.TEXTSPLIT(Table26142567891112[[#This Row],[Selection Options]:[Selection Options]],","))),,R$11),"")</f>
        <v>0%: Not currently supported</v>
      </c>
      <c r="S28" s="29" t="str" cm="1">
        <f t="array" ref="S28">IFERROR(INDEX(_xlfn.UNIQUE(TRIM(_xlfn.TEXTSPLIT(Table26142567891112[[#This Row],[Selection Options]:[Selection Options]],","))),,S$11),"")</f>
        <v/>
      </c>
      <c r="T28" s="29" t="str" cm="1">
        <f t="array" ref="T28">IFERROR(INDEX(_xlfn.UNIQUE(TRIM(_xlfn.TEXTSPLIT(Table26142567891112[[#This Row],[Selection Options]:[Selection Options]],","))),,T$11),"")</f>
        <v/>
      </c>
      <c r="U28" s="29" t="str" cm="1">
        <f t="array" ref="U28">IFERROR(INDEX(_xlfn.UNIQUE(TRIM(_xlfn.TEXTSPLIT(Table26142567891112[[#This Row],[Selection Options]:[Selection Options]],","))),,U$11),"")</f>
        <v/>
      </c>
      <c r="V28" s="29" t="str" cm="1">
        <f t="array" ref="V28">IFERROR(INDEX(_xlfn.UNIQUE(TRIM(_xlfn.TEXTSPLIT(Table26142567891112[[#This Row],[Selection Options]:[Selection Options]],","))),,V$11),"")</f>
        <v/>
      </c>
      <c r="W28" s="29" t="str" cm="1">
        <f t="array" ref="W28">IFERROR(INDEX(_xlfn.UNIQUE(TRIM(_xlfn.TEXTSPLIT(Table26142567891112[[#This Row],[Selection Options]:[Selection Options]],","))),,W$11),"")</f>
        <v/>
      </c>
      <c r="X28" s="29" t="str" cm="1">
        <f t="array" ref="X28">IFERROR(INDEX(_xlfn.UNIQUE(TRIM(_xlfn.TEXTSPLIT(Table26142567891112[[#This Row],[Selection Options]:[Selection Options]],","))),,X$11),"")</f>
        <v/>
      </c>
      <c r="Y28" s="30" cm="1">
        <f t="array" ref="Y28">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8" s="30" cm="1">
        <f t="array" ref="Z28">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8" s="30" cm="1">
        <f t="array" ref="AA28">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8" s="30" cm="1">
        <f t="array" ref="AB28">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8" s="30" cm="1">
        <f t="array" ref="AC28">IF(Table26142567891112[[#This Row],[5]]="","",Table26142567891112[[#This Row],[Weight]:[Weight]]-(Table26142567891112[[#This Row],[Weight]:[Weight]]*((_xlfn.XMATCH(Table26142567891112[[#This Row],[5]],Table26142567891112[[#This Row],[1]:[11]],0))-1)/(COUNTA(Table26142567891112[[#This Row],[1]:[11]])-COUNTBLANK(Table26142567891112[[#This Row],[1]:[11]])-1)))</f>
        <v>0</v>
      </c>
      <c r="AD28" s="30" t="str" cm="1">
        <f t="array" ref="AD28">IF(Table26142567891112[[#This Row],[6]]="","",Table26142567891112[[#This Row],[Weight]:[Weight]]-(Table26142567891112[[#This Row],[Weight]:[Weight]]*((_xlfn.XMATCH(Table26142567891112[[#This Row],[6]],Table26142567891112[[#This Row],[1]:[11]],0))-1)/(COUNTA(Table26142567891112[[#This Row],[1]:[11]])-COUNTBLANK(Table26142567891112[[#This Row],[1]:[11]])-1)))</f>
        <v/>
      </c>
      <c r="AE28" s="30" t="str" cm="1">
        <f t="array" ref="AE28">IF(Table26142567891112[[#This Row],[7]]="","",Table26142567891112[[#This Row],[Weight]:[Weight]]-(Table26142567891112[[#This Row],[Weight]:[Weight]]*((_xlfn.XMATCH(Table26142567891112[[#This Row],[7]],Table26142567891112[[#This Row],[1]:[11]],0))-1)/(COUNTA(Table26142567891112[[#This Row],[1]:[11]])-COUNTBLANK(Table26142567891112[[#This Row],[1]:[11]])-1)))</f>
        <v/>
      </c>
      <c r="AF28" s="30" t="str" cm="1">
        <f t="array" ref="AF28">IF(Table26142567891112[[#This Row],[8]]="","",Table26142567891112[[#This Row],[Weight]:[Weight]]-(Table26142567891112[[#This Row],[Weight]:[Weight]]*((_xlfn.XMATCH(Table26142567891112[[#This Row],[8]],Table26142567891112[[#This Row],[1]:[11]],0))-1)/(COUNTA(Table26142567891112[[#This Row],[1]:[11]])-COUNTBLANK(Table26142567891112[[#This Row],[1]:[11]])-1)))</f>
        <v/>
      </c>
      <c r="AG28" s="30" t="str" cm="1">
        <f t="array" ref="AG28">IF(Table26142567891112[[#This Row],[9]]="","",Table26142567891112[[#This Row],[Weight]:[Weight]]-(Table26142567891112[[#This Row],[Weight]:[Weight]]*((_xlfn.XMATCH(Table26142567891112[[#This Row],[9]],Table26142567891112[[#This Row],[1]:[11]],0))-1)/(COUNTA(Table26142567891112[[#This Row],[1]:[11]])-COUNTBLANK(Table26142567891112[[#This Row],[1]:[11]])-1)))</f>
        <v/>
      </c>
      <c r="AH28" s="30" t="str" cm="1">
        <f t="array" ref="AH28">IF(Table26142567891112[[#This Row],[10]]="","",Table26142567891112[[#This Row],[Weight]:[Weight]]-(Table26142567891112[[#This Row],[Weight]:[Weight]]*((_xlfn.XMATCH(Table26142567891112[[#This Row],[10]],Table26142567891112[[#This Row],[1]:[11]],0))-1)/(COUNTA(Table26142567891112[[#This Row],[1]:[11]])-COUNTBLANK(Table26142567891112[[#This Row],[1]:[11]])-1)))</f>
        <v/>
      </c>
      <c r="AI28" s="30" t="str" cm="1">
        <f t="array" ref="AI28">IF(Table26142567891112[[#This Row],[11]]="","",Table26142567891112[[#This Row],[Weight]:[Weight]]-(Table26142567891112[[#This Row],[Weight]:[Weight]]*((_xlfn.XMATCH(Table26142567891112[[#This Row],[11]],Table26142567891112[[#This Row],[1]:[11]],0))-1)/(COUNTA(Table26142567891112[[#This Row],[1]:[11]])-COUNTBLANK(Table26142567891112[[#This Row],[1]:[11]])-1)))</f>
        <v/>
      </c>
    </row>
    <row r="29" spans="1:35" ht="108" x14ac:dyDescent="0.2">
      <c r="A29" s="227">
        <v>17</v>
      </c>
      <c r="B29" s="228" t="s">
        <v>567</v>
      </c>
      <c r="C29" s="228" t="s">
        <v>215</v>
      </c>
      <c r="D29" s="238"/>
      <c r="E29" s="238"/>
      <c r="F29" s="230" t="s">
        <v>188</v>
      </c>
      <c r="G29" s="231" cm="1">
        <f t="array" ref="G29">_xlfn.IFS(F29="","",F29="No interest",0,F29="Nice to have",1,F29="Useful",2,F29="Important",3,F29="Very important",4,F29="Critical",5,F29="Show stopper",6)</f>
        <v>5</v>
      </c>
      <c r="H29" s="232">
        <f t="shared" si="1"/>
        <v>1.7156862745098037E-3</v>
      </c>
      <c r="I29" s="233" t="s">
        <v>548</v>
      </c>
      <c r="J29" s="234" t="str" cm="1">
        <f t="array" ref="J29">_xlfn.TEXTJOIN(","&amp;CHAR(10),,TEXT(Table26142567891112[[#This Row],[12]:[22]],"0,00%"))</f>
        <v>0,00%,
0,00%,
0,00%,
0,00%,
0,00%</v>
      </c>
      <c r="K29" s="235"/>
      <c r="L29" s="236" t="e">
        <f>H29-(H29*((MATCH(Table26142567891112[[#This Row],[Evaluators Response (SELECT)]],Table26142567891112[[#This Row],[1]:[11]],0)-1)/(COUNTA(Table26142567891112[[#This Row],[1]:[11]])-COUNTBLANK(Table26142567891112[[#This Row],[1]:[11]])-1)))</f>
        <v>#N/A</v>
      </c>
      <c r="M29" s="237"/>
      <c r="N29" s="29" t="str" cm="1">
        <f t="array" ref="N29">IFERROR(INDEX(_xlfn.UNIQUE(TRIM(_xlfn.TEXTSPLIT(Table26142567891112[[#This Row],[Selection Options]:[Selection Options]],","))),,N$11),"")</f>
        <v>100%: Supported as delivered "out of the box"</v>
      </c>
      <c r="O29" s="29" t="str" cm="1">
        <f t="array" ref="O29">IFERROR(INDEX(_xlfn.UNIQUE(TRIM(_xlfn.TEXTSPLIT(Table26142567891112[[#This Row],[Selection Options]:[Selection Options]],","))),,O$11),"")</f>
        <v xml:space="preserve">
75%: Supported via modifications (config)</v>
      </c>
      <c r="P29" s="29" t="str" cm="1">
        <f t="array" ref="P29">IFERROR(INDEX(_xlfn.UNIQUE(TRIM(_xlfn.TEXTSPLIT(Table26142567891112[[#This Row],[Selection Options]:[Selection Options]],","))),,P$11),"")</f>
        <v xml:space="preserve">
50%: Supported via a third party solution</v>
      </c>
      <c r="Q29" s="29" t="str" cm="1">
        <f t="array" ref="Q29">IFERROR(INDEX(_xlfn.UNIQUE(TRIM(_xlfn.TEXTSPLIT(Table26142567891112[[#This Row],[Selection Options]:[Selection Options]],","))),,Q$11),"")</f>
        <v xml:space="preserve">
25%: Supported via customisation (source code changes)</v>
      </c>
      <c r="R29" s="29" t="str" cm="1">
        <f t="array" ref="R29">IFERROR(INDEX(_xlfn.UNIQUE(TRIM(_xlfn.TEXTSPLIT(Table26142567891112[[#This Row],[Selection Options]:[Selection Options]],","))),,R$11),"")</f>
        <v>0%: Not currently supported</v>
      </c>
      <c r="S29" s="29" t="str" cm="1">
        <f t="array" ref="S29">IFERROR(INDEX(_xlfn.UNIQUE(TRIM(_xlfn.TEXTSPLIT(Table26142567891112[[#This Row],[Selection Options]:[Selection Options]],","))),,S$11),"")</f>
        <v/>
      </c>
      <c r="T29" s="29" t="str" cm="1">
        <f t="array" ref="T29">IFERROR(INDEX(_xlfn.UNIQUE(TRIM(_xlfn.TEXTSPLIT(Table26142567891112[[#This Row],[Selection Options]:[Selection Options]],","))),,T$11),"")</f>
        <v/>
      </c>
      <c r="U29" s="29" t="str" cm="1">
        <f t="array" ref="U29">IFERROR(INDEX(_xlfn.UNIQUE(TRIM(_xlfn.TEXTSPLIT(Table26142567891112[[#This Row],[Selection Options]:[Selection Options]],","))),,U$11),"")</f>
        <v/>
      </c>
      <c r="V29" s="29" t="str" cm="1">
        <f t="array" ref="V29">IFERROR(INDEX(_xlfn.UNIQUE(TRIM(_xlfn.TEXTSPLIT(Table26142567891112[[#This Row],[Selection Options]:[Selection Options]],","))),,V$11),"")</f>
        <v/>
      </c>
      <c r="W29" s="29" t="str" cm="1">
        <f t="array" ref="W29">IFERROR(INDEX(_xlfn.UNIQUE(TRIM(_xlfn.TEXTSPLIT(Table26142567891112[[#This Row],[Selection Options]:[Selection Options]],","))),,W$11),"")</f>
        <v/>
      </c>
      <c r="X29" s="29" t="str" cm="1">
        <f t="array" ref="X29">IFERROR(INDEX(_xlfn.UNIQUE(TRIM(_xlfn.TEXTSPLIT(Table26142567891112[[#This Row],[Selection Options]:[Selection Options]],","))),,X$11),"")</f>
        <v/>
      </c>
      <c r="Y29" s="30" cm="1">
        <f t="array" ref="Y29">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29" s="30" cm="1">
        <f t="array" ref="Z29">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29" s="30" cm="1">
        <f t="array" ref="AA29">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29" s="30" cm="1">
        <f t="array" ref="AB29">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29" s="30" cm="1">
        <f t="array" ref="AC29">IF(Table26142567891112[[#This Row],[5]]="","",Table26142567891112[[#This Row],[Weight]:[Weight]]-(Table26142567891112[[#This Row],[Weight]:[Weight]]*((_xlfn.XMATCH(Table26142567891112[[#This Row],[5]],Table26142567891112[[#This Row],[1]:[11]],0))-1)/(COUNTA(Table26142567891112[[#This Row],[1]:[11]])-COUNTBLANK(Table26142567891112[[#This Row],[1]:[11]])-1)))</f>
        <v>0</v>
      </c>
      <c r="AD29" s="30" t="str" cm="1">
        <f t="array" ref="AD29">IF(Table26142567891112[[#This Row],[6]]="","",Table26142567891112[[#This Row],[Weight]:[Weight]]-(Table26142567891112[[#This Row],[Weight]:[Weight]]*((_xlfn.XMATCH(Table26142567891112[[#This Row],[6]],Table26142567891112[[#This Row],[1]:[11]],0))-1)/(COUNTA(Table26142567891112[[#This Row],[1]:[11]])-COUNTBLANK(Table26142567891112[[#This Row],[1]:[11]])-1)))</f>
        <v/>
      </c>
      <c r="AE29" s="30" t="str" cm="1">
        <f t="array" ref="AE29">IF(Table26142567891112[[#This Row],[7]]="","",Table26142567891112[[#This Row],[Weight]:[Weight]]-(Table26142567891112[[#This Row],[Weight]:[Weight]]*((_xlfn.XMATCH(Table26142567891112[[#This Row],[7]],Table26142567891112[[#This Row],[1]:[11]],0))-1)/(COUNTA(Table26142567891112[[#This Row],[1]:[11]])-COUNTBLANK(Table26142567891112[[#This Row],[1]:[11]])-1)))</f>
        <v/>
      </c>
      <c r="AF29" s="30" t="str" cm="1">
        <f t="array" ref="AF29">IF(Table26142567891112[[#This Row],[8]]="","",Table26142567891112[[#This Row],[Weight]:[Weight]]-(Table26142567891112[[#This Row],[Weight]:[Weight]]*((_xlfn.XMATCH(Table26142567891112[[#This Row],[8]],Table26142567891112[[#This Row],[1]:[11]],0))-1)/(COUNTA(Table26142567891112[[#This Row],[1]:[11]])-COUNTBLANK(Table26142567891112[[#This Row],[1]:[11]])-1)))</f>
        <v/>
      </c>
      <c r="AG29" s="30" t="str" cm="1">
        <f t="array" ref="AG29">IF(Table26142567891112[[#This Row],[9]]="","",Table26142567891112[[#This Row],[Weight]:[Weight]]-(Table26142567891112[[#This Row],[Weight]:[Weight]]*((_xlfn.XMATCH(Table26142567891112[[#This Row],[9]],Table26142567891112[[#This Row],[1]:[11]],0))-1)/(COUNTA(Table26142567891112[[#This Row],[1]:[11]])-COUNTBLANK(Table26142567891112[[#This Row],[1]:[11]])-1)))</f>
        <v/>
      </c>
      <c r="AH29" s="30" t="str" cm="1">
        <f t="array" ref="AH29">IF(Table26142567891112[[#This Row],[10]]="","",Table26142567891112[[#This Row],[Weight]:[Weight]]-(Table26142567891112[[#This Row],[Weight]:[Weight]]*((_xlfn.XMATCH(Table26142567891112[[#This Row],[10]],Table26142567891112[[#This Row],[1]:[11]],0))-1)/(COUNTA(Table26142567891112[[#This Row],[1]:[11]])-COUNTBLANK(Table26142567891112[[#This Row],[1]:[11]])-1)))</f>
        <v/>
      </c>
      <c r="AI29" s="30" t="str" cm="1">
        <f t="array" ref="AI29">IF(Table26142567891112[[#This Row],[11]]="","",Table26142567891112[[#This Row],[Weight]:[Weight]]-(Table26142567891112[[#This Row],[Weight]:[Weight]]*((_xlfn.XMATCH(Table26142567891112[[#This Row],[11]],Table26142567891112[[#This Row],[1]:[11]],0))-1)/(COUNTA(Table26142567891112[[#This Row],[1]:[11]])-COUNTBLANK(Table26142567891112[[#This Row],[1]:[11]])-1)))</f>
        <v/>
      </c>
    </row>
    <row r="30" spans="1:35" ht="108" x14ac:dyDescent="0.2">
      <c r="A30" s="20">
        <v>18</v>
      </c>
      <c r="B30" s="119" t="s">
        <v>568</v>
      </c>
      <c r="C30" s="119" t="s">
        <v>215</v>
      </c>
      <c r="D30" s="153"/>
      <c r="E30" s="153"/>
      <c r="F30" s="121" t="s">
        <v>188</v>
      </c>
      <c r="G30" s="148" cm="1">
        <f t="array" ref="G30">_xlfn.IFS(F30="","",F30="No interest",0,F30="Nice to have",1,F30="Useful",2,F30="Important",3,F30="Very important",4,F30="Critical",5,F30="Show stopper",6)</f>
        <v>5</v>
      </c>
      <c r="H30" s="149">
        <f t="shared" si="1"/>
        <v>1.7156862745098037E-3</v>
      </c>
      <c r="I30" s="150" t="s">
        <v>548</v>
      </c>
      <c r="J30" s="35" t="str" cm="1">
        <f t="array" ref="J30">_xlfn.TEXTJOIN(","&amp;CHAR(10),,TEXT(Table26142567891112[[#This Row],[12]:[22]],"0,00%"))</f>
        <v>0,00%,
0,00%,
0,00%,
0,00%,
0,00%</v>
      </c>
      <c r="K30" s="36"/>
      <c r="L30" s="27" t="e">
        <f>H30-(H30*((MATCH(Table26142567891112[[#This Row],[Evaluators Response (SELECT)]],Table26142567891112[[#This Row],[1]:[11]],0)-1)/(COUNTA(Table26142567891112[[#This Row],[1]:[11]])-COUNTBLANK(Table26142567891112[[#This Row],[1]:[11]])-1)))</f>
        <v>#N/A</v>
      </c>
      <c r="M30" s="28"/>
      <c r="N30" s="29" t="str" cm="1">
        <f t="array" ref="N30">IFERROR(INDEX(_xlfn.UNIQUE(TRIM(_xlfn.TEXTSPLIT(Table26142567891112[[#This Row],[Selection Options]:[Selection Options]],","))),,N$11),"")</f>
        <v>100%: Supported as delivered "out of the box"</v>
      </c>
      <c r="O30" s="29" t="str" cm="1">
        <f t="array" ref="O30">IFERROR(INDEX(_xlfn.UNIQUE(TRIM(_xlfn.TEXTSPLIT(Table26142567891112[[#This Row],[Selection Options]:[Selection Options]],","))),,O$11),"")</f>
        <v xml:space="preserve">
75%: Supported via modifications (config)</v>
      </c>
      <c r="P30" s="29" t="str" cm="1">
        <f t="array" ref="P30">IFERROR(INDEX(_xlfn.UNIQUE(TRIM(_xlfn.TEXTSPLIT(Table26142567891112[[#This Row],[Selection Options]:[Selection Options]],","))),,P$11),"")</f>
        <v xml:space="preserve">
50%: Supported via a third party solution</v>
      </c>
      <c r="Q30" s="29" t="str" cm="1">
        <f t="array" ref="Q30">IFERROR(INDEX(_xlfn.UNIQUE(TRIM(_xlfn.TEXTSPLIT(Table26142567891112[[#This Row],[Selection Options]:[Selection Options]],","))),,Q$11),"")</f>
        <v xml:space="preserve">
25%: Supported via customisation (source code changes)</v>
      </c>
      <c r="R30" s="29" t="str" cm="1">
        <f t="array" ref="R30">IFERROR(INDEX(_xlfn.UNIQUE(TRIM(_xlfn.TEXTSPLIT(Table26142567891112[[#This Row],[Selection Options]:[Selection Options]],","))),,R$11),"")</f>
        <v>0%: Not currently supported</v>
      </c>
      <c r="S30" s="29" t="str" cm="1">
        <f t="array" ref="S30">IFERROR(INDEX(_xlfn.UNIQUE(TRIM(_xlfn.TEXTSPLIT(Table26142567891112[[#This Row],[Selection Options]:[Selection Options]],","))),,S$11),"")</f>
        <v/>
      </c>
      <c r="T30" s="29" t="str" cm="1">
        <f t="array" ref="T30">IFERROR(INDEX(_xlfn.UNIQUE(TRIM(_xlfn.TEXTSPLIT(Table26142567891112[[#This Row],[Selection Options]:[Selection Options]],","))),,T$11),"")</f>
        <v/>
      </c>
      <c r="U30" s="29" t="str" cm="1">
        <f t="array" ref="U30">IFERROR(INDEX(_xlfn.UNIQUE(TRIM(_xlfn.TEXTSPLIT(Table26142567891112[[#This Row],[Selection Options]:[Selection Options]],","))),,U$11),"")</f>
        <v/>
      </c>
      <c r="V30" s="29" t="str" cm="1">
        <f t="array" ref="V30">IFERROR(INDEX(_xlfn.UNIQUE(TRIM(_xlfn.TEXTSPLIT(Table26142567891112[[#This Row],[Selection Options]:[Selection Options]],","))),,V$11),"")</f>
        <v/>
      </c>
      <c r="W30" s="29" t="str" cm="1">
        <f t="array" ref="W30">IFERROR(INDEX(_xlfn.UNIQUE(TRIM(_xlfn.TEXTSPLIT(Table26142567891112[[#This Row],[Selection Options]:[Selection Options]],","))),,W$11),"")</f>
        <v/>
      </c>
      <c r="X30" s="29" t="str" cm="1">
        <f t="array" ref="X30">IFERROR(INDEX(_xlfn.UNIQUE(TRIM(_xlfn.TEXTSPLIT(Table26142567891112[[#This Row],[Selection Options]:[Selection Options]],","))),,X$11),"")</f>
        <v/>
      </c>
      <c r="Y30" s="30" cm="1">
        <f t="array" ref="Y30">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30" s="30" cm="1">
        <f t="array" ref="Z30">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30" s="30" cm="1">
        <f t="array" ref="AA30">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30" s="30" cm="1">
        <f t="array" ref="AB30">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30" s="30" cm="1">
        <f t="array" ref="AC30">IF(Table26142567891112[[#This Row],[5]]="","",Table26142567891112[[#This Row],[Weight]:[Weight]]-(Table26142567891112[[#This Row],[Weight]:[Weight]]*((_xlfn.XMATCH(Table26142567891112[[#This Row],[5]],Table26142567891112[[#This Row],[1]:[11]],0))-1)/(COUNTA(Table26142567891112[[#This Row],[1]:[11]])-COUNTBLANK(Table26142567891112[[#This Row],[1]:[11]])-1)))</f>
        <v>0</v>
      </c>
      <c r="AD30" s="30" t="str" cm="1">
        <f t="array" ref="AD30">IF(Table26142567891112[[#This Row],[6]]="","",Table26142567891112[[#This Row],[Weight]:[Weight]]-(Table26142567891112[[#This Row],[Weight]:[Weight]]*((_xlfn.XMATCH(Table26142567891112[[#This Row],[6]],Table26142567891112[[#This Row],[1]:[11]],0))-1)/(COUNTA(Table26142567891112[[#This Row],[1]:[11]])-COUNTBLANK(Table26142567891112[[#This Row],[1]:[11]])-1)))</f>
        <v/>
      </c>
      <c r="AE30" s="30" t="str" cm="1">
        <f t="array" ref="AE30">IF(Table26142567891112[[#This Row],[7]]="","",Table26142567891112[[#This Row],[Weight]:[Weight]]-(Table26142567891112[[#This Row],[Weight]:[Weight]]*((_xlfn.XMATCH(Table26142567891112[[#This Row],[7]],Table26142567891112[[#This Row],[1]:[11]],0))-1)/(COUNTA(Table26142567891112[[#This Row],[1]:[11]])-COUNTBLANK(Table26142567891112[[#This Row],[1]:[11]])-1)))</f>
        <v/>
      </c>
      <c r="AF30" s="30" t="str" cm="1">
        <f t="array" ref="AF30">IF(Table26142567891112[[#This Row],[8]]="","",Table26142567891112[[#This Row],[Weight]:[Weight]]-(Table26142567891112[[#This Row],[Weight]:[Weight]]*((_xlfn.XMATCH(Table26142567891112[[#This Row],[8]],Table26142567891112[[#This Row],[1]:[11]],0))-1)/(COUNTA(Table26142567891112[[#This Row],[1]:[11]])-COUNTBLANK(Table26142567891112[[#This Row],[1]:[11]])-1)))</f>
        <v/>
      </c>
      <c r="AG30" s="30" t="str" cm="1">
        <f t="array" ref="AG30">IF(Table26142567891112[[#This Row],[9]]="","",Table26142567891112[[#This Row],[Weight]:[Weight]]-(Table26142567891112[[#This Row],[Weight]:[Weight]]*((_xlfn.XMATCH(Table26142567891112[[#This Row],[9]],Table26142567891112[[#This Row],[1]:[11]],0))-1)/(COUNTA(Table26142567891112[[#This Row],[1]:[11]])-COUNTBLANK(Table26142567891112[[#This Row],[1]:[11]])-1)))</f>
        <v/>
      </c>
      <c r="AH30" s="30" t="str" cm="1">
        <f t="array" ref="AH30">IF(Table26142567891112[[#This Row],[10]]="","",Table26142567891112[[#This Row],[Weight]:[Weight]]-(Table26142567891112[[#This Row],[Weight]:[Weight]]*((_xlfn.XMATCH(Table26142567891112[[#This Row],[10]],Table26142567891112[[#This Row],[1]:[11]],0))-1)/(COUNTA(Table26142567891112[[#This Row],[1]:[11]])-COUNTBLANK(Table26142567891112[[#This Row],[1]:[11]])-1)))</f>
        <v/>
      </c>
      <c r="AI30" s="30" t="str" cm="1">
        <f t="array" ref="AI30">IF(Table26142567891112[[#This Row],[11]]="","",Table26142567891112[[#This Row],[Weight]:[Weight]]-(Table26142567891112[[#This Row],[Weight]:[Weight]]*((_xlfn.XMATCH(Table26142567891112[[#This Row],[11]],Table26142567891112[[#This Row],[1]:[11]],0))-1)/(COUNTA(Table26142567891112[[#This Row],[1]:[11]])-COUNTBLANK(Table26142567891112[[#This Row],[1]:[11]])-1)))</f>
        <v/>
      </c>
    </row>
    <row r="31" spans="1:35" ht="108" x14ac:dyDescent="0.2">
      <c r="A31" s="227">
        <v>19</v>
      </c>
      <c r="B31" s="239" t="s">
        <v>569</v>
      </c>
      <c r="C31" s="228" t="s">
        <v>215</v>
      </c>
      <c r="D31" s="238"/>
      <c r="E31" s="238"/>
      <c r="F31" s="230" t="s">
        <v>60</v>
      </c>
      <c r="G31" s="231" cm="1">
        <f t="array" ref="G31">_xlfn.IFS(F31="","",F31="No interest",0,F31="Nice to have",1,F31="Useful",2,F31="Important",3,F31="Very important",4,F31="Critical",5,F31="Show stopper",6)</f>
        <v>6</v>
      </c>
      <c r="H31" s="232">
        <f t="shared" si="1"/>
        <v>2.0588235294117644E-3</v>
      </c>
      <c r="I31" s="233" t="s">
        <v>548</v>
      </c>
      <c r="J31" s="234" t="str" cm="1">
        <f t="array" ref="J31">_xlfn.TEXTJOIN(","&amp;CHAR(10),,TEXT(Table26142567891112[[#This Row],[12]:[22]],"0,00%"))</f>
        <v>0,00%,
0,00%,
0,00%,
0,00%,
0,00%</v>
      </c>
      <c r="K31" s="235"/>
      <c r="L31" s="236" t="e">
        <f>H31-(H31*((MATCH(Table26142567891112[[#This Row],[Evaluators Response (SELECT)]],Table26142567891112[[#This Row],[1]:[11]],0)-1)/(COUNTA(Table26142567891112[[#This Row],[1]:[11]])-COUNTBLANK(Table26142567891112[[#This Row],[1]:[11]])-1)))</f>
        <v>#N/A</v>
      </c>
      <c r="M31" s="237"/>
      <c r="N31" s="29" t="str" cm="1">
        <f t="array" ref="N31">IFERROR(INDEX(_xlfn.UNIQUE(TRIM(_xlfn.TEXTSPLIT(Table26142567891112[[#This Row],[Selection Options]:[Selection Options]],","))),,N$11),"")</f>
        <v>100%: Supported as delivered "out of the box"</v>
      </c>
      <c r="O31" s="29" t="str" cm="1">
        <f t="array" ref="O31">IFERROR(INDEX(_xlfn.UNIQUE(TRIM(_xlfn.TEXTSPLIT(Table26142567891112[[#This Row],[Selection Options]:[Selection Options]],","))),,O$11),"")</f>
        <v xml:space="preserve">
75%: Supported via modifications (config)</v>
      </c>
      <c r="P31" s="29" t="str" cm="1">
        <f t="array" ref="P31">IFERROR(INDEX(_xlfn.UNIQUE(TRIM(_xlfn.TEXTSPLIT(Table26142567891112[[#This Row],[Selection Options]:[Selection Options]],","))),,P$11),"")</f>
        <v xml:space="preserve">
50%: Supported via a third party solution</v>
      </c>
      <c r="Q31" s="29" t="str" cm="1">
        <f t="array" ref="Q31">IFERROR(INDEX(_xlfn.UNIQUE(TRIM(_xlfn.TEXTSPLIT(Table26142567891112[[#This Row],[Selection Options]:[Selection Options]],","))),,Q$11),"")</f>
        <v xml:space="preserve">
25%: Supported via customisation (source code changes)</v>
      </c>
      <c r="R31" s="29" t="str" cm="1">
        <f t="array" ref="R31">IFERROR(INDEX(_xlfn.UNIQUE(TRIM(_xlfn.TEXTSPLIT(Table26142567891112[[#This Row],[Selection Options]:[Selection Options]],","))),,R$11),"")</f>
        <v>0%: Not currently supported</v>
      </c>
      <c r="S31" s="29" t="str" cm="1">
        <f t="array" ref="S31">IFERROR(INDEX(_xlfn.UNIQUE(TRIM(_xlfn.TEXTSPLIT(Table26142567891112[[#This Row],[Selection Options]:[Selection Options]],","))),,S$11),"")</f>
        <v/>
      </c>
      <c r="T31" s="29" t="str" cm="1">
        <f t="array" ref="T31">IFERROR(INDEX(_xlfn.UNIQUE(TRIM(_xlfn.TEXTSPLIT(Table26142567891112[[#This Row],[Selection Options]:[Selection Options]],","))),,T$11),"")</f>
        <v/>
      </c>
      <c r="U31" s="29" t="str" cm="1">
        <f t="array" ref="U31">IFERROR(INDEX(_xlfn.UNIQUE(TRIM(_xlfn.TEXTSPLIT(Table26142567891112[[#This Row],[Selection Options]:[Selection Options]],","))),,U$11),"")</f>
        <v/>
      </c>
      <c r="V31" s="29" t="str" cm="1">
        <f t="array" ref="V31">IFERROR(INDEX(_xlfn.UNIQUE(TRIM(_xlfn.TEXTSPLIT(Table26142567891112[[#This Row],[Selection Options]:[Selection Options]],","))),,V$11),"")</f>
        <v/>
      </c>
      <c r="W31" s="29" t="str" cm="1">
        <f t="array" ref="W31">IFERROR(INDEX(_xlfn.UNIQUE(TRIM(_xlfn.TEXTSPLIT(Table26142567891112[[#This Row],[Selection Options]:[Selection Options]],","))),,W$11),"")</f>
        <v/>
      </c>
      <c r="X31" s="29" t="str" cm="1">
        <f t="array" ref="X31">IFERROR(INDEX(_xlfn.UNIQUE(TRIM(_xlfn.TEXTSPLIT(Table26142567891112[[#This Row],[Selection Options]:[Selection Options]],","))),,X$11),"")</f>
        <v/>
      </c>
      <c r="Y31" s="30" cm="1">
        <f t="array" ref="Y31">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31" s="30" cm="1">
        <f t="array" ref="Z31">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31" s="30" cm="1">
        <f t="array" ref="AA31">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31" s="30" cm="1">
        <f t="array" ref="AB31">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31" s="30" cm="1">
        <f t="array" ref="AC31">IF(Table26142567891112[[#This Row],[5]]="","",Table26142567891112[[#This Row],[Weight]:[Weight]]-(Table26142567891112[[#This Row],[Weight]:[Weight]]*((_xlfn.XMATCH(Table26142567891112[[#This Row],[5]],Table26142567891112[[#This Row],[1]:[11]],0))-1)/(COUNTA(Table26142567891112[[#This Row],[1]:[11]])-COUNTBLANK(Table26142567891112[[#This Row],[1]:[11]])-1)))</f>
        <v>0</v>
      </c>
      <c r="AD31" s="30" t="str" cm="1">
        <f t="array" ref="AD31">IF(Table26142567891112[[#This Row],[6]]="","",Table26142567891112[[#This Row],[Weight]:[Weight]]-(Table26142567891112[[#This Row],[Weight]:[Weight]]*((_xlfn.XMATCH(Table26142567891112[[#This Row],[6]],Table26142567891112[[#This Row],[1]:[11]],0))-1)/(COUNTA(Table26142567891112[[#This Row],[1]:[11]])-COUNTBLANK(Table26142567891112[[#This Row],[1]:[11]])-1)))</f>
        <v/>
      </c>
      <c r="AE31" s="30" t="str" cm="1">
        <f t="array" ref="AE31">IF(Table26142567891112[[#This Row],[7]]="","",Table26142567891112[[#This Row],[Weight]:[Weight]]-(Table26142567891112[[#This Row],[Weight]:[Weight]]*((_xlfn.XMATCH(Table26142567891112[[#This Row],[7]],Table26142567891112[[#This Row],[1]:[11]],0))-1)/(COUNTA(Table26142567891112[[#This Row],[1]:[11]])-COUNTBLANK(Table26142567891112[[#This Row],[1]:[11]])-1)))</f>
        <v/>
      </c>
      <c r="AF31" s="30" t="str" cm="1">
        <f t="array" ref="AF31">IF(Table26142567891112[[#This Row],[8]]="","",Table26142567891112[[#This Row],[Weight]:[Weight]]-(Table26142567891112[[#This Row],[Weight]:[Weight]]*((_xlfn.XMATCH(Table26142567891112[[#This Row],[8]],Table26142567891112[[#This Row],[1]:[11]],0))-1)/(COUNTA(Table26142567891112[[#This Row],[1]:[11]])-COUNTBLANK(Table26142567891112[[#This Row],[1]:[11]])-1)))</f>
        <v/>
      </c>
      <c r="AG31" s="30" t="str" cm="1">
        <f t="array" ref="AG31">IF(Table26142567891112[[#This Row],[9]]="","",Table26142567891112[[#This Row],[Weight]:[Weight]]-(Table26142567891112[[#This Row],[Weight]:[Weight]]*((_xlfn.XMATCH(Table26142567891112[[#This Row],[9]],Table26142567891112[[#This Row],[1]:[11]],0))-1)/(COUNTA(Table26142567891112[[#This Row],[1]:[11]])-COUNTBLANK(Table26142567891112[[#This Row],[1]:[11]])-1)))</f>
        <v/>
      </c>
      <c r="AH31" s="30" t="str" cm="1">
        <f t="array" ref="AH31">IF(Table26142567891112[[#This Row],[10]]="","",Table26142567891112[[#This Row],[Weight]:[Weight]]-(Table26142567891112[[#This Row],[Weight]:[Weight]]*((_xlfn.XMATCH(Table26142567891112[[#This Row],[10]],Table26142567891112[[#This Row],[1]:[11]],0))-1)/(COUNTA(Table26142567891112[[#This Row],[1]:[11]])-COUNTBLANK(Table26142567891112[[#This Row],[1]:[11]])-1)))</f>
        <v/>
      </c>
      <c r="AI31" s="30" t="str" cm="1">
        <f t="array" ref="AI31">IF(Table26142567891112[[#This Row],[11]]="","",Table26142567891112[[#This Row],[Weight]:[Weight]]-(Table26142567891112[[#This Row],[Weight]:[Weight]]*((_xlfn.XMATCH(Table26142567891112[[#This Row],[11]],Table26142567891112[[#This Row],[1]:[11]],0))-1)/(COUNTA(Table26142567891112[[#This Row],[1]:[11]])-COUNTBLANK(Table26142567891112[[#This Row],[1]:[11]])-1)))</f>
        <v/>
      </c>
    </row>
    <row r="32" spans="1:35" ht="108" x14ac:dyDescent="0.2">
      <c r="A32" s="20">
        <v>20</v>
      </c>
      <c r="B32" s="119" t="s">
        <v>570</v>
      </c>
      <c r="C32" s="119" t="s">
        <v>215</v>
      </c>
      <c r="D32" s="153"/>
      <c r="E32" s="153"/>
      <c r="F32" s="121" t="s">
        <v>60</v>
      </c>
      <c r="G32" s="148" cm="1">
        <f t="array" ref="G32">_xlfn.IFS(F32="","",F32="No interest",0,F32="Nice to have",1,F32="Useful",2,F32="Important",3,F32="Very important",4,F32="Critical",5,F32="Show stopper",6)</f>
        <v>6</v>
      </c>
      <c r="H32" s="149">
        <f t="shared" si="1"/>
        <v>2.0588235294117644E-3</v>
      </c>
      <c r="I32" s="150" t="s">
        <v>548</v>
      </c>
      <c r="J32" s="35" t="str" cm="1">
        <f t="array" ref="J32">_xlfn.TEXTJOIN(","&amp;CHAR(10),,TEXT(Table26142567891112[[#This Row],[12]:[22]],"0,00%"))</f>
        <v>0,00%,
0,00%,
0,00%,
0,00%,
0,00%</v>
      </c>
      <c r="K32" s="36"/>
      <c r="L32" s="27" t="e">
        <f>H32-(H32*((MATCH(Table26142567891112[[#This Row],[Evaluators Response (SELECT)]],Table26142567891112[[#This Row],[1]:[11]],0)-1)/(COUNTA(Table26142567891112[[#This Row],[1]:[11]])-COUNTBLANK(Table26142567891112[[#This Row],[1]:[11]])-1)))</f>
        <v>#N/A</v>
      </c>
      <c r="M32" s="28"/>
      <c r="N32" s="29" t="str" cm="1">
        <f t="array" ref="N32">IFERROR(INDEX(_xlfn.UNIQUE(TRIM(_xlfn.TEXTSPLIT(Table26142567891112[[#This Row],[Selection Options]:[Selection Options]],","))),,N$11),"")</f>
        <v>100%: Supported as delivered "out of the box"</v>
      </c>
      <c r="O32" s="29" t="str" cm="1">
        <f t="array" ref="O32">IFERROR(INDEX(_xlfn.UNIQUE(TRIM(_xlfn.TEXTSPLIT(Table26142567891112[[#This Row],[Selection Options]:[Selection Options]],","))),,O$11),"")</f>
        <v xml:space="preserve">
75%: Supported via modifications (config)</v>
      </c>
      <c r="P32" s="29" t="str" cm="1">
        <f t="array" ref="P32">IFERROR(INDEX(_xlfn.UNIQUE(TRIM(_xlfn.TEXTSPLIT(Table26142567891112[[#This Row],[Selection Options]:[Selection Options]],","))),,P$11),"")</f>
        <v xml:space="preserve">
50%: Supported via a third party solution</v>
      </c>
      <c r="Q32" s="29" t="str" cm="1">
        <f t="array" ref="Q32">IFERROR(INDEX(_xlfn.UNIQUE(TRIM(_xlfn.TEXTSPLIT(Table26142567891112[[#This Row],[Selection Options]:[Selection Options]],","))),,Q$11),"")</f>
        <v xml:space="preserve">
25%: Supported via customisation (source code changes)</v>
      </c>
      <c r="R32" s="29" t="str" cm="1">
        <f t="array" ref="R32">IFERROR(INDEX(_xlfn.UNIQUE(TRIM(_xlfn.TEXTSPLIT(Table26142567891112[[#This Row],[Selection Options]:[Selection Options]],","))),,R$11),"")</f>
        <v>0%: Not currently supported</v>
      </c>
      <c r="S32" s="29" t="str" cm="1">
        <f t="array" ref="S32">IFERROR(INDEX(_xlfn.UNIQUE(TRIM(_xlfn.TEXTSPLIT(Table26142567891112[[#This Row],[Selection Options]:[Selection Options]],","))),,S$11),"")</f>
        <v/>
      </c>
      <c r="T32" s="29" t="str" cm="1">
        <f t="array" ref="T32">IFERROR(INDEX(_xlfn.UNIQUE(TRIM(_xlfn.TEXTSPLIT(Table26142567891112[[#This Row],[Selection Options]:[Selection Options]],","))),,T$11),"")</f>
        <v/>
      </c>
      <c r="U32" s="29" t="str" cm="1">
        <f t="array" ref="U32">IFERROR(INDEX(_xlfn.UNIQUE(TRIM(_xlfn.TEXTSPLIT(Table26142567891112[[#This Row],[Selection Options]:[Selection Options]],","))),,U$11),"")</f>
        <v/>
      </c>
      <c r="V32" s="29" t="str" cm="1">
        <f t="array" ref="V32">IFERROR(INDEX(_xlfn.UNIQUE(TRIM(_xlfn.TEXTSPLIT(Table26142567891112[[#This Row],[Selection Options]:[Selection Options]],","))),,V$11),"")</f>
        <v/>
      </c>
      <c r="W32" s="29" t="str" cm="1">
        <f t="array" ref="W32">IFERROR(INDEX(_xlfn.UNIQUE(TRIM(_xlfn.TEXTSPLIT(Table26142567891112[[#This Row],[Selection Options]:[Selection Options]],","))),,W$11),"")</f>
        <v/>
      </c>
      <c r="X32" s="29" t="str" cm="1">
        <f t="array" ref="X32">IFERROR(INDEX(_xlfn.UNIQUE(TRIM(_xlfn.TEXTSPLIT(Table26142567891112[[#This Row],[Selection Options]:[Selection Options]],","))),,X$11),"")</f>
        <v/>
      </c>
      <c r="Y32" s="30" cm="1">
        <f t="array" ref="Y32">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32" s="30" cm="1">
        <f t="array" ref="Z32">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32" s="30" cm="1">
        <f t="array" ref="AA32">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32" s="30" cm="1">
        <f t="array" ref="AB32">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32" s="30" cm="1">
        <f t="array" ref="AC32">IF(Table26142567891112[[#This Row],[5]]="","",Table26142567891112[[#This Row],[Weight]:[Weight]]-(Table26142567891112[[#This Row],[Weight]:[Weight]]*((_xlfn.XMATCH(Table26142567891112[[#This Row],[5]],Table26142567891112[[#This Row],[1]:[11]],0))-1)/(COUNTA(Table26142567891112[[#This Row],[1]:[11]])-COUNTBLANK(Table26142567891112[[#This Row],[1]:[11]])-1)))</f>
        <v>0</v>
      </c>
      <c r="AD32" s="30" t="str" cm="1">
        <f t="array" ref="AD32">IF(Table26142567891112[[#This Row],[6]]="","",Table26142567891112[[#This Row],[Weight]:[Weight]]-(Table26142567891112[[#This Row],[Weight]:[Weight]]*((_xlfn.XMATCH(Table26142567891112[[#This Row],[6]],Table26142567891112[[#This Row],[1]:[11]],0))-1)/(COUNTA(Table26142567891112[[#This Row],[1]:[11]])-COUNTBLANK(Table26142567891112[[#This Row],[1]:[11]])-1)))</f>
        <v/>
      </c>
      <c r="AE32" s="30" t="str" cm="1">
        <f t="array" ref="AE32">IF(Table26142567891112[[#This Row],[7]]="","",Table26142567891112[[#This Row],[Weight]:[Weight]]-(Table26142567891112[[#This Row],[Weight]:[Weight]]*((_xlfn.XMATCH(Table26142567891112[[#This Row],[7]],Table26142567891112[[#This Row],[1]:[11]],0))-1)/(COUNTA(Table26142567891112[[#This Row],[1]:[11]])-COUNTBLANK(Table26142567891112[[#This Row],[1]:[11]])-1)))</f>
        <v/>
      </c>
      <c r="AF32" s="30" t="str" cm="1">
        <f t="array" ref="AF32">IF(Table26142567891112[[#This Row],[8]]="","",Table26142567891112[[#This Row],[Weight]:[Weight]]-(Table26142567891112[[#This Row],[Weight]:[Weight]]*((_xlfn.XMATCH(Table26142567891112[[#This Row],[8]],Table26142567891112[[#This Row],[1]:[11]],0))-1)/(COUNTA(Table26142567891112[[#This Row],[1]:[11]])-COUNTBLANK(Table26142567891112[[#This Row],[1]:[11]])-1)))</f>
        <v/>
      </c>
      <c r="AG32" s="30" t="str" cm="1">
        <f t="array" ref="AG32">IF(Table26142567891112[[#This Row],[9]]="","",Table26142567891112[[#This Row],[Weight]:[Weight]]-(Table26142567891112[[#This Row],[Weight]:[Weight]]*((_xlfn.XMATCH(Table26142567891112[[#This Row],[9]],Table26142567891112[[#This Row],[1]:[11]],0))-1)/(COUNTA(Table26142567891112[[#This Row],[1]:[11]])-COUNTBLANK(Table26142567891112[[#This Row],[1]:[11]])-1)))</f>
        <v/>
      </c>
      <c r="AH32" s="30" t="str" cm="1">
        <f t="array" ref="AH32">IF(Table26142567891112[[#This Row],[10]]="","",Table26142567891112[[#This Row],[Weight]:[Weight]]-(Table26142567891112[[#This Row],[Weight]:[Weight]]*((_xlfn.XMATCH(Table26142567891112[[#This Row],[10]],Table26142567891112[[#This Row],[1]:[11]],0))-1)/(COUNTA(Table26142567891112[[#This Row],[1]:[11]])-COUNTBLANK(Table26142567891112[[#This Row],[1]:[11]])-1)))</f>
        <v/>
      </c>
      <c r="AI32" s="30" t="str" cm="1">
        <f t="array" ref="AI32">IF(Table26142567891112[[#This Row],[11]]="","",Table26142567891112[[#This Row],[Weight]:[Weight]]-(Table26142567891112[[#This Row],[Weight]:[Weight]]*((_xlfn.XMATCH(Table26142567891112[[#This Row],[11]],Table26142567891112[[#This Row],[1]:[11]],0))-1)/(COUNTA(Table26142567891112[[#This Row],[1]:[11]])-COUNTBLANK(Table26142567891112[[#This Row],[1]:[11]])-1)))</f>
        <v/>
      </c>
    </row>
    <row r="33" spans="1:35" ht="108" x14ac:dyDescent="0.2">
      <c r="A33" s="20">
        <v>21</v>
      </c>
      <c r="B33" s="90" t="s">
        <v>571</v>
      </c>
      <c r="C33" s="119" t="s">
        <v>215</v>
      </c>
      <c r="D33" s="153"/>
      <c r="E33" s="153"/>
      <c r="F33" s="121" t="s">
        <v>60</v>
      </c>
      <c r="G33" s="148" cm="1">
        <f t="array" ref="G33">_xlfn.IFS(F33="","",F33="No interest",0,F33="Nice to have",1,F33="Useful",2,F33="Important",3,F33="Very important",4,F33="Critical",5,F33="Show stopper",6)</f>
        <v>6</v>
      </c>
      <c r="H33" s="149">
        <f t="shared" si="1"/>
        <v>2.0588235294117644E-3</v>
      </c>
      <c r="I33" s="150" t="s">
        <v>548</v>
      </c>
      <c r="J33" s="35" t="str" cm="1">
        <f t="array" ref="J33">_xlfn.TEXTJOIN(","&amp;CHAR(10),,TEXT(Table26142567891112[[#This Row],[12]:[22]],"0,00%"))</f>
        <v>0,00%,
0,00%,
0,00%,
0,00%,
0,00%</v>
      </c>
      <c r="K33" s="36"/>
      <c r="L33" s="27" t="e">
        <f>H33-(H33*((MATCH(Table26142567891112[[#This Row],[Evaluators Response (SELECT)]],Table26142567891112[[#This Row],[1]:[11]],0)-1)/(COUNTA(Table26142567891112[[#This Row],[1]:[11]])-COUNTBLANK(Table26142567891112[[#This Row],[1]:[11]])-1)))</f>
        <v>#N/A</v>
      </c>
      <c r="M33" s="28"/>
      <c r="N33" s="29" t="str" cm="1">
        <f t="array" ref="N33">IFERROR(INDEX(_xlfn.UNIQUE(TRIM(_xlfn.TEXTSPLIT(Table26142567891112[[#This Row],[Selection Options]:[Selection Options]],","))),,N$11),"")</f>
        <v>100%: Supported as delivered "out of the box"</v>
      </c>
      <c r="O33" s="29" t="str" cm="1">
        <f t="array" ref="O33">IFERROR(INDEX(_xlfn.UNIQUE(TRIM(_xlfn.TEXTSPLIT(Table26142567891112[[#This Row],[Selection Options]:[Selection Options]],","))),,O$11),"")</f>
        <v xml:space="preserve">
75%: Supported via modifications (config)</v>
      </c>
      <c r="P33" s="29" t="str" cm="1">
        <f t="array" ref="P33">IFERROR(INDEX(_xlfn.UNIQUE(TRIM(_xlfn.TEXTSPLIT(Table26142567891112[[#This Row],[Selection Options]:[Selection Options]],","))),,P$11),"")</f>
        <v xml:space="preserve">
50%: Supported via a third party solution</v>
      </c>
      <c r="Q33" s="29" t="str" cm="1">
        <f t="array" ref="Q33">IFERROR(INDEX(_xlfn.UNIQUE(TRIM(_xlfn.TEXTSPLIT(Table26142567891112[[#This Row],[Selection Options]:[Selection Options]],","))),,Q$11),"")</f>
        <v xml:space="preserve">
25%: Supported via customisation (source code changes)</v>
      </c>
      <c r="R33" s="29" t="str" cm="1">
        <f t="array" ref="R33">IFERROR(INDEX(_xlfn.UNIQUE(TRIM(_xlfn.TEXTSPLIT(Table26142567891112[[#This Row],[Selection Options]:[Selection Options]],","))),,R$11),"")</f>
        <v>0%: Not currently supported</v>
      </c>
      <c r="S33" s="29" t="str" cm="1">
        <f t="array" ref="S33">IFERROR(INDEX(_xlfn.UNIQUE(TRIM(_xlfn.TEXTSPLIT(Table26142567891112[[#This Row],[Selection Options]:[Selection Options]],","))),,S$11),"")</f>
        <v/>
      </c>
      <c r="T33" s="29" t="str" cm="1">
        <f t="array" ref="T33">IFERROR(INDEX(_xlfn.UNIQUE(TRIM(_xlfn.TEXTSPLIT(Table26142567891112[[#This Row],[Selection Options]:[Selection Options]],","))),,T$11),"")</f>
        <v/>
      </c>
      <c r="U33" s="29" t="str" cm="1">
        <f t="array" ref="U33">IFERROR(INDEX(_xlfn.UNIQUE(TRIM(_xlfn.TEXTSPLIT(Table26142567891112[[#This Row],[Selection Options]:[Selection Options]],","))),,U$11),"")</f>
        <v/>
      </c>
      <c r="V33" s="29" t="str" cm="1">
        <f t="array" ref="V33">IFERROR(INDEX(_xlfn.UNIQUE(TRIM(_xlfn.TEXTSPLIT(Table26142567891112[[#This Row],[Selection Options]:[Selection Options]],","))),,V$11),"")</f>
        <v/>
      </c>
      <c r="W33" s="29" t="str" cm="1">
        <f t="array" ref="W33">IFERROR(INDEX(_xlfn.UNIQUE(TRIM(_xlfn.TEXTSPLIT(Table26142567891112[[#This Row],[Selection Options]:[Selection Options]],","))),,W$11),"")</f>
        <v/>
      </c>
      <c r="X33" s="29" t="str" cm="1">
        <f t="array" ref="X33">IFERROR(INDEX(_xlfn.UNIQUE(TRIM(_xlfn.TEXTSPLIT(Table26142567891112[[#This Row],[Selection Options]:[Selection Options]],","))),,X$11),"")</f>
        <v/>
      </c>
      <c r="Y33" s="30" cm="1">
        <f t="array" ref="Y33">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33" s="30" cm="1">
        <f t="array" ref="Z33">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33" s="30" cm="1">
        <f t="array" ref="AA33">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33" s="30" cm="1">
        <f t="array" ref="AB33">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33" s="30" cm="1">
        <f t="array" ref="AC33">IF(Table26142567891112[[#This Row],[5]]="","",Table26142567891112[[#This Row],[Weight]:[Weight]]-(Table26142567891112[[#This Row],[Weight]:[Weight]]*((_xlfn.XMATCH(Table26142567891112[[#This Row],[5]],Table26142567891112[[#This Row],[1]:[11]],0))-1)/(COUNTA(Table26142567891112[[#This Row],[1]:[11]])-COUNTBLANK(Table26142567891112[[#This Row],[1]:[11]])-1)))</f>
        <v>0</v>
      </c>
      <c r="AD33" s="30" t="str" cm="1">
        <f t="array" ref="AD33">IF(Table26142567891112[[#This Row],[6]]="","",Table26142567891112[[#This Row],[Weight]:[Weight]]-(Table26142567891112[[#This Row],[Weight]:[Weight]]*((_xlfn.XMATCH(Table26142567891112[[#This Row],[6]],Table26142567891112[[#This Row],[1]:[11]],0))-1)/(COUNTA(Table26142567891112[[#This Row],[1]:[11]])-COUNTBLANK(Table26142567891112[[#This Row],[1]:[11]])-1)))</f>
        <v/>
      </c>
      <c r="AE33" s="30" t="str" cm="1">
        <f t="array" ref="AE33">IF(Table26142567891112[[#This Row],[7]]="","",Table26142567891112[[#This Row],[Weight]:[Weight]]-(Table26142567891112[[#This Row],[Weight]:[Weight]]*((_xlfn.XMATCH(Table26142567891112[[#This Row],[7]],Table26142567891112[[#This Row],[1]:[11]],0))-1)/(COUNTA(Table26142567891112[[#This Row],[1]:[11]])-COUNTBLANK(Table26142567891112[[#This Row],[1]:[11]])-1)))</f>
        <v/>
      </c>
      <c r="AF33" s="30" t="str" cm="1">
        <f t="array" ref="AF33">IF(Table26142567891112[[#This Row],[8]]="","",Table26142567891112[[#This Row],[Weight]:[Weight]]-(Table26142567891112[[#This Row],[Weight]:[Weight]]*((_xlfn.XMATCH(Table26142567891112[[#This Row],[8]],Table26142567891112[[#This Row],[1]:[11]],0))-1)/(COUNTA(Table26142567891112[[#This Row],[1]:[11]])-COUNTBLANK(Table26142567891112[[#This Row],[1]:[11]])-1)))</f>
        <v/>
      </c>
      <c r="AG33" s="30" t="str" cm="1">
        <f t="array" ref="AG33">IF(Table26142567891112[[#This Row],[9]]="","",Table26142567891112[[#This Row],[Weight]:[Weight]]-(Table26142567891112[[#This Row],[Weight]:[Weight]]*((_xlfn.XMATCH(Table26142567891112[[#This Row],[9]],Table26142567891112[[#This Row],[1]:[11]],0))-1)/(COUNTA(Table26142567891112[[#This Row],[1]:[11]])-COUNTBLANK(Table26142567891112[[#This Row],[1]:[11]])-1)))</f>
        <v/>
      </c>
      <c r="AH33" s="30" t="str" cm="1">
        <f t="array" ref="AH33">IF(Table26142567891112[[#This Row],[10]]="","",Table26142567891112[[#This Row],[Weight]:[Weight]]-(Table26142567891112[[#This Row],[Weight]:[Weight]]*((_xlfn.XMATCH(Table26142567891112[[#This Row],[10]],Table26142567891112[[#This Row],[1]:[11]],0))-1)/(COUNTA(Table26142567891112[[#This Row],[1]:[11]])-COUNTBLANK(Table26142567891112[[#This Row],[1]:[11]])-1)))</f>
        <v/>
      </c>
      <c r="AI33" s="30" t="str" cm="1">
        <f t="array" ref="AI33">IF(Table26142567891112[[#This Row],[11]]="","",Table26142567891112[[#This Row],[Weight]:[Weight]]-(Table26142567891112[[#This Row],[Weight]:[Weight]]*((_xlfn.XMATCH(Table26142567891112[[#This Row],[11]],Table26142567891112[[#This Row],[1]:[11]],0))-1)/(COUNTA(Table26142567891112[[#This Row],[1]:[11]])-COUNTBLANK(Table26142567891112[[#This Row],[1]:[11]])-1)))</f>
        <v/>
      </c>
    </row>
    <row r="34" spans="1:35" ht="108" x14ac:dyDescent="0.2">
      <c r="A34" s="206">
        <v>22</v>
      </c>
      <c r="B34" s="208" t="s">
        <v>572</v>
      </c>
      <c r="C34" s="208" t="s">
        <v>215</v>
      </c>
      <c r="D34" s="240"/>
      <c r="E34" s="240"/>
      <c r="F34" s="219" t="s">
        <v>188</v>
      </c>
      <c r="G34" s="211" cm="1">
        <f t="array" ref="G34">_xlfn.IFS(F34="","",F34="No interest",0,F34="Nice to have",1,F34="Useful",2,F34="Important",3,F34="Very important",4,F34="Critical",5,F34="Show stopper",6)</f>
        <v>5</v>
      </c>
      <c r="H34" s="212">
        <f t="shared" ref="H34:H60" si="2">(G34/$G$11)*$F$11</f>
        <v>1.7156862745098037E-3</v>
      </c>
      <c r="I34" s="213" t="s">
        <v>548</v>
      </c>
      <c r="J34" s="222" t="str" cm="1">
        <f t="array" ref="J34">_xlfn.TEXTJOIN(","&amp;CHAR(10),,TEXT(Table26142567891112[[#This Row],[12]:[22]],"0,00%"))</f>
        <v>0,00%,
0,00%,
0,00%,
0,00%,
0,00%</v>
      </c>
      <c r="K34" s="223"/>
      <c r="L34" s="216" t="e">
        <f>H34-(H34*((MATCH(Table26142567891112[[#This Row],[Evaluators Response (SELECT)]],Table26142567891112[[#This Row],[1]:[11]],0)-1)/(COUNTA(Table26142567891112[[#This Row],[1]:[11]])-COUNTBLANK(Table26142567891112[[#This Row],[1]:[11]])-1)))</f>
        <v>#N/A</v>
      </c>
      <c r="M34" s="217"/>
      <c r="N34" s="29" t="str" cm="1">
        <f t="array" ref="N34">IFERROR(INDEX(_xlfn.UNIQUE(TRIM(_xlfn.TEXTSPLIT(Table26142567891112[[#This Row],[Selection Options]:[Selection Options]],","))),,N$11),"")</f>
        <v>100%: Supported as delivered "out of the box"</v>
      </c>
      <c r="O34" s="29" t="str" cm="1">
        <f t="array" ref="O34">IFERROR(INDEX(_xlfn.UNIQUE(TRIM(_xlfn.TEXTSPLIT(Table26142567891112[[#This Row],[Selection Options]:[Selection Options]],","))),,O$11),"")</f>
        <v xml:space="preserve">
75%: Supported via modifications (config)</v>
      </c>
      <c r="P34" s="29" t="str" cm="1">
        <f t="array" ref="P34">IFERROR(INDEX(_xlfn.UNIQUE(TRIM(_xlfn.TEXTSPLIT(Table26142567891112[[#This Row],[Selection Options]:[Selection Options]],","))),,P$11),"")</f>
        <v xml:space="preserve">
50%: Supported via a third party solution</v>
      </c>
      <c r="Q34" s="29" t="str" cm="1">
        <f t="array" ref="Q34">IFERROR(INDEX(_xlfn.UNIQUE(TRIM(_xlfn.TEXTSPLIT(Table26142567891112[[#This Row],[Selection Options]:[Selection Options]],","))),,Q$11),"")</f>
        <v xml:space="preserve">
25%: Supported via customisation (source code changes)</v>
      </c>
      <c r="R34" s="29" t="str" cm="1">
        <f t="array" ref="R34">IFERROR(INDEX(_xlfn.UNIQUE(TRIM(_xlfn.TEXTSPLIT(Table26142567891112[[#This Row],[Selection Options]:[Selection Options]],","))),,R$11),"")</f>
        <v>0%: Not currently supported</v>
      </c>
      <c r="S34" s="29" t="str" cm="1">
        <f t="array" ref="S34">IFERROR(INDEX(_xlfn.UNIQUE(TRIM(_xlfn.TEXTSPLIT(Table26142567891112[[#This Row],[Selection Options]:[Selection Options]],","))),,S$11),"")</f>
        <v/>
      </c>
      <c r="T34" s="29" t="str" cm="1">
        <f t="array" ref="T34">IFERROR(INDEX(_xlfn.UNIQUE(TRIM(_xlfn.TEXTSPLIT(Table26142567891112[[#This Row],[Selection Options]:[Selection Options]],","))),,T$11),"")</f>
        <v/>
      </c>
      <c r="U34" s="29" t="str" cm="1">
        <f t="array" ref="U34">IFERROR(INDEX(_xlfn.UNIQUE(TRIM(_xlfn.TEXTSPLIT(Table26142567891112[[#This Row],[Selection Options]:[Selection Options]],","))),,U$11),"")</f>
        <v/>
      </c>
      <c r="V34" s="29" t="str" cm="1">
        <f t="array" ref="V34">IFERROR(INDEX(_xlfn.UNIQUE(TRIM(_xlfn.TEXTSPLIT(Table26142567891112[[#This Row],[Selection Options]:[Selection Options]],","))),,V$11),"")</f>
        <v/>
      </c>
      <c r="W34" s="29" t="str" cm="1">
        <f t="array" ref="W34">IFERROR(INDEX(_xlfn.UNIQUE(TRIM(_xlfn.TEXTSPLIT(Table26142567891112[[#This Row],[Selection Options]:[Selection Options]],","))),,W$11),"")</f>
        <v/>
      </c>
      <c r="X34" s="29" t="str" cm="1">
        <f t="array" ref="X34">IFERROR(INDEX(_xlfn.UNIQUE(TRIM(_xlfn.TEXTSPLIT(Table26142567891112[[#This Row],[Selection Options]:[Selection Options]],","))),,X$11),"")</f>
        <v/>
      </c>
      <c r="Y34" s="30" cm="1">
        <f t="array" ref="Y34">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34" s="30" cm="1">
        <f t="array" ref="Z34">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34" s="30" cm="1">
        <f t="array" ref="AA34">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34" s="30" cm="1">
        <f t="array" ref="AB34">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34" s="30" cm="1">
        <f t="array" ref="AC34">IF(Table26142567891112[[#This Row],[5]]="","",Table26142567891112[[#This Row],[Weight]:[Weight]]-(Table26142567891112[[#This Row],[Weight]:[Weight]]*((_xlfn.XMATCH(Table26142567891112[[#This Row],[5]],Table26142567891112[[#This Row],[1]:[11]],0))-1)/(COUNTA(Table26142567891112[[#This Row],[1]:[11]])-COUNTBLANK(Table26142567891112[[#This Row],[1]:[11]])-1)))</f>
        <v>0</v>
      </c>
      <c r="AD34" s="30" t="str" cm="1">
        <f t="array" ref="AD34">IF(Table26142567891112[[#This Row],[6]]="","",Table26142567891112[[#This Row],[Weight]:[Weight]]-(Table26142567891112[[#This Row],[Weight]:[Weight]]*((_xlfn.XMATCH(Table26142567891112[[#This Row],[6]],Table26142567891112[[#This Row],[1]:[11]],0))-1)/(COUNTA(Table26142567891112[[#This Row],[1]:[11]])-COUNTBLANK(Table26142567891112[[#This Row],[1]:[11]])-1)))</f>
        <v/>
      </c>
      <c r="AE34" s="30" t="str" cm="1">
        <f t="array" ref="AE34">IF(Table26142567891112[[#This Row],[7]]="","",Table26142567891112[[#This Row],[Weight]:[Weight]]-(Table26142567891112[[#This Row],[Weight]:[Weight]]*((_xlfn.XMATCH(Table26142567891112[[#This Row],[7]],Table26142567891112[[#This Row],[1]:[11]],0))-1)/(COUNTA(Table26142567891112[[#This Row],[1]:[11]])-COUNTBLANK(Table26142567891112[[#This Row],[1]:[11]])-1)))</f>
        <v/>
      </c>
      <c r="AF34" s="30" t="str" cm="1">
        <f t="array" ref="AF34">IF(Table26142567891112[[#This Row],[8]]="","",Table26142567891112[[#This Row],[Weight]:[Weight]]-(Table26142567891112[[#This Row],[Weight]:[Weight]]*((_xlfn.XMATCH(Table26142567891112[[#This Row],[8]],Table26142567891112[[#This Row],[1]:[11]],0))-1)/(COUNTA(Table26142567891112[[#This Row],[1]:[11]])-COUNTBLANK(Table26142567891112[[#This Row],[1]:[11]])-1)))</f>
        <v/>
      </c>
      <c r="AG34" s="30" t="str" cm="1">
        <f t="array" ref="AG34">IF(Table26142567891112[[#This Row],[9]]="","",Table26142567891112[[#This Row],[Weight]:[Weight]]-(Table26142567891112[[#This Row],[Weight]:[Weight]]*((_xlfn.XMATCH(Table26142567891112[[#This Row],[9]],Table26142567891112[[#This Row],[1]:[11]],0))-1)/(COUNTA(Table26142567891112[[#This Row],[1]:[11]])-COUNTBLANK(Table26142567891112[[#This Row],[1]:[11]])-1)))</f>
        <v/>
      </c>
      <c r="AH34" s="30" t="str" cm="1">
        <f t="array" ref="AH34">IF(Table26142567891112[[#This Row],[10]]="","",Table26142567891112[[#This Row],[Weight]:[Weight]]-(Table26142567891112[[#This Row],[Weight]:[Weight]]*((_xlfn.XMATCH(Table26142567891112[[#This Row],[10]],Table26142567891112[[#This Row],[1]:[11]],0))-1)/(COUNTA(Table26142567891112[[#This Row],[1]:[11]])-COUNTBLANK(Table26142567891112[[#This Row],[1]:[11]])-1)))</f>
        <v/>
      </c>
      <c r="AI34" s="30" t="str" cm="1">
        <f t="array" ref="AI34">IF(Table26142567891112[[#This Row],[11]]="","",Table26142567891112[[#This Row],[Weight]:[Weight]]-(Table26142567891112[[#This Row],[Weight]:[Weight]]*((_xlfn.XMATCH(Table26142567891112[[#This Row],[11]],Table26142567891112[[#This Row],[1]:[11]],0))-1)/(COUNTA(Table26142567891112[[#This Row],[1]:[11]])-COUNTBLANK(Table26142567891112[[#This Row],[1]:[11]])-1)))</f>
        <v/>
      </c>
    </row>
    <row r="35" spans="1:35" ht="108" x14ac:dyDescent="0.2">
      <c r="A35" s="227">
        <v>23</v>
      </c>
      <c r="B35" s="228" t="s">
        <v>573</v>
      </c>
      <c r="C35" s="228" t="s">
        <v>215</v>
      </c>
      <c r="D35" s="238"/>
      <c r="E35" s="238"/>
      <c r="F35" s="230" t="s">
        <v>60</v>
      </c>
      <c r="G35" s="231" cm="1">
        <f t="array" ref="G35">_xlfn.IFS(F35="","",F35="No interest",0,F35="Nice to have",1,F35="Useful",2,F35="Important",3,F35="Very important",4,F35="Critical",5,F35="Show stopper",6)</f>
        <v>6</v>
      </c>
      <c r="H35" s="232">
        <f t="shared" si="2"/>
        <v>2.0588235294117644E-3</v>
      </c>
      <c r="I35" s="233" t="s">
        <v>548</v>
      </c>
      <c r="J35" s="234" t="str" cm="1">
        <f t="array" ref="J35">_xlfn.TEXTJOIN(","&amp;CHAR(10),,TEXT(Table26142567891112[[#This Row],[12]:[22]],"0,00%"))</f>
        <v>0,00%,
0,00%,
0,00%,
0,00%,
0,00%</v>
      </c>
      <c r="K35" s="223"/>
      <c r="L35" s="236" t="e">
        <f>H35-(H35*((MATCH(Table26142567891112[[#This Row],[Evaluators Response (SELECT)]],Table26142567891112[[#This Row],[1]:[11]],0)-1)/(COUNTA(Table26142567891112[[#This Row],[1]:[11]])-COUNTBLANK(Table26142567891112[[#This Row],[1]:[11]])-1)))</f>
        <v>#N/A</v>
      </c>
      <c r="M35" s="237"/>
      <c r="N35" s="273" t="str" cm="1">
        <f t="array" ref="N35">IFERROR(INDEX(_xlfn.UNIQUE(TRIM(_xlfn.TEXTSPLIT(Table26142567891112[[#This Row],[Selection Options]:[Selection Options]],","))),,N$11),"")</f>
        <v>100%: Supported as delivered "out of the box"</v>
      </c>
      <c r="O35" s="273" t="str" cm="1">
        <f t="array" ref="O35">IFERROR(INDEX(_xlfn.UNIQUE(TRIM(_xlfn.TEXTSPLIT(Table26142567891112[[#This Row],[Selection Options]:[Selection Options]],","))),,O$11),"")</f>
        <v xml:space="preserve">
75%: Supported via modifications (config)</v>
      </c>
      <c r="P35" s="273" t="str" cm="1">
        <f t="array" ref="P35">IFERROR(INDEX(_xlfn.UNIQUE(TRIM(_xlfn.TEXTSPLIT(Table26142567891112[[#This Row],[Selection Options]:[Selection Options]],","))),,P$11),"")</f>
        <v xml:space="preserve">
50%: Supported via a third party solution</v>
      </c>
      <c r="Q35" s="273" t="str" cm="1">
        <f t="array" ref="Q35">IFERROR(INDEX(_xlfn.UNIQUE(TRIM(_xlfn.TEXTSPLIT(Table26142567891112[[#This Row],[Selection Options]:[Selection Options]],","))),,Q$11),"")</f>
        <v xml:space="preserve">
25%: Supported via customisation (source code changes)</v>
      </c>
      <c r="R35" s="29" t="str" cm="1">
        <f t="array" ref="R35">IFERROR(INDEX(_xlfn.UNIQUE(TRIM(_xlfn.TEXTSPLIT(Table26142567891112[[#This Row],[Selection Options]:[Selection Options]],","))),,R$11),"")</f>
        <v>0%: Not currently supported</v>
      </c>
      <c r="S35" s="29" t="str" cm="1">
        <f t="array" ref="S35">IFERROR(INDEX(_xlfn.UNIQUE(TRIM(_xlfn.TEXTSPLIT(Table26142567891112[[#This Row],[Selection Options]:[Selection Options]],","))),,S$11),"")</f>
        <v/>
      </c>
      <c r="T35" s="29" t="str" cm="1">
        <f t="array" ref="T35">IFERROR(INDEX(_xlfn.UNIQUE(TRIM(_xlfn.TEXTSPLIT(Table26142567891112[[#This Row],[Selection Options]:[Selection Options]],","))),,T$11),"")</f>
        <v/>
      </c>
      <c r="U35" s="29" t="str" cm="1">
        <f t="array" ref="U35">IFERROR(INDEX(_xlfn.UNIQUE(TRIM(_xlfn.TEXTSPLIT(Table26142567891112[[#This Row],[Selection Options]:[Selection Options]],","))),,U$11),"")</f>
        <v/>
      </c>
      <c r="V35" s="29" t="str" cm="1">
        <f t="array" ref="V35">IFERROR(INDEX(_xlfn.UNIQUE(TRIM(_xlfn.TEXTSPLIT(Table26142567891112[[#This Row],[Selection Options]:[Selection Options]],","))),,V$11),"")</f>
        <v/>
      </c>
      <c r="W35" s="29" t="str" cm="1">
        <f t="array" ref="W35">IFERROR(INDEX(_xlfn.UNIQUE(TRIM(_xlfn.TEXTSPLIT(Table26142567891112[[#This Row],[Selection Options]:[Selection Options]],","))),,W$11),"")</f>
        <v/>
      </c>
      <c r="X35" s="29" t="str" cm="1">
        <f t="array" ref="X35">IFERROR(INDEX(_xlfn.UNIQUE(TRIM(_xlfn.TEXTSPLIT(Table26142567891112[[#This Row],[Selection Options]:[Selection Options]],","))),,X$11),"")</f>
        <v/>
      </c>
      <c r="Y35" s="30" cm="1">
        <f t="array" ref="Y35">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35" s="30" cm="1">
        <f t="array" ref="Z35">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35" s="30" cm="1">
        <f t="array" ref="AA35">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35" s="30" cm="1">
        <f t="array" ref="AB35">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35" s="30" cm="1">
        <f t="array" ref="AC35">IF(Table26142567891112[[#This Row],[5]]="","",Table26142567891112[[#This Row],[Weight]:[Weight]]-(Table26142567891112[[#This Row],[Weight]:[Weight]]*((_xlfn.XMATCH(Table26142567891112[[#This Row],[5]],Table26142567891112[[#This Row],[1]:[11]],0))-1)/(COUNTA(Table26142567891112[[#This Row],[1]:[11]])-COUNTBLANK(Table26142567891112[[#This Row],[1]:[11]])-1)))</f>
        <v>0</v>
      </c>
      <c r="AD35" s="30" t="str" cm="1">
        <f t="array" ref="AD35">IF(Table26142567891112[[#This Row],[6]]="","",Table26142567891112[[#This Row],[Weight]:[Weight]]-(Table26142567891112[[#This Row],[Weight]:[Weight]]*((_xlfn.XMATCH(Table26142567891112[[#This Row],[6]],Table26142567891112[[#This Row],[1]:[11]],0))-1)/(COUNTA(Table26142567891112[[#This Row],[1]:[11]])-COUNTBLANK(Table26142567891112[[#This Row],[1]:[11]])-1)))</f>
        <v/>
      </c>
      <c r="AE35" s="30" t="str" cm="1">
        <f t="array" ref="AE35">IF(Table26142567891112[[#This Row],[7]]="","",Table26142567891112[[#This Row],[Weight]:[Weight]]-(Table26142567891112[[#This Row],[Weight]:[Weight]]*((_xlfn.XMATCH(Table26142567891112[[#This Row],[7]],Table26142567891112[[#This Row],[1]:[11]],0))-1)/(COUNTA(Table26142567891112[[#This Row],[1]:[11]])-COUNTBLANK(Table26142567891112[[#This Row],[1]:[11]])-1)))</f>
        <v/>
      </c>
      <c r="AF35" s="30" t="str" cm="1">
        <f t="array" ref="AF35">IF(Table26142567891112[[#This Row],[8]]="","",Table26142567891112[[#This Row],[Weight]:[Weight]]-(Table26142567891112[[#This Row],[Weight]:[Weight]]*((_xlfn.XMATCH(Table26142567891112[[#This Row],[8]],Table26142567891112[[#This Row],[1]:[11]],0))-1)/(COUNTA(Table26142567891112[[#This Row],[1]:[11]])-COUNTBLANK(Table26142567891112[[#This Row],[1]:[11]])-1)))</f>
        <v/>
      </c>
      <c r="AG35" s="30" t="str" cm="1">
        <f t="array" ref="AG35">IF(Table26142567891112[[#This Row],[9]]="","",Table26142567891112[[#This Row],[Weight]:[Weight]]-(Table26142567891112[[#This Row],[Weight]:[Weight]]*((_xlfn.XMATCH(Table26142567891112[[#This Row],[9]],Table26142567891112[[#This Row],[1]:[11]],0))-1)/(COUNTA(Table26142567891112[[#This Row],[1]:[11]])-COUNTBLANK(Table26142567891112[[#This Row],[1]:[11]])-1)))</f>
        <v/>
      </c>
      <c r="AH35" s="30" t="str" cm="1">
        <f t="array" ref="AH35">IF(Table26142567891112[[#This Row],[10]]="","",Table26142567891112[[#This Row],[Weight]:[Weight]]-(Table26142567891112[[#This Row],[Weight]:[Weight]]*((_xlfn.XMATCH(Table26142567891112[[#This Row],[10]],Table26142567891112[[#This Row],[1]:[11]],0))-1)/(COUNTA(Table26142567891112[[#This Row],[1]:[11]])-COUNTBLANK(Table26142567891112[[#This Row],[1]:[11]])-1)))</f>
        <v/>
      </c>
      <c r="AI35" s="30" t="str" cm="1">
        <f t="array" ref="AI35">IF(Table26142567891112[[#This Row],[11]]="","",Table26142567891112[[#This Row],[Weight]:[Weight]]-(Table26142567891112[[#This Row],[Weight]:[Weight]]*((_xlfn.XMATCH(Table26142567891112[[#This Row],[11]],Table26142567891112[[#This Row],[1]:[11]],0))-1)/(COUNTA(Table26142567891112[[#This Row],[1]:[11]])-COUNTBLANK(Table26142567891112[[#This Row],[1]:[11]])-1)))</f>
        <v/>
      </c>
    </row>
    <row r="36" spans="1:35" ht="108" x14ac:dyDescent="0.2">
      <c r="A36" s="206">
        <v>24</v>
      </c>
      <c r="B36" s="208" t="s">
        <v>574</v>
      </c>
      <c r="C36" s="208" t="s">
        <v>215</v>
      </c>
      <c r="D36" s="240"/>
      <c r="E36" s="240"/>
      <c r="F36" s="219" t="s">
        <v>188</v>
      </c>
      <c r="G36" s="211" cm="1">
        <f t="array" ref="G36">_xlfn.IFS(F36="","",F36="No interest",0,F36="Nice to have",1,F36="Useful",2,F36="Important",3,F36="Very important",4,F36="Critical",5,F36="Show stopper",6)</f>
        <v>5</v>
      </c>
      <c r="H36" s="212">
        <f t="shared" si="2"/>
        <v>1.7156862745098037E-3</v>
      </c>
      <c r="I36" s="213" t="s">
        <v>548</v>
      </c>
      <c r="J36" s="222" t="str" cm="1">
        <f t="array" ref="J36">_xlfn.TEXTJOIN(","&amp;CHAR(10),,TEXT(Table26142567891112[[#This Row],[12]:[22]],"0,00%"))</f>
        <v>0,00%,
0,00%,
0,00%,
0,00%,
0,00%</v>
      </c>
      <c r="K36" s="223"/>
      <c r="L36" s="216" t="e">
        <f>H36-(H36*((MATCH(Table26142567891112[[#This Row],[Evaluators Response (SELECT)]],Table26142567891112[[#This Row],[1]:[11]],0)-1)/(COUNTA(Table26142567891112[[#This Row],[1]:[11]])-COUNTBLANK(Table26142567891112[[#This Row],[1]:[11]])-1)))</f>
        <v>#N/A</v>
      </c>
      <c r="M36" s="217"/>
      <c r="N36" s="29" t="str" cm="1">
        <f t="array" ref="N36">IFERROR(INDEX(_xlfn.UNIQUE(TRIM(_xlfn.TEXTSPLIT(Table26142567891112[[#This Row],[Selection Options]:[Selection Options]],","))),,N$11),"")</f>
        <v>100%: Supported as delivered "out of the box"</v>
      </c>
      <c r="O36" s="29" t="str" cm="1">
        <f t="array" ref="O36">IFERROR(INDEX(_xlfn.UNIQUE(TRIM(_xlfn.TEXTSPLIT(Table26142567891112[[#This Row],[Selection Options]:[Selection Options]],","))),,O$11),"")</f>
        <v xml:space="preserve">
75%: Supported via modifications (config)</v>
      </c>
      <c r="P36" s="29" t="str" cm="1">
        <f t="array" ref="P36">IFERROR(INDEX(_xlfn.UNIQUE(TRIM(_xlfn.TEXTSPLIT(Table26142567891112[[#This Row],[Selection Options]:[Selection Options]],","))),,P$11),"")</f>
        <v xml:space="preserve">
50%: Supported via a third party solution</v>
      </c>
      <c r="Q36" s="29" t="str" cm="1">
        <f t="array" ref="Q36">IFERROR(INDEX(_xlfn.UNIQUE(TRIM(_xlfn.TEXTSPLIT(Table26142567891112[[#This Row],[Selection Options]:[Selection Options]],","))),,Q$11),"")</f>
        <v xml:space="preserve">
25%: Supported via customisation (source code changes)</v>
      </c>
      <c r="R36" s="29" t="str" cm="1">
        <f t="array" ref="R36">IFERROR(INDEX(_xlfn.UNIQUE(TRIM(_xlfn.TEXTSPLIT(Table26142567891112[[#This Row],[Selection Options]:[Selection Options]],","))),,R$11),"")</f>
        <v>0%: Not currently supported</v>
      </c>
      <c r="S36" s="29" t="str" cm="1">
        <f t="array" ref="S36">IFERROR(INDEX(_xlfn.UNIQUE(TRIM(_xlfn.TEXTSPLIT(Table26142567891112[[#This Row],[Selection Options]:[Selection Options]],","))),,S$11),"")</f>
        <v/>
      </c>
      <c r="T36" s="29" t="str" cm="1">
        <f t="array" ref="T36">IFERROR(INDEX(_xlfn.UNIQUE(TRIM(_xlfn.TEXTSPLIT(Table26142567891112[[#This Row],[Selection Options]:[Selection Options]],","))),,T$11),"")</f>
        <v/>
      </c>
      <c r="U36" s="29" t="str" cm="1">
        <f t="array" ref="U36">IFERROR(INDEX(_xlfn.UNIQUE(TRIM(_xlfn.TEXTSPLIT(Table26142567891112[[#This Row],[Selection Options]:[Selection Options]],","))),,U$11),"")</f>
        <v/>
      </c>
      <c r="V36" s="29" t="str" cm="1">
        <f t="array" ref="V36">IFERROR(INDEX(_xlfn.UNIQUE(TRIM(_xlfn.TEXTSPLIT(Table26142567891112[[#This Row],[Selection Options]:[Selection Options]],","))),,V$11),"")</f>
        <v/>
      </c>
      <c r="W36" s="29" t="str" cm="1">
        <f t="array" ref="W36">IFERROR(INDEX(_xlfn.UNIQUE(TRIM(_xlfn.TEXTSPLIT(Table26142567891112[[#This Row],[Selection Options]:[Selection Options]],","))),,W$11),"")</f>
        <v/>
      </c>
      <c r="X36" s="29" t="str" cm="1">
        <f t="array" ref="X36">IFERROR(INDEX(_xlfn.UNIQUE(TRIM(_xlfn.TEXTSPLIT(Table26142567891112[[#This Row],[Selection Options]:[Selection Options]],","))),,X$11),"")</f>
        <v/>
      </c>
      <c r="Y36" s="30" cm="1">
        <f t="array" ref="Y36">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36" s="30" cm="1">
        <f t="array" ref="Z36">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36" s="30" cm="1">
        <f t="array" ref="AA36">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36" s="30" cm="1">
        <f t="array" ref="AB36">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36" s="30" cm="1">
        <f t="array" ref="AC36">IF(Table26142567891112[[#This Row],[5]]="","",Table26142567891112[[#This Row],[Weight]:[Weight]]-(Table26142567891112[[#This Row],[Weight]:[Weight]]*((_xlfn.XMATCH(Table26142567891112[[#This Row],[5]],Table26142567891112[[#This Row],[1]:[11]],0))-1)/(COUNTA(Table26142567891112[[#This Row],[1]:[11]])-COUNTBLANK(Table26142567891112[[#This Row],[1]:[11]])-1)))</f>
        <v>0</v>
      </c>
      <c r="AD36" s="30" t="str" cm="1">
        <f t="array" ref="AD36">IF(Table26142567891112[[#This Row],[6]]="","",Table26142567891112[[#This Row],[Weight]:[Weight]]-(Table26142567891112[[#This Row],[Weight]:[Weight]]*((_xlfn.XMATCH(Table26142567891112[[#This Row],[6]],Table26142567891112[[#This Row],[1]:[11]],0))-1)/(COUNTA(Table26142567891112[[#This Row],[1]:[11]])-COUNTBLANK(Table26142567891112[[#This Row],[1]:[11]])-1)))</f>
        <v/>
      </c>
      <c r="AE36" s="30" t="str" cm="1">
        <f t="array" ref="AE36">IF(Table26142567891112[[#This Row],[7]]="","",Table26142567891112[[#This Row],[Weight]:[Weight]]-(Table26142567891112[[#This Row],[Weight]:[Weight]]*((_xlfn.XMATCH(Table26142567891112[[#This Row],[7]],Table26142567891112[[#This Row],[1]:[11]],0))-1)/(COUNTA(Table26142567891112[[#This Row],[1]:[11]])-COUNTBLANK(Table26142567891112[[#This Row],[1]:[11]])-1)))</f>
        <v/>
      </c>
      <c r="AF36" s="30" t="str" cm="1">
        <f t="array" ref="AF36">IF(Table26142567891112[[#This Row],[8]]="","",Table26142567891112[[#This Row],[Weight]:[Weight]]-(Table26142567891112[[#This Row],[Weight]:[Weight]]*((_xlfn.XMATCH(Table26142567891112[[#This Row],[8]],Table26142567891112[[#This Row],[1]:[11]],0))-1)/(COUNTA(Table26142567891112[[#This Row],[1]:[11]])-COUNTBLANK(Table26142567891112[[#This Row],[1]:[11]])-1)))</f>
        <v/>
      </c>
      <c r="AG36" s="30" t="str" cm="1">
        <f t="array" ref="AG36">IF(Table26142567891112[[#This Row],[9]]="","",Table26142567891112[[#This Row],[Weight]:[Weight]]-(Table26142567891112[[#This Row],[Weight]:[Weight]]*((_xlfn.XMATCH(Table26142567891112[[#This Row],[9]],Table26142567891112[[#This Row],[1]:[11]],0))-1)/(COUNTA(Table26142567891112[[#This Row],[1]:[11]])-COUNTBLANK(Table26142567891112[[#This Row],[1]:[11]])-1)))</f>
        <v/>
      </c>
      <c r="AH36" s="30" t="str" cm="1">
        <f t="array" ref="AH36">IF(Table26142567891112[[#This Row],[10]]="","",Table26142567891112[[#This Row],[Weight]:[Weight]]-(Table26142567891112[[#This Row],[Weight]:[Weight]]*((_xlfn.XMATCH(Table26142567891112[[#This Row],[10]],Table26142567891112[[#This Row],[1]:[11]],0))-1)/(COUNTA(Table26142567891112[[#This Row],[1]:[11]])-COUNTBLANK(Table26142567891112[[#This Row],[1]:[11]])-1)))</f>
        <v/>
      </c>
      <c r="AI36" s="30" t="str" cm="1">
        <f t="array" ref="AI36">IF(Table26142567891112[[#This Row],[11]]="","",Table26142567891112[[#This Row],[Weight]:[Weight]]-(Table26142567891112[[#This Row],[Weight]:[Weight]]*((_xlfn.XMATCH(Table26142567891112[[#This Row],[11]],Table26142567891112[[#This Row],[1]:[11]],0))-1)/(COUNTA(Table26142567891112[[#This Row],[1]:[11]])-COUNTBLANK(Table26142567891112[[#This Row],[1]:[11]])-1)))</f>
        <v/>
      </c>
    </row>
    <row r="37" spans="1:35" ht="108" x14ac:dyDescent="0.2">
      <c r="A37" s="20">
        <v>25</v>
      </c>
      <c r="B37" s="239" t="s">
        <v>575</v>
      </c>
      <c r="C37" s="119" t="s">
        <v>215</v>
      </c>
      <c r="D37" s="153"/>
      <c r="E37" s="153"/>
      <c r="F37" s="121" t="s">
        <v>60</v>
      </c>
      <c r="G37" s="148" cm="1">
        <f t="array" ref="G37">_xlfn.IFS(F37="","",F37="No interest",0,F37="Nice to have",1,F37="Useful",2,F37="Important",3,F37="Very important",4,F37="Critical",5,F37="Show stopper",6)</f>
        <v>6</v>
      </c>
      <c r="H37" s="149">
        <f t="shared" si="2"/>
        <v>2.0588235294117644E-3</v>
      </c>
      <c r="I37" s="150" t="s">
        <v>548</v>
      </c>
      <c r="J37" s="35" t="str" cm="1">
        <f t="array" ref="J37">_xlfn.TEXTJOIN(","&amp;CHAR(10),,TEXT(Table26142567891112[[#This Row],[12]:[22]],"0,00%"))</f>
        <v>0,00%,
0,00%,
0,00%,
0,00%,
0,00%</v>
      </c>
      <c r="K37" s="36"/>
      <c r="L37" s="27" t="e">
        <f>H37-(H37*((MATCH(Table26142567891112[[#This Row],[Evaluators Response (SELECT)]],Table26142567891112[[#This Row],[1]:[11]],0)-1)/(COUNTA(Table26142567891112[[#This Row],[1]:[11]])-COUNTBLANK(Table26142567891112[[#This Row],[1]:[11]])-1)))</f>
        <v>#N/A</v>
      </c>
      <c r="M37" s="28"/>
      <c r="N37" s="29" t="str" cm="1">
        <f t="array" ref="N37">IFERROR(INDEX(_xlfn.UNIQUE(TRIM(_xlfn.TEXTSPLIT(Table26142567891112[[#This Row],[Selection Options]:[Selection Options]],","))),,N$11),"")</f>
        <v>100%: Supported as delivered "out of the box"</v>
      </c>
      <c r="O37" s="29" t="str" cm="1">
        <f t="array" ref="O37">IFERROR(INDEX(_xlfn.UNIQUE(TRIM(_xlfn.TEXTSPLIT(Table26142567891112[[#This Row],[Selection Options]:[Selection Options]],","))),,O$11),"")</f>
        <v xml:space="preserve">
75%: Supported via modifications (config)</v>
      </c>
      <c r="P37" s="29" t="str" cm="1">
        <f t="array" ref="P37">IFERROR(INDEX(_xlfn.UNIQUE(TRIM(_xlfn.TEXTSPLIT(Table26142567891112[[#This Row],[Selection Options]:[Selection Options]],","))),,P$11),"")</f>
        <v xml:space="preserve">
50%: Supported via a third party solution</v>
      </c>
      <c r="Q37" s="29" t="str" cm="1">
        <f t="array" ref="Q37">IFERROR(INDEX(_xlfn.UNIQUE(TRIM(_xlfn.TEXTSPLIT(Table26142567891112[[#This Row],[Selection Options]:[Selection Options]],","))),,Q$11),"")</f>
        <v xml:space="preserve">
25%: Supported via customisation (source code changes)</v>
      </c>
      <c r="R37" s="29" t="str" cm="1">
        <f t="array" ref="R37">IFERROR(INDEX(_xlfn.UNIQUE(TRIM(_xlfn.TEXTSPLIT(Table26142567891112[[#This Row],[Selection Options]:[Selection Options]],","))),,R$11),"")</f>
        <v>0%: Not currently supported</v>
      </c>
      <c r="S37" s="29" t="str" cm="1">
        <f t="array" ref="S37">IFERROR(INDEX(_xlfn.UNIQUE(TRIM(_xlfn.TEXTSPLIT(Table26142567891112[[#This Row],[Selection Options]:[Selection Options]],","))),,S$11),"")</f>
        <v/>
      </c>
      <c r="T37" s="29" t="str" cm="1">
        <f t="array" ref="T37">IFERROR(INDEX(_xlfn.UNIQUE(TRIM(_xlfn.TEXTSPLIT(Table26142567891112[[#This Row],[Selection Options]:[Selection Options]],","))),,T$11),"")</f>
        <v/>
      </c>
      <c r="U37" s="29" t="str" cm="1">
        <f t="array" ref="U37">IFERROR(INDEX(_xlfn.UNIQUE(TRIM(_xlfn.TEXTSPLIT(Table26142567891112[[#This Row],[Selection Options]:[Selection Options]],","))),,U$11),"")</f>
        <v/>
      </c>
      <c r="V37" s="29" t="str" cm="1">
        <f t="array" ref="V37">IFERROR(INDEX(_xlfn.UNIQUE(TRIM(_xlfn.TEXTSPLIT(Table26142567891112[[#This Row],[Selection Options]:[Selection Options]],","))),,V$11),"")</f>
        <v/>
      </c>
      <c r="W37" s="29" t="str" cm="1">
        <f t="array" ref="W37">IFERROR(INDEX(_xlfn.UNIQUE(TRIM(_xlfn.TEXTSPLIT(Table26142567891112[[#This Row],[Selection Options]:[Selection Options]],","))),,W$11),"")</f>
        <v/>
      </c>
      <c r="X37" s="29" t="str" cm="1">
        <f t="array" ref="X37">IFERROR(INDEX(_xlfn.UNIQUE(TRIM(_xlfn.TEXTSPLIT(Table26142567891112[[#This Row],[Selection Options]:[Selection Options]],","))),,X$11),"")</f>
        <v/>
      </c>
      <c r="Y37" s="30" cm="1">
        <f t="array" ref="Y37">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37" s="30" cm="1">
        <f t="array" ref="Z37">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37" s="30" cm="1">
        <f t="array" ref="AA37">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37" s="30" cm="1">
        <f t="array" ref="AB37">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37" s="30" cm="1">
        <f t="array" ref="AC37">IF(Table26142567891112[[#This Row],[5]]="","",Table26142567891112[[#This Row],[Weight]:[Weight]]-(Table26142567891112[[#This Row],[Weight]:[Weight]]*((_xlfn.XMATCH(Table26142567891112[[#This Row],[5]],Table26142567891112[[#This Row],[1]:[11]],0))-1)/(COUNTA(Table26142567891112[[#This Row],[1]:[11]])-COUNTBLANK(Table26142567891112[[#This Row],[1]:[11]])-1)))</f>
        <v>0</v>
      </c>
      <c r="AD37" s="30" t="str" cm="1">
        <f t="array" ref="AD37">IF(Table26142567891112[[#This Row],[6]]="","",Table26142567891112[[#This Row],[Weight]:[Weight]]-(Table26142567891112[[#This Row],[Weight]:[Weight]]*((_xlfn.XMATCH(Table26142567891112[[#This Row],[6]],Table26142567891112[[#This Row],[1]:[11]],0))-1)/(COUNTA(Table26142567891112[[#This Row],[1]:[11]])-COUNTBLANK(Table26142567891112[[#This Row],[1]:[11]])-1)))</f>
        <v/>
      </c>
      <c r="AE37" s="30" t="str" cm="1">
        <f t="array" ref="AE37">IF(Table26142567891112[[#This Row],[7]]="","",Table26142567891112[[#This Row],[Weight]:[Weight]]-(Table26142567891112[[#This Row],[Weight]:[Weight]]*((_xlfn.XMATCH(Table26142567891112[[#This Row],[7]],Table26142567891112[[#This Row],[1]:[11]],0))-1)/(COUNTA(Table26142567891112[[#This Row],[1]:[11]])-COUNTBLANK(Table26142567891112[[#This Row],[1]:[11]])-1)))</f>
        <v/>
      </c>
      <c r="AF37" s="30" t="str" cm="1">
        <f t="array" ref="AF37">IF(Table26142567891112[[#This Row],[8]]="","",Table26142567891112[[#This Row],[Weight]:[Weight]]-(Table26142567891112[[#This Row],[Weight]:[Weight]]*((_xlfn.XMATCH(Table26142567891112[[#This Row],[8]],Table26142567891112[[#This Row],[1]:[11]],0))-1)/(COUNTA(Table26142567891112[[#This Row],[1]:[11]])-COUNTBLANK(Table26142567891112[[#This Row],[1]:[11]])-1)))</f>
        <v/>
      </c>
      <c r="AG37" s="30" t="str" cm="1">
        <f t="array" ref="AG37">IF(Table26142567891112[[#This Row],[9]]="","",Table26142567891112[[#This Row],[Weight]:[Weight]]-(Table26142567891112[[#This Row],[Weight]:[Weight]]*((_xlfn.XMATCH(Table26142567891112[[#This Row],[9]],Table26142567891112[[#This Row],[1]:[11]],0))-1)/(COUNTA(Table26142567891112[[#This Row],[1]:[11]])-COUNTBLANK(Table26142567891112[[#This Row],[1]:[11]])-1)))</f>
        <v/>
      </c>
      <c r="AH37" s="30" t="str" cm="1">
        <f t="array" ref="AH37">IF(Table26142567891112[[#This Row],[10]]="","",Table26142567891112[[#This Row],[Weight]:[Weight]]-(Table26142567891112[[#This Row],[Weight]:[Weight]]*((_xlfn.XMATCH(Table26142567891112[[#This Row],[10]],Table26142567891112[[#This Row],[1]:[11]],0))-1)/(COUNTA(Table26142567891112[[#This Row],[1]:[11]])-COUNTBLANK(Table26142567891112[[#This Row],[1]:[11]])-1)))</f>
        <v/>
      </c>
      <c r="AI37" s="30" t="str" cm="1">
        <f t="array" ref="AI37">IF(Table26142567891112[[#This Row],[11]]="","",Table26142567891112[[#This Row],[Weight]:[Weight]]-(Table26142567891112[[#This Row],[Weight]:[Weight]]*((_xlfn.XMATCH(Table26142567891112[[#This Row],[11]],Table26142567891112[[#This Row],[1]:[11]],0))-1)/(COUNTA(Table26142567891112[[#This Row],[1]:[11]])-COUNTBLANK(Table26142567891112[[#This Row],[1]:[11]])-1)))</f>
        <v/>
      </c>
    </row>
    <row r="38" spans="1:35" ht="108" x14ac:dyDescent="0.2">
      <c r="A38" s="20">
        <v>26</v>
      </c>
      <c r="B38" s="90" t="s">
        <v>576</v>
      </c>
      <c r="C38" s="119" t="s">
        <v>215</v>
      </c>
      <c r="D38" s="153"/>
      <c r="E38" s="153"/>
      <c r="F38" s="121" t="s">
        <v>188</v>
      </c>
      <c r="G38" s="148" cm="1">
        <f t="array" ref="G38">_xlfn.IFS(F38="","",F38="No interest",0,F38="Nice to have",1,F38="Useful",2,F38="Important",3,F38="Very important",4,F38="Critical",5,F38="Show stopper",6)</f>
        <v>5</v>
      </c>
      <c r="H38" s="149">
        <f t="shared" si="2"/>
        <v>1.7156862745098037E-3</v>
      </c>
      <c r="I38" s="150" t="s">
        <v>548</v>
      </c>
      <c r="J38" s="35" t="str" cm="1">
        <f t="array" ref="J38">_xlfn.TEXTJOIN(","&amp;CHAR(10),,TEXT(Table26142567891112[[#This Row],[12]:[22]],"0,00%"))</f>
        <v>0,00%,
0,00%,
0,00%,
0,00%,
0,00%</v>
      </c>
      <c r="K38" s="36"/>
      <c r="L38" s="27" t="e">
        <f>H38-(H38*((MATCH(Table26142567891112[[#This Row],[Evaluators Response (SELECT)]],Table26142567891112[[#This Row],[1]:[11]],0)-1)/(COUNTA(Table26142567891112[[#This Row],[1]:[11]])-COUNTBLANK(Table26142567891112[[#This Row],[1]:[11]])-1)))</f>
        <v>#N/A</v>
      </c>
      <c r="M38" s="28"/>
      <c r="N38" s="29" t="str" cm="1">
        <f t="array" ref="N38">IFERROR(INDEX(_xlfn.UNIQUE(TRIM(_xlfn.TEXTSPLIT(Table26142567891112[[#This Row],[Selection Options]:[Selection Options]],","))),,N$11),"")</f>
        <v>100%: Supported as delivered "out of the box"</v>
      </c>
      <c r="O38" s="29" t="str" cm="1">
        <f t="array" ref="O38">IFERROR(INDEX(_xlfn.UNIQUE(TRIM(_xlfn.TEXTSPLIT(Table26142567891112[[#This Row],[Selection Options]:[Selection Options]],","))),,O$11),"")</f>
        <v xml:space="preserve">
75%: Supported via modifications (config)</v>
      </c>
      <c r="P38" s="29" t="str" cm="1">
        <f t="array" ref="P38">IFERROR(INDEX(_xlfn.UNIQUE(TRIM(_xlfn.TEXTSPLIT(Table26142567891112[[#This Row],[Selection Options]:[Selection Options]],","))),,P$11),"")</f>
        <v xml:space="preserve">
50%: Supported via a third party solution</v>
      </c>
      <c r="Q38" s="29" t="str" cm="1">
        <f t="array" ref="Q38">IFERROR(INDEX(_xlfn.UNIQUE(TRIM(_xlfn.TEXTSPLIT(Table26142567891112[[#This Row],[Selection Options]:[Selection Options]],","))),,Q$11),"")</f>
        <v xml:space="preserve">
25%: Supported via customisation (source code changes)</v>
      </c>
      <c r="R38" s="29" t="str" cm="1">
        <f t="array" ref="R38">IFERROR(INDEX(_xlfn.UNIQUE(TRIM(_xlfn.TEXTSPLIT(Table26142567891112[[#This Row],[Selection Options]:[Selection Options]],","))),,R$11),"")</f>
        <v>0%: Not currently supported</v>
      </c>
      <c r="S38" s="29" t="str" cm="1">
        <f t="array" ref="S38">IFERROR(INDEX(_xlfn.UNIQUE(TRIM(_xlfn.TEXTSPLIT(Table26142567891112[[#This Row],[Selection Options]:[Selection Options]],","))),,S$11),"")</f>
        <v/>
      </c>
      <c r="T38" s="29" t="str" cm="1">
        <f t="array" ref="T38">IFERROR(INDEX(_xlfn.UNIQUE(TRIM(_xlfn.TEXTSPLIT(Table26142567891112[[#This Row],[Selection Options]:[Selection Options]],","))),,T$11),"")</f>
        <v/>
      </c>
      <c r="U38" s="29" t="str" cm="1">
        <f t="array" ref="U38">IFERROR(INDEX(_xlfn.UNIQUE(TRIM(_xlfn.TEXTSPLIT(Table26142567891112[[#This Row],[Selection Options]:[Selection Options]],","))),,U$11),"")</f>
        <v/>
      </c>
      <c r="V38" s="29" t="str" cm="1">
        <f t="array" ref="V38">IFERROR(INDEX(_xlfn.UNIQUE(TRIM(_xlfn.TEXTSPLIT(Table26142567891112[[#This Row],[Selection Options]:[Selection Options]],","))),,V$11),"")</f>
        <v/>
      </c>
      <c r="W38" s="29" t="str" cm="1">
        <f t="array" ref="W38">IFERROR(INDEX(_xlfn.UNIQUE(TRIM(_xlfn.TEXTSPLIT(Table26142567891112[[#This Row],[Selection Options]:[Selection Options]],","))),,W$11),"")</f>
        <v/>
      </c>
      <c r="X38" s="29" t="str" cm="1">
        <f t="array" ref="X38">IFERROR(INDEX(_xlfn.UNIQUE(TRIM(_xlfn.TEXTSPLIT(Table26142567891112[[#This Row],[Selection Options]:[Selection Options]],","))),,X$11),"")</f>
        <v/>
      </c>
      <c r="Y38" s="30" cm="1">
        <f t="array" ref="Y38">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38" s="30" cm="1">
        <f t="array" ref="Z38">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38" s="30" cm="1">
        <f t="array" ref="AA38">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38" s="30" cm="1">
        <f t="array" ref="AB38">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38" s="30" cm="1">
        <f t="array" ref="AC38">IF(Table26142567891112[[#This Row],[5]]="","",Table26142567891112[[#This Row],[Weight]:[Weight]]-(Table26142567891112[[#This Row],[Weight]:[Weight]]*((_xlfn.XMATCH(Table26142567891112[[#This Row],[5]],Table26142567891112[[#This Row],[1]:[11]],0))-1)/(COUNTA(Table26142567891112[[#This Row],[1]:[11]])-COUNTBLANK(Table26142567891112[[#This Row],[1]:[11]])-1)))</f>
        <v>0</v>
      </c>
      <c r="AD38" s="30" t="str" cm="1">
        <f t="array" ref="AD38">IF(Table26142567891112[[#This Row],[6]]="","",Table26142567891112[[#This Row],[Weight]:[Weight]]-(Table26142567891112[[#This Row],[Weight]:[Weight]]*((_xlfn.XMATCH(Table26142567891112[[#This Row],[6]],Table26142567891112[[#This Row],[1]:[11]],0))-1)/(COUNTA(Table26142567891112[[#This Row],[1]:[11]])-COUNTBLANK(Table26142567891112[[#This Row],[1]:[11]])-1)))</f>
        <v/>
      </c>
      <c r="AE38" s="30" t="str" cm="1">
        <f t="array" ref="AE38">IF(Table26142567891112[[#This Row],[7]]="","",Table26142567891112[[#This Row],[Weight]:[Weight]]-(Table26142567891112[[#This Row],[Weight]:[Weight]]*((_xlfn.XMATCH(Table26142567891112[[#This Row],[7]],Table26142567891112[[#This Row],[1]:[11]],0))-1)/(COUNTA(Table26142567891112[[#This Row],[1]:[11]])-COUNTBLANK(Table26142567891112[[#This Row],[1]:[11]])-1)))</f>
        <v/>
      </c>
      <c r="AF38" s="30" t="str" cm="1">
        <f t="array" ref="AF38">IF(Table26142567891112[[#This Row],[8]]="","",Table26142567891112[[#This Row],[Weight]:[Weight]]-(Table26142567891112[[#This Row],[Weight]:[Weight]]*((_xlfn.XMATCH(Table26142567891112[[#This Row],[8]],Table26142567891112[[#This Row],[1]:[11]],0))-1)/(COUNTA(Table26142567891112[[#This Row],[1]:[11]])-COUNTBLANK(Table26142567891112[[#This Row],[1]:[11]])-1)))</f>
        <v/>
      </c>
      <c r="AG38" s="30" t="str" cm="1">
        <f t="array" ref="AG38">IF(Table26142567891112[[#This Row],[9]]="","",Table26142567891112[[#This Row],[Weight]:[Weight]]-(Table26142567891112[[#This Row],[Weight]:[Weight]]*((_xlfn.XMATCH(Table26142567891112[[#This Row],[9]],Table26142567891112[[#This Row],[1]:[11]],0))-1)/(COUNTA(Table26142567891112[[#This Row],[1]:[11]])-COUNTBLANK(Table26142567891112[[#This Row],[1]:[11]])-1)))</f>
        <v/>
      </c>
      <c r="AH38" s="30" t="str" cm="1">
        <f t="array" ref="AH38">IF(Table26142567891112[[#This Row],[10]]="","",Table26142567891112[[#This Row],[Weight]:[Weight]]-(Table26142567891112[[#This Row],[Weight]:[Weight]]*((_xlfn.XMATCH(Table26142567891112[[#This Row],[10]],Table26142567891112[[#This Row],[1]:[11]],0))-1)/(COUNTA(Table26142567891112[[#This Row],[1]:[11]])-COUNTBLANK(Table26142567891112[[#This Row],[1]:[11]])-1)))</f>
        <v/>
      </c>
      <c r="AI38" s="30" t="str" cm="1">
        <f t="array" ref="AI38">IF(Table26142567891112[[#This Row],[11]]="","",Table26142567891112[[#This Row],[Weight]:[Weight]]-(Table26142567891112[[#This Row],[Weight]:[Weight]]*((_xlfn.XMATCH(Table26142567891112[[#This Row],[11]],Table26142567891112[[#This Row],[1]:[11]],0))-1)/(COUNTA(Table26142567891112[[#This Row],[1]:[11]])-COUNTBLANK(Table26142567891112[[#This Row],[1]:[11]])-1)))</f>
        <v/>
      </c>
    </row>
    <row r="39" spans="1:35" ht="108" x14ac:dyDescent="0.2">
      <c r="A39" s="20">
        <v>27</v>
      </c>
      <c r="B39" s="90" t="s">
        <v>577</v>
      </c>
      <c r="C39" s="119" t="s">
        <v>215</v>
      </c>
      <c r="D39" s="153"/>
      <c r="E39" s="153"/>
      <c r="F39" s="121" t="s">
        <v>188</v>
      </c>
      <c r="G39" s="148" cm="1">
        <f t="array" ref="G39">_xlfn.IFS(F39="","",F39="No interest",0,F39="Nice to have",1,F39="Useful",2,F39="Important",3,F39="Very important",4,F39="Critical",5,F39="Show stopper",6)</f>
        <v>5</v>
      </c>
      <c r="H39" s="149">
        <f t="shared" si="2"/>
        <v>1.7156862745098037E-3</v>
      </c>
      <c r="I39" s="150" t="s">
        <v>548</v>
      </c>
      <c r="J39" s="35" t="str" cm="1">
        <f t="array" ref="J39">_xlfn.TEXTJOIN(","&amp;CHAR(10),,TEXT(Table26142567891112[[#This Row],[12]:[22]],"0,00%"))</f>
        <v>0,00%,
0,00%,
0,00%,
0,00%,
0,00%</v>
      </c>
      <c r="K39" s="36"/>
      <c r="L39" s="27" t="e">
        <f>H39-(H39*((MATCH(Table26142567891112[[#This Row],[Evaluators Response (SELECT)]],Table26142567891112[[#This Row],[1]:[11]],0)-1)/(COUNTA(Table26142567891112[[#This Row],[1]:[11]])-COUNTBLANK(Table26142567891112[[#This Row],[1]:[11]])-1)))</f>
        <v>#N/A</v>
      </c>
      <c r="M39" s="28"/>
      <c r="N39" s="29" t="str" cm="1">
        <f t="array" ref="N39">IFERROR(INDEX(_xlfn.UNIQUE(TRIM(_xlfn.TEXTSPLIT(Table26142567891112[[#This Row],[Selection Options]:[Selection Options]],","))),,N$11),"")</f>
        <v>100%: Supported as delivered "out of the box"</v>
      </c>
      <c r="O39" s="29" t="str" cm="1">
        <f t="array" ref="O39">IFERROR(INDEX(_xlfn.UNIQUE(TRIM(_xlfn.TEXTSPLIT(Table26142567891112[[#This Row],[Selection Options]:[Selection Options]],","))),,O$11),"")</f>
        <v xml:space="preserve">
75%: Supported via modifications (config)</v>
      </c>
      <c r="P39" s="29" t="str" cm="1">
        <f t="array" ref="P39">IFERROR(INDEX(_xlfn.UNIQUE(TRIM(_xlfn.TEXTSPLIT(Table26142567891112[[#This Row],[Selection Options]:[Selection Options]],","))),,P$11),"")</f>
        <v xml:space="preserve">
50%: Supported via a third party solution</v>
      </c>
      <c r="Q39" s="29" t="str" cm="1">
        <f t="array" ref="Q39">IFERROR(INDEX(_xlfn.UNIQUE(TRIM(_xlfn.TEXTSPLIT(Table26142567891112[[#This Row],[Selection Options]:[Selection Options]],","))),,Q$11),"")</f>
        <v xml:space="preserve">
25%: Supported via customisation (source code changes)</v>
      </c>
      <c r="R39" s="29" t="str" cm="1">
        <f t="array" ref="R39">IFERROR(INDEX(_xlfn.UNIQUE(TRIM(_xlfn.TEXTSPLIT(Table26142567891112[[#This Row],[Selection Options]:[Selection Options]],","))),,R$11),"")</f>
        <v>0%: Not currently supported</v>
      </c>
      <c r="S39" s="29" t="str" cm="1">
        <f t="array" ref="S39">IFERROR(INDEX(_xlfn.UNIQUE(TRIM(_xlfn.TEXTSPLIT(Table26142567891112[[#This Row],[Selection Options]:[Selection Options]],","))),,S$11),"")</f>
        <v/>
      </c>
      <c r="T39" s="29" t="str" cm="1">
        <f t="array" ref="T39">IFERROR(INDEX(_xlfn.UNIQUE(TRIM(_xlfn.TEXTSPLIT(Table26142567891112[[#This Row],[Selection Options]:[Selection Options]],","))),,T$11),"")</f>
        <v/>
      </c>
      <c r="U39" s="29" t="str" cm="1">
        <f t="array" ref="U39">IFERROR(INDEX(_xlfn.UNIQUE(TRIM(_xlfn.TEXTSPLIT(Table26142567891112[[#This Row],[Selection Options]:[Selection Options]],","))),,U$11),"")</f>
        <v/>
      </c>
      <c r="V39" s="29" t="str" cm="1">
        <f t="array" ref="V39">IFERROR(INDEX(_xlfn.UNIQUE(TRIM(_xlfn.TEXTSPLIT(Table26142567891112[[#This Row],[Selection Options]:[Selection Options]],","))),,V$11),"")</f>
        <v/>
      </c>
      <c r="W39" s="29" t="str" cm="1">
        <f t="array" ref="W39">IFERROR(INDEX(_xlfn.UNIQUE(TRIM(_xlfn.TEXTSPLIT(Table26142567891112[[#This Row],[Selection Options]:[Selection Options]],","))),,W$11),"")</f>
        <v/>
      </c>
      <c r="X39" s="29" t="str" cm="1">
        <f t="array" ref="X39">IFERROR(INDEX(_xlfn.UNIQUE(TRIM(_xlfn.TEXTSPLIT(Table26142567891112[[#This Row],[Selection Options]:[Selection Options]],","))),,X$11),"")</f>
        <v/>
      </c>
      <c r="Y39" s="30" cm="1">
        <f t="array" ref="Y39">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39" s="30" cm="1">
        <f t="array" ref="Z39">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39" s="30" cm="1">
        <f t="array" ref="AA39">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39" s="30" cm="1">
        <f t="array" ref="AB39">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39" s="30" cm="1">
        <f t="array" ref="AC39">IF(Table26142567891112[[#This Row],[5]]="","",Table26142567891112[[#This Row],[Weight]:[Weight]]-(Table26142567891112[[#This Row],[Weight]:[Weight]]*((_xlfn.XMATCH(Table26142567891112[[#This Row],[5]],Table26142567891112[[#This Row],[1]:[11]],0))-1)/(COUNTA(Table26142567891112[[#This Row],[1]:[11]])-COUNTBLANK(Table26142567891112[[#This Row],[1]:[11]])-1)))</f>
        <v>0</v>
      </c>
      <c r="AD39" s="30" t="str" cm="1">
        <f t="array" ref="AD39">IF(Table26142567891112[[#This Row],[6]]="","",Table26142567891112[[#This Row],[Weight]:[Weight]]-(Table26142567891112[[#This Row],[Weight]:[Weight]]*((_xlfn.XMATCH(Table26142567891112[[#This Row],[6]],Table26142567891112[[#This Row],[1]:[11]],0))-1)/(COUNTA(Table26142567891112[[#This Row],[1]:[11]])-COUNTBLANK(Table26142567891112[[#This Row],[1]:[11]])-1)))</f>
        <v/>
      </c>
      <c r="AE39" s="30" t="str" cm="1">
        <f t="array" ref="AE39">IF(Table26142567891112[[#This Row],[7]]="","",Table26142567891112[[#This Row],[Weight]:[Weight]]-(Table26142567891112[[#This Row],[Weight]:[Weight]]*((_xlfn.XMATCH(Table26142567891112[[#This Row],[7]],Table26142567891112[[#This Row],[1]:[11]],0))-1)/(COUNTA(Table26142567891112[[#This Row],[1]:[11]])-COUNTBLANK(Table26142567891112[[#This Row],[1]:[11]])-1)))</f>
        <v/>
      </c>
      <c r="AF39" s="30" t="str" cm="1">
        <f t="array" ref="AF39">IF(Table26142567891112[[#This Row],[8]]="","",Table26142567891112[[#This Row],[Weight]:[Weight]]-(Table26142567891112[[#This Row],[Weight]:[Weight]]*((_xlfn.XMATCH(Table26142567891112[[#This Row],[8]],Table26142567891112[[#This Row],[1]:[11]],0))-1)/(COUNTA(Table26142567891112[[#This Row],[1]:[11]])-COUNTBLANK(Table26142567891112[[#This Row],[1]:[11]])-1)))</f>
        <v/>
      </c>
      <c r="AG39" s="30" t="str" cm="1">
        <f t="array" ref="AG39">IF(Table26142567891112[[#This Row],[9]]="","",Table26142567891112[[#This Row],[Weight]:[Weight]]-(Table26142567891112[[#This Row],[Weight]:[Weight]]*((_xlfn.XMATCH(Table26142567891112[[#This Row],[9]],Table26142567891112[[#This Row],[1]:[11]],0))-1)/(COUNTA(Table26142567891112[[#This Row],[1]:[11]])-COUNTBLANK(Table26142567891112[[#This Row],[1]:[11]])-1)))</f>
        <v/>
      </c>
      <c r="AH39" s="30" t="str" cm="1">
        <f t="array" ref="AH39">IF(Table26142567891112[[#This Row],[10]]="","",Table26142567891112[[#This Row],[Weight]:[Weight]]-(Table26142567891112[[#This Row],[Weight]:[Weight]]*((_xlfn.XMATCH(Table26142567891112[[#This Row],[10]],Table26142567891112[[#This Row],[1]:[11]],0))-1)/(COUNTA(Table26142567891112[[#This Row],[1]:[11]])-COUNTBLANK(Table26142567891112[[#This Row],[1]:[11]])-1)))</f>
        <v/>
      </c>
      <c r="AI39" s="30" t="str" cm="1">
        <f t="array" ref="AI39">IF(Table26142567891112[[#This Row],[11]]="","",Table26142567891112[[#This Row],[Weight]:[Weight]]-(Table26142567891112[[#This Row],[Weight]:[Weight]]*((_xlfn.XMATCH(Table26142567891112[[#This Row],[11]],Table26142567891112[[#This Row],[1]:[11]],0))-1)/(COUNTA(Table26142567891112[[#This Row],[1]:[11]])-COUNTBLANK(Table26142567891112[[#This Row],[1]:[11]])-1)))</f>
        <v/>
      </c>
    </row>
    <row r="40" spans="1:35" ht="108" x14ac:dyDescent="0.2">
      <c r="A40" s="20">
        <v>28</v>
      </c>
      <c r="B40" s="90" t="s">
        <v>578</v>
      </c>
      <c r="C40" s="119" t="s">
        <v>215</v>
      </c>
      <c r="D40" s="153"/>
      <c r="E40" s="153"/>
      <c r="F40" s="121" t="s">
        <v>188</v>
      </c>
      <c r="G40" s="148" cm="1">
        <f t="array" ref="G40">_xlfn.IFS(F40="","",F40="No interest",0,F40="Nice to have",1,F40="Useful",2,F40="Important",3,F40="Very important",4,F40="Critical",5,F40="Show stopper",6)</f>
        <v>5</v>
      </c>
      <c r="H40" s="149">
        <f t="shared" si="2"/>
        <v>1.7156862745098037E-3</v>
      </c>
      <c r="I40" s="150" t="s">
        <v>548</v>
      </c>
      <c r="J40" s="35" t="str" cm="1">
        <f t="array" ref="J40">_xlfn.TEXTJOIN(","&amp;CHAR(10),,TEXT(Table26142567891112[[#This Row],[12]:[22]],"0,00%"))</f>
        <v>0,00%,
0,00%,
0,00%,
0,00%,
0,00%</v>
      </c>
      <c r="K40" s="36"/>
      <c r="L40" s="27" t="e">
        <f>H40-(H40*((MATCH(Table26142567891112[[#This Row],[Evaluators Response (SELECT)]],Table26142567891112[[#This Row],[1]:[11]],0)-1)/(COUNTA(Table26142567891112[[#This Row],[1]:[11]])-COUNTBLANK(Table26142567891112[[#This Row],[1]:[11]])-1)))</f>
        <v>#N/A</v>
      </c>
      <c r="M40" s="28"/>
      <c r="N40" s="29" t="str" cm="1">
        <f t="array" ref="N40">IFERROR(INDEX(_xlfn.UNIQUE(TRIM(_xlfn.TEXTSPLIT(Table26142567891112[[#This Row],[Selection Options]:[Selection Options]],","))),,N$11),"")</f>
        <v>100%: Supported as delivered "out of the box"</v>
      </c>
      <c r="O40" s="29" t="str" cm="1">
        <f t="array" ref="O40">IFERROR(INDEX(_xlfn.UNIQUE(TRIM(_xlfn.TEXTSPLIT(Table26142567891112[[#This Row],[Selection Options]:[Selection Options]],","))),,O$11),"")</f>
        <v xml:space="preserve">
75%: Supported via modifications (config)</v>
      </c>
      <c r="P40" s="29" t="str" cm="1">
        <f t="array" ref="P40">IFERROR(INDEX(_xlfn.UNIQUE(TRIM(_xlfn.TEXTSPLIT(Table26142567891112[[#This Row],[Selection Options]:[Selection Options]],","))),,P$11),"")</f>
        <v xml:space="preserve">
50%: Supported via a third party solution</v>
      </c>
      <c r="Q40" s="29" t="str" cm="1">
        <f t="array" ref="Q40">IFERROR(INDEX(_xlfn.UNIQUE(TRIM(_xlfn.TEXTSPLIT(Table26142567891112[[#This Row],[Selection Options]:[Selection Options]],","))),,Q$11),"")</f>
        <v xml:space="preserve">
25%: Supported via customisation (source code changes)</v>
      </c>
      <c r="R40" s="29" t="str" cm="1">
        <f t="array" ref="R40">IFERROR(INDEX(_xlfn.UNIQUE(TRIM(_xlfn.TEXTSPLIT(Table26142567891112[[#This Row],[Selection Options]:[Selection Options]],","))),,R$11),"")</f>
        <v>0%: Not currently supported</v>
      </c>
      <c r="S40" s="29" t="str" cm="1">
        <f t="array" ref="S40">IFERROR(INDEX(_xlfn.UNIQUE(TRIM(_xlfn.TEXTSPLIT(Table26142567891112[[#This Row],[Selection Options]:[Selection Options]],","))),,S$11),"")</f>
        <v/>
      </c>
      <c r="T40" s="29" t="str" cm="1">
        <f t="array" ref="T40">IFERROR(INDEX(_xlfn.UNIQUE(TRIM(_xlfn.TEXTSPLIT(Table26142567891112[[#This Row],[Selection Options]:[Selection Options]],","))),,T$11),"")</f>
        <v/>
      </c>
      <c r="U40" s="29" t="str" cm="1">
        <f t="array" ref="U40">IFERROR(INDEX(_xlfn.UNIQUE(TRIM(_xlfn.TEXTSPLIT(Table26142567891112[[#This Row],[Selection Options]:[Selection Options]],","))),,U$11),"")</f>
        <v/>
      </c>
      <c r="V40" s="29" t="str" cm="1">
        <f t="array" ref="V40">IFERROR(INDEX(_xlfn.UNIQUE(TRIM(_xlfn.TEXTSPLIT(Table26142567891112[[#This Row],[Selection Options]:[Selection Options]],","))),,V$11),"")</f>
        <v/>
      </c>
      <c r="W40" s="29" t="str" cm="1">
        <f t="array" ref="W40">IFERROR(INDEX(_xlfn.UNIQUE(TRIM(_xlfn.TEXTSPLIT(Table26142567891112[[#This Row],[Selection Options]:[Selection Options]],","))),,W$11),"")</f>
        <v/>
      </c>
      <c r="X40" s="29" t="str" cm="1">
        <f t="array" ref="X40">IFERROR(INDEX(_xlfn.UNIQUE(TRIM(_xlfn.TEXTSPLIT(Table26142567891112[[#This Row],[Selection Options]:[Selection Options]],","))),,X$11),"")</f>
        <v/>
      </c>
      <c r="Y40" s="30" cm="1">
        <f t="array" ref="Y40">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40" s="30" cm="1">
        <f t="array" ref="Z40">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40" s="30" cm="1">
        <f t="array" ref="AA40">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40" s="30" cm="1">
        <f t="array" ref="AB40">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40" s="30" cm="1">
        <f t="array" ref="AC40">IF(Table26142567891112[[#This Row],[5]]="","",Table26142567891112[[#This Row],[Weight]:[Weight]]-(Table26142567891112[[#This Row],[Weight]:[Weight]]*((_xlfn.XMATCH(Table26142567891112[[#This Row],[5]],Table26142567891112[[#This Row],[1]:[11]],0))-1)/(COUNTA(Table26142567891112[[#This Row],[1]:[11]])-COUNTBLANK(Table26142567891112[[#This Row],[1]:[11]])-1)))</f>
        <v>0</v>
      </c>
      <c r="AD40" s="30" t="str" cm="1">
        <f t="array" ref="AD40">IF(Table26142567891112[[#This Row],[6]]="","",Table26142567891112[[#This Row],[Weight]:[Weight]]-(Table26142567891112[[#This Row],[Weight]:[Weight]]*((_xlfn.XMATCH(Table26142567891112[[#This Row],[6]],Table26142567891112[[#This Row],[1]:[11]],0))-1)/(COUNTA(Table26142567891112[[#This Row],[1]:[11]])-COUNTBLANK(Table26142567891112[[#This Row],[1]:[11]])-1)))</f>
        <v/>
      </c>
      <c r="AE40" s="30" t="str" cm="1">
        <f t="array" ref="AE40">IF(Table26142567891112[[#This Row],[7]]="","",Table26142567891112[[#This Row],[Weight]:[Weight]]-(Table26142567891112[[#This Row],[Weight]:[Weight]]*((_xlfn.XMATCH(Table26142567891112[[#This Row],[7]],Table26142567891112[[#This Row],[1]:[11]],0))-1)/(COUNTA(Table26142567891112[[#This Row],[1]:[11]])-COUNTBLANK(Table26142567891112[[#This Row],[1]:[11]])-1)))</f>
        <v/>
      </c>
      <c r="AF40" s="30" t="str" cm="1">
        <f t="array" ref="AF40">IF(Table26142567891112[[#This Row],[8]]="","",Table26142567891112[[#This Row],[Weight]:[Weight]]-(Table26142567891112[[#This Row],[Weight]:[Weight]]*((_xlfn.XMATCH(Table26142567891112[[#This Row],[8]],Table26142567891112[[#This Row],[1]:[11]],0))-1)/(COUNTA(Table26142567891112[[#This Row],[1]:[11]])-COUNTBLANK(Table26142567891112[[#This Row],[1]:[11]])-1)))</f>
        <v/>
      </c>
      <c r="AG40" s="30" t="str" cm="1">
        <f t="array" ref="AG40">IF(Table26142567891112[[#This Row],[9]]="","",Table26142567891112[[#This Row],[Weight]:[Weight]]-(Table26142567891112[[#This Row],[Weight]:[Weight]]*((_xlfn.XMATCH(Table26142567891112[[#This Row],[9]],Table26142567891112[[#This Row],[1]:[11]],0))-1)/(COUNTA(Table26142567891112[[#This Row],[1]:[11]])-COUNTBLANK(Table26142567891112[[#This Row],[1]:[11]])-1)))</f>
        <v/>
      </c>
      <c r="AH40" s="30" t="str" cm="1">
        <f t="array" ref="AH40">IF(Table26142567891112[[#This Row],[10]]="","",Table26142567891112[[#This Row],[Weight]:[Weight]]-(Table26142567891112[[#This Row],[Weight]:[Weight]]*((_xlfn.XMATCH(Table26142567891112[[#This Row],[10]],Table26142567891112[[#This Row],[1]:[11]],0))-1)/(COUNTA(Table26142567891112[[#This Row],[1]:[11]])-COUNTBLANK(Table26142567891112[[#This Row],[1]:[11]])-1)))</f>
        <v/>
      </c>
      <c r="AI40" s="30" t="str" cm="1">
        <f t="array" ref="AI40">IF(Table26142567891112[[#This Row],[11]]="","",Table26142567891112[[#This Row],[Weight]:[Weight]]-(Table26142567891112[[#This Row],[Weight]:[Weight]]*((_xlfn.XMATCH(Table26142567891112[[#This Row],[11]],Table26142567891112[[#This Row],[1]:[11]],0))-1)/(COUNTA(Table26142567891112[[#This Row],[1]:[11]])-COUNTBLANK(Table26142567891112[[#This Row],[1]:[11]])-1)))</f>
        <v/>
      </c>
    </row>
    <row r="41" spans="1:35" ht="108" x14ac:dyDescent="0.2">
      <c r="A41" s="20">
        <v>29</v>
      </c>
      <c r="B41" s="90" t="s">
        <v>579</v>
      </c>
      <c r="C41" s="119" t="s">
        <v>215</v>
      </c>
      <c r="D41" s="153"/>
      <c r="E41" s="153"/>
      <c r="F41" s="121" t="s">
        <v>60</v>
      </c>
      <c r="G41" s="148" cm="1">
        <f t="array" ref="G41">_xlfn.IFS(F41="","",F41="No interest",0,F41="Nice to have",1,F41="Useful",2,F41="Important",3,F41="Very important",4,F41="Critical",5,F41="Show stopper",6)</f>
        <v>6</v>
      </c>
      <c r="H41" s="149">
        <f t="shared" si="2"/>
        <v>2.0588235294117644E-3</v>
      </c>
      <c r="I41" s="150" t="s">
        <v>548</v>
      </c>
      <c r="J41" s="35" t="str" cm="1">
        <f t="array" ref="J41">_xlfn.TEXTJOIN(","&amp;CHAR(10),,TEXT(Table26142567891112[[#This Row],[12]:[22]],"0,00%"))</f>
        <v>0,00%,
0,00%,
0,00%,
0,00%,
0,00%</v>
      </c>
      <c r="K41" s="36"/>
      <c r="L41" s="27" t="e">
        <f>H41-(H41*((MATCH(Table26142567891112[[#This Row],[Evaluators Response (SELECT)]],Table26142567891112[[#This Row],[1]:[11]],0)-1)/(COUNTA(Table26142567891112[[#This Row],[1]:[11]])-COUNTBLANK(Table26142567891112[[#This Row],[1]:[11]])-1)))</f>
        <v>#N/A</v>
      </c>
      <c r="M41" s="28"/>
      <c r="N41" s="29" t="str" cm="1">
        <f t="array" ref="N41">IFERROR(INDEX(_xlfn.UNIQUE(TRIM(_xlfn.TEXTSPLIT(Table26142567891112[[#This Row],[Selection Options]:[Selection Options]],","))),,N$11),"")</f>
        <v>100%: Supported as delivered "out of the box"</v>
      </c>
      <c r="O41" s="29" t="str" cm="1">
        <f t="array" ref="O41">IFERROR(INDEX(_xlfn.UNIQUE(TRIM(_xlfn.TEXTSPLIT(Table26142567891112[[#This Row],[Selection Options]:[Selection Options]],","))),,O$11),"")</f>
        <v xml:space="preserve">
75%: Supported via modifications (config)</v>
      </c>
      <c r="P41" s="29" t="str" cm="1">
        <f t="array" ref="P41">IFERROR(INDEX(_xlfn.UNIQUE(TRIM(_xlfn.TEXTSPLIT(Table26142567891112[[#This Row],[Selection Options]:[Selection Options]],","))),,P$11),"")</f>
        <v xml:space="preserve">
50%: Supported via a third party solution</v>
      </c>
      <c r="Q41" s="29" t="str" cm="1">
        <f t="array" ref="Q41">IFERROR(INDEX(_xlfn.UNIQUE(TRIM(_xlfn.TEXTSPLIT(Table26142567891112[[#This Row],[Selection Options]:[Selection Options]],","))),,Q$11),"")</f>
        <v xml:space="preserve">
25%: Supported via customisation (source code changes)</v>
      </c>
      <c r="R41" s="29" t="str" cm="1">
        <f t="array" ref="R41">IFERROR(INDEX(_xlfn.UNIQUE(TRIM(_xlfn.TEXTSPLIT(Table26142567891112[[#This Row],[Selection Options]:[Selection Options]],","))),,R$11),"")</f>
        <v>0%: Not currently supported</v>
      </c>
      <c r="S41" s="29" t="str" cm="1">
        <f t="array" ref="S41">IFERROR(INDEX(_xlfn.UNIQUE(TRIM(_xlfn.TEXTSPLIT(Table26142567891112[[#This Row],[Selection Options]:[Selection Options]],","))),,S$11),"")</f>
        <v/>
      </c>
      <c r="T41" s="29" t="str" cm="1">
        <f t="array" ref="T41">IFERROR(INDEX(_xlfn.UNIQUE(TRIM(_xlfn.TEXTSPLIT(Table26142567891112[[#This Row],[Selection Options]:[Selection Options]],","))),,T$11),"")</f>
        <v/>
      </c>
      <c r="U41" s="29" t="str" cm="1">
        <f t="array" ref="U41">IFERROR(INDEX(_xlfn.UNIQUE(TRIM(_xlfn.TEXTSPLIT(Table26142567891112[[#This Row],[Selection Options]:[Selection Options]],","))),,U$11),"")</f>
        <v/>
      </c>
      <c r="V41" s="29" t="str" cm="1">
        <f t="array" ref="V41">IFERROR(INDEX(_xlfn.UNIQUE(TRIM(_xlfn.TEXTSPLIT(Table26142567891112[[#This Row],[Selection Options]:[Selection Options]],","))),,V$11),"")</f>
        <v/>
      </c>
      <c r="W41" s="29" t="str" cm="1">
        <f t="array" ref="W41">IFERROR(INDEX(_xlfn.UNIQUE(TRIM(_xlfn.TEXTSPLIT(Table26142567891112[[#This Row],[Selection Options]:[Selection Options]],","))),,W$11),"")</f>
        <v/>
      </c>
      <c r="X41" s="29" t="str" cm="1">
        <f t="array" ref="X41">IFERROR(INDEX(_xlfn.UNIQUE(TRIM(_xlfn.TEXTSPLIT(Table26142567891112[[#This Row],[Selection Options]:[Selection Options]],","))),,X$11),"")</f>
        <v/>
      </c>
      <c r="Y41" s="30" cm="1">
        <f t="array" ref="Y41">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1" s="30" cm="1">
        <f t="array" ref="Z41">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1" s="30" cm="1">
        <f t="array" ref="AA41">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1" s="30" cm="1">
        <f t="array" ref="AB41">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1" s="30" cm="1">
        <f t="array" ref="AC41">IF(Table26142567891112[[#This Row],[5]]="","",Table26142567891112[[#This Row],[Weight]:[Weight]]-(Table26142567891112[[#This Row],[Weight]:[Weight]]*((_xlfn.XMATCH(Table26142567891112[[#This Row],[5]],Table26142567891112[[#This Row],[1]:[11]],0))-1)/(COUNTA(Table26142567891112[[#This Row],[1]:[11]])-COUNTBLANK(Table26142567891112[[#This Row],[1]:[11]])-1)))</f>
        <v>0</v>
      </c>
      <c r="AD41" s="30" t="str" cm="1">
        <f t="array" ref="AD41">IF(Table26142567891112[[#This Row],[6]]="","",Table26142567891112[[#This Row],[Weight]:[Weight]]-(Table26142567891112[[#This Row],[Weight]:[Weight]]*((_xlfn.XMATCH(Table26142567891112[[#This Row],[6]],Table26142567891112[[#This Row],[1]:[11]],0))-1)/(COUNTA(Table26142567891112[[#This Row],[1]:[11]])-COUNTBLANK(Table26142567891112[[#This Row],[1]:[11]])-1)))</f>
        <v/>
      </c>
      <c r="AE41" s="30" t="str" cm="1">
        <f t="array" ref="AE41">IF(Table26142567891112[[#This Row],[7]]="","",Table26142567891112[[#This Row],[Weight]:[Weight]]-(Table26142567891112[[#This Row],[Weight]:[Weight]]*((_xlfn.XMATCH(Table26142567891112[[#This Row],[7]],Table26142567891112[[#This Row],[1]:[11]],0))-1)/(COUNTA(Table26142567891112[[#This Row],[1]:[11]])-COUNTBLANK(Table26142567891112[[#This Row],[1]:[11]])-1)))</f>
        <v/>
      </c>
      <c r="AF41" s="30" t="str" cm="1">
        <f t="array" ref="AF41">IF(Table26142567891112[[#This Row],[8]]="","",Table26142567891112[[#This Row],[Weight]:[Weight]]-(Table26142567891112[[#This Row],[Weight]:[Weight]]*((_xlfn.XMATCH(Table26142567891112[[#This Row],[8]],Table26142567891112[[#This Row],[1]:[11]],0))-1)/(COUNTA(Table26142567891112[[#This Row],[1]:[11]])-COUNTBLANK(Table26142567891112[[#This Row],[1]:[11]])-1)))</f>
        <v/>
      </c>
      <c r="AG41" s="30" t="str" cm="1">
        <f t="array" ref="AG41">IF(Table26142567891112[[#This Row],[9]]="","",Table26142567891112[[#This Row],[Weight]:[Weight]]-(Table26142567891112[[#This Row],[Weight]:[Weight]]*((_xlfn.XMATCH(Table26142567891112[[#This Row],[9]],Table26142567891112[[#This Row],[1]:[11]],0))-1)/(COUNTA(Table26142567891112[[#This Row],[1]:[11]])-COUNTBLANK(Table26142567891112[[#This Row],[1]:[11]])-1)))</f>
        <v/>
      </c>
      <c r="AH41" s="30" t="str" cm="1">
        <f t="array" ref="AH41">IF(Table26142567891112[[#This Row],[10]]="","",Table26142567891112[[#This Row],[Weight]:[Weight]]-(Table26142567891112[[#This Row],[Weight]:[Weight]]*((_xlfn.XMATCH(Table26142567891112[[#This Row],[10]],Table26142567891112[[#This Row],[1]:[11]],0))-1)/(COUNTA(Table26142567891112[[#This Row],[1]:[11]])-COUNTBLANK(Table26142567891112[[#This Row],[1]:[11]])-1)))</f>
        <v/>
      </c>
      <c r="AI41" s="30" t="str" cm="1">
        <f t="array" ref="AI41">IF(Table26142567891112[[#This Row],[11]]="","",Table26142567891112[[#This Row],[Weight]:[Weight]]-(Table26142567891112[[#This Row],[Weight]:[Weight]]*((_xlfn.XMATCH(Table26142567891112[[#This Row],[11]],Table26142567891112[[#This Row],[1]:[11]],0))-1)/(COUNTA(Table26142567891112[[#This Row],[1]:[11]])-COUNTBLANK(Table26142567891112[[#This Row],[1]:[11]])-1)))</f>
        <v/>
      </c>
    </row>
    <row r="42" spans="1:35" ht="108" x14ac:dyDescent="0.2">
      <c r="A42" s="20">
        <v>30</v>
      </c>
      <c r="B42" s="90" t="s">
        <v>580</v>
      </c>
      <c r="C42" s="119" t="s">
        <v>215</v>
      </c>
      <c r="D42" s="153"/>
      <c r="E42" s="153"/>
      <c r="F42" s="121" t="s">
        <v>60</v>
      </c>
      <c r="G42" s="148" cm="1">
        <f t="array" ref="G42">_xlfn.IFS(F42="","",F42="No interest",0,F42="Nice to have",1,F42="Useful",2,F42="Important",3,F42="Very important",4,F42="Critical",5,F42="Show stopper",6)</f>
        <v>6</v>
      </c>
      <c r="H42" s="149">
        <f t="shared" si="2"/>
        <v>2.0588235294117644E-3</v>
      </c>
      <c r="I42" s="150" t="s">
        <v>548</v>
      </c>
      <c r="J42" s="35" t="str" cm="1">
        <f t="array" ref="J42">_xlfn.TEXTJOIN(","&amp;CHAR(10),,TEXT(Table26142567891112[[#This Row],[12]:[22]],"0,00%"))</f>
        <v>0,00%,
0,00%,
0,00%,
0,00%,
0,00%</v>
      </c>
      <c r="K42" s="36"/>
      <c r="L42" s="27" t="e">
        <f>H42-(H42*((MATCH(Table26142567891112[[#This Row],[Evaluators Response (SELECT)]],Table26142567891112[[#This Row],[1]:[11]],0)-1)/(COUNTA(Table26142567891112[[#This Row],[1]:[11]])-COUNTBLANK(Table26142567891112[[#This Row],[1]:[11]])-1)))</f>
        <v>#N/A</v>
      </c>
      <c r="M42" s="28"/>
      <c r="N42" s="29" t="str" cm="1">
        <f t="array" ref="N42">IFERROR(INDEX(_xlfn.UNIQUE(TRIM(_xlfn.TEXTSPLIT(Table26142567891112[[#This Row],[Selection Options]:[Selection Options]],","))),,N$11),"")</f>
        <v>100%: Supported as delivered "out of the box"</v>
      </c>
      <c r="O42" s="29" t="str" cm="1">
        <f t="array" ref="O42">IFERROR(INDEX(_xlfn.UNIQUE(TRIM(_xlfn.TEXTSPLIT(Table26142567891112[[#This Row],[Selection Options]:[Selection Options]],","))),,O$11),"")</f>
        <v xml:space="preserve">
75%: Supported via modifications (config)</v>
      </c>
      <c r="P42" s="29" t="str" cm="1">
        <f t="array" ref="P42">IFERROR(INDEX(_xlfn.UNIQUE(TRIM(_xlfn.TEXTSPLIT(Table26142567891112[[#This Row],[Selection Options]:[Selection Options]],","))),,P$11),"")</f>
        <v xml:space="preserve">
50%: Supported via a third party solution</v>
      </c>
      <c r="Q42" s="29" t="str" cm="1">
        <f t="array" ref="Q42">IFERROR(INDEX(_xlfn.UNIQUE(TRIM(_xlfn.TEXTSPLIT(Table26142567891112[[#This Row],[Selection Options]:[Selection Options]],","))),,Q$11),"")</f>
        <v xml:space="preserve">
25%: Supported via customisation (source code changes)</v>
      </c>
      <c r="R42" s="29" t="str" cm="1">
        <f t="array" ref="R42">IFERROR(INDEX(_xlfn.UNIQUE(TRIM(_xlfn.TEXTSPLIT(Table26142567891112[[#This Row],[Selection Options]:[Selection Options]],","))),,R$11),"")</f>
        <v>0%: Not currently supported</v>
      </c>
      <c r="S42" s="29" t="str" cm="1">
        <f t="array" ref="S42">IFERROR(INDEX(_xlfn.UNIQUE(TRIM(_xlfn.TEXTSPLIT(Table26142567891112[[#This Row],[Selection Options]:[Selection Options]],","))),,S$11),"")</f>
        <v/>
      </c>
      <c r="T42" s="29" t="str" cm="1">
        <f t="array" ref="T42">IFERROR(INDEX(_xlfn.UNIQUE(TRIM(_xlfn.TEXTSPLIT(Table26142567891112[[#This Row],[Selection Options]:[Selection Options]],","))),,T$11),"")</f>
        <v/>
      </c>
      <c r="U42" s="29" t="str" cm="1">
        <f t="array" ref="U42">IFERROR(INDEX(_xlfn.UNIQUE(TRIM(_xlfn.TEXTSPLIT(Table26142567891112[[#This Row],[Selection Options]:[Selection Options]],","))),,U$11),"")</f>
        <v/>
      </c>
      <c r="V42" s="29" t="str" cm="1">
        <f t="array" ref="V42">IFERROR(INDEX(_xlfn.UNIQUE(TRIM(_xlfn.TEXTSPLIT(Table26142567891112[[#This Row],[Selection Options]:[Selection Options]],","))),,V$11),"")</f>
        <v/>
      </c>
      <c r="W42" s="29" t="str" cm="1">
        <f t="array" ref="W42">IFERROR(INDEX(_xlfn.UNIQUE(TRIM(_xlfn.TEXTSPLIT(Table26142567891112[[#This Row],[Selection Options]:[Selection Options]],","))),,W$11),"")</f>
        <v/>
      </c>
      <c r="X42" s="29" t="str" cm="1">
        <f t="array" ref="X42">IFERROR(INDEX(_xlfn.UNIQUE(TRIM(_xlfn.TEXTSPLIT(Table26142567891112[[#This Row],[Selection Options]:[Selection Options]],","))),,X$11),"")</f>
        <v/>
      </c>
      <c r="Y42" s="30" cm="1">
        <f t="array" ref="Y42">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2" s="30" cm="1">
        <f t="array" ref="Z42">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2" s="30" cm="1">
        <f t="array" ref="AA42">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2" s="30" cm="1">
        <f t="array" ref="AB42">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2" s="30" cm="1">
        <f t="array" ref="AC42">IF(Table26142567891112[[#This Row],[5]]="","",Table26142567891112[[#This Row],[Weight]:[Weight]]-(Table26142567891112[[#This Row],[Weight]:[Weight]]*((_xlfn.XMATCH(Table26142567891112[[#This Row],[5]],Table26142567891112[[#This Row],[1]:[11]],0))-1)/(COUNTA(Table26142567891112[[#This Row],[1]:[11]])-COUNTBLANK(Table26142567891112[[#This Row],[1]:[11]])-1)))</f>
        <v>0</v>
      </c>
      <c r="AD42" s="30" t="str" cm="1">
        <f t="array" ref="AD42">IF(Table26142567891112[[#This Row],[6]]="","",Table26142567891112[[#This Row],[Weight]:[Weight]]-(Table26142567891112[[#This Row],[Weight]:[Weight]]*((_xlfn.XMATCH(Table26142567891112[[#This Row],[6]],Table26142567891112[[#This Row],[1]:[11]],0))-1)/(COUNTA(Table26142567891112[[#This Row],[1]:[11]])-COUNTBLANK(Table26142567891112[[#This Row],[1]:[11]])-1)))</f>
        <v/>
      </c>
      <c r="AE42" s="30" t="str" cm="1">
        <f t="array" ref="AE42">IF(Table26142567891112[[#This Row],[7]]="","",Table26142567891112[[#This Row],[Weight]:[Weight]]-(Table26142567891112[[#This Row],[Weight]:[Weight]]*((_xlfn.XMATCH(Table26142567891112[[#This Row],[7]],Table26142567891112[[#This Row],[1]:[11]],0))-1)/(COUNTA(Table26142567891112[[#This Row],[1]:[11]])-COUNTBLANK(Table26142567891112[[#This Row],[1]:[11]])-1)))</f>
        <v/>
      </c>
      <c r="AF42" s="30" t="str" cm="1">
        <f t="array" ref="AF42">IF(Table26142567891112[[#This Row],[8]]="","",Table26142567891112[[#This Row],[Weight]:[Weight]]-(Table26142567891112[[#This Row],[Weight]:[Weight]]*((_xlfn.XMATCH(Table26142567891112[[#This Row],[8]],Table26142567891112[[#This Row],[1]:[11]],0))-1)/(COUNTA(Table26142567891112[[#This Row],[1]:[11]])-COUNTBLANK(Table26142567891112[[#This Row],[1]:[11]])-1)))</f>
        <v/>
      </c>
      <c r="AG42" s="30" t="str" cm="1">
        <f t="array" ref="AG42">IF(Table26142567891112[[#This Row],[9]]="","",Table26142567891112[[#This Row],[Weight]:[Weight]]-(Table26142567891112[[#This Row],[Weight]:[Weight]]*((_xlfn.XMATCH(Table26142567891112[[#This Row],[9]],Table26142567891112[[#This Row],[1]:[11]],0))-1)/(COUNTA(Table26142567891112[[#This Row],[1]:[11]])-COUNTBLANK(Table26142567891112[[#This Row],[1]:[11]])-1)))</f>
        <v/>
      </c>
      <c r="AH42" s="30" t="str" cm="1">
        <f t="array" ref="AH42">IF(Table26142567891112[[#This Row],[10]]="","",Table26142567891112[[#This Row],[Weight]:[Weight]]-(Table26142567891112[[#This Row],[Weight]:[Weight]]*((_xlfn.XMATCH(Table26142567891112[[#This Row],[10]],Table26142567891112[[#This Row],[1]:[11]],0))-1)/(COUNTA(Table26142567891112[[#This Row],[1]:[11]])-COUNTBLANK(Table26142567891112[[#This Row],[1]:[11]])-1)))</f>
        <v/>
      </c>
      <c r="AI42" s="30" t="str" cm="1">
        <f t="array" ref="AI42">IF(Table26142567891112[[#This Row],[11]]="","",Table26142567891112[[#This Row],[Weight]:[Weight]]-(Table26142567891112[[#This Row],[Weight]:[Weight]]*((_xlfn.XMATCH(Table26142567891112[[#This Row],[11]],Table26142567891112[[#This Row],[1]:[11]],0))-1)/(COUNTA(Table26142567891112[[#This Row],[1]:[11]])-COUNTBLANK(Table26142567891112[[#This Row],[1]:[11]])-1)))</f>
        <v/>
      </c>
    </row>
    <row r="43" spans="1:35" ht="108" x14ac:dyDescent="0.2">
      <c r="A43" s="20">
        <v>31</v>
      </c>
      <c r="B43" s="90" t="s">
        <v>581</v>
      </c>
      <c r="C43" s="119" t="s">
        <v>215</v>
      </c>
      <c r="D43" s="153"/>
      <c r="E43" s="153"/>
      <c r="F43" s="121" t="s">
        <v>60</v>
      </c>
      <c r="G43" s="148" cm="1">
        <f t="array" ref="G43">_xlfn.IFS(F43="","",F43="No interest",0,F43="Nice to have",1,F43="Useful",2,F43="Important",3,F43="Very important",4,F43="Critical",5,F43="Show stopper",6)</f>
        <v>6</v>
      </c>
      <c r="H43" s="149">
        <f t="shared" si="2"/>
        <v>2.0588235294117644E-3</v>
      </c>
      <c r="I43" s="150" t="s">
        <v>548</v>
      </c>
      <c r="J43" s="35" t="str" cm="1">
        <f t="array" ref="J43">_xlfn.TEXTJOIN(","&amp;CHAR(10),,TEXT(Table26142567891112[[#This Row],[12]:[22]],"0,00%"))</f>
        <v>0,00%,
0,00%,
0,00%,
0,00%,
0,00%</v>
      </c>
      <c r="K43" s="36"/>
      <c r="L43" s="27" t="e">
        <f>H43-(H43*((MATCH(Table26142567891112[[#This Row],[Evaluators Response (SELECT)]],Table26142567891112[[#This Row],[1]:[11]],0)-1)/(COUNTA(Table26142567891112[[#This Row],[1]:[11]])-COUNTBLANK(Table26142567891112[[#This Row],[1]:[11]])-1)))</f>
        <v>#N/A</v>
      </c>
      <c r="M43" s="28"/>
      <c r="N43" s="29" t="str" cm="1">
        <f t="array" ref="N43">IFERROR(INDEX(_xlfn.UNIQUE(TRIM(_xlfn.TEXTSPLIT(Table26142567891112[[#This Row],[Selection Options]:[Selection Options]],","))),,N$11),"")</f>
        <v>100%: Supported as delivered "out of the box"</v>
      </c>
      <c r="O43" s="29" t="str" cm="1">
        <f t="array" ref="O43">IFERROR(INDEX(_xlfn.UNIQUE(TRIM(_xlfn.TEXTSPLIT(Table26142567891112[[#This Row],[Selection Options]:[Selection Options]],","))),,O$11),"")</f>
        <v xml:space="preserve">
75%: Supported via modifications (config)</v>
      </c>
      <c r="P43" s="29" t="str" cm="1">
        <f t="array" ref="P43">IFERROR(INDEX(_xlfn.UNIQUE(TRIM(_xlfn.TEXTSPLIT(Table26142567891112[[#This Row],[Selection Options]:[Selection Options]],","))),,P$11),"")</f>
        <v xml:space="preserve">
50%: Supported via a third party solution</v>
      </c>
      <c r="Q43" s="29" t="str" cm="1">
        <f t="array" ref="Q43">IFERROR(INDEX(_xlfn.UNIQUE(TRIM(_xlfn.TEXTSPLIT(Table26142567891112[[#This Row],[Selection Options]:[Selection Options]],","))),,Q$11),"")</f>
        <v xml:space="preserve">
25%: Supported via customisation (source code changes)</v>
      </c>
      <c r="R43" s="29" t="str" cm="1">
        <f t="array" ref="R43">IFERROR(INDEX(_xlfn.UNIQUE(TRIM(_xlfn.TEXTSPLIT(Table26142567891112[[#This Row],[Selection Options]:[Selection Options]],","))),,R$11),"")</f>
        <v>0%: Not currently supported</v>
      </c>
      <c r="S43" s="29" t="str" cm="1">
        <f t="array" ref="S43">IFERROR(INDEX(_xlfn.UNIQUE(TRIM(_xlfn.TEXTSPLIT(Table26142567891112[[#This Row],[Selection Options]:[Selection Options]],","))),,S$11),"")</f>
        <v/>
      </c>
      <c r="T43" s="29" t="str" cm="1">
        <f t="array" ref="T43">IFERROR(INDEX(_xlfn.UNIQUE(TRIM(_xlfn.TEXTSPLIT(Table26142567891112[[#This Row],[Selection Options]:[Selection Options]],","))),,T$11),"")</f>
        <v/>
      </c>
      <c r="U43" s="29" t="str" cm="1">
        <f t="array" ref="U43">IFERROR(INDEX(_xlfn.UNIQUE(TRIM(_xlfn.TEXTSPLIT(Table26142567891112[[#This Row],[Selection Options]:[Selection Options]],","))),,U$11),"")</f>
        <v/>
      </c>
      <c r="V43" s="29" t="str" cm="1">
        <f t="array" ref="V43">IFERROR(INDEX(_xlfn.UNIQUE(TRIM(_xlfn.TEXTSPLIT(Table26142567891112[[#This Row],[Selection Options]:[Selection Options]],","))),,V$11),"")</f>
        <v/>
      </c>
      <c r="W43" s="29" t="str" cm="1">
        <f t="array" ref="W43">IFERROR(INDEX(_xlfn.UNIQUE(TRIM(_xlfn.TEXTSPLIT(Table26142567891112[[#This Row],[Selection Options]:[Selection Options]],","))),,W$11),"")</f>
        <v/>
      </c>
      <c r="X43" s="29" t="str" cm="1">
        <f t="array" ref="X43">IFERROR(INDEX(_xlfn.UNIQUE(TRIM(_xlfn.TEXTSPLIT(Table26142567891112[[#This Row],[Selection Options]:[Selection Options]],","))),,X$11),"")</f>
        <v/>
      </c>
      <c r="Y43" s="30" cm="1">
        <f t="array" ref="Y43">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3" s="30" cm="1">
        <f t="array" ref="Z43">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3" s="30" cm="1">
        <f t="array" ref="AA43">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3" s="30" cm="1">
        <f t="array" ref="AB43">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3" s="30" cm="1">
        <f t="array" ref="AC43">IF(Table26142567891112[[#This Row],[5]]="","",Table26142567891112[[#This Row],[Weight]:[Weight]]-(Table26142567891112[[#This Row],[Weight]:[Weight]]*((_xlfn.XMATCH(Table26142567891112[[#This Row],[5]],Table26142567891112[[#This Row],[1]:[11]],0))-1)/(COUNTA(Table26142567891112[[#This Row],[1]:[11]])-COUNTBLANK(Table26142567891112[[#This Row],[1]:[11]])-1)))</f>
        <v>0</v>
      </c>
      <c r="AD43" s="30" t="str" cm="1">
        <f t="array" ref="AD43">IF(Table26142567891112[[#This Row],[6]]="","",Table26142567891112[[#This Row],[Weight]:[Weight]]-(Table26142567891112[[#This Row],[Weight]:[Weight]]*((_xlfn.XMATCH(Table26142567891112[[#This Row],[6]],Table26142567891112[[#This Row],[1]:[11]],0))-1)/(COUNTA(Table26142567891112[[#This Row],[1]:[11]])-COUNTBLANK(Table26142567891112[[#This Row],[1]:[11]])-1)))</f>
        <v/>
      </c>
      <c r="AE43" s="30" t="str" cm="1">
        <f t="array" ref="AE43">IF(Table26142567891112[[#This Row],[7]]="","",Table26142567891112[[#This Row],[Weight]:[Weight]]-(Table26142567891112[[#This Row],[Weight]:[Weight]]*((_xlfn.XMATCH(Table26142567891112[[#This Row],[7]],Table26142567891112[[#This Row],[1]:[11]],0))-1)/(COUNTA(Table26142567891112[[#This Row],[1]:[11]])-COUNTBLANK(Table26142567891112[[#This Row],[1]:[11]])-1)))</f>
        <v/>
      </c>
      <c r="AF43" s="30" t="str" cm="1">
        <f t="array" ref="AF43">IF(Table26142567891112[[#This Row],[8]]="","",Table26142567891112[[#This Row],[Weight]:[Weight]]-(Table26142567891112[[#This Row],[Weight]:[Weight]]*((_xlfn.XMATCH(Table26142567891112[[#This Row],[8]],Table26142567891112[[#This Row],[1]:[11]],0))-1)/(COUNTA(Table26142567891112[[#This Row],[1]:[11]])-COUNTBLANK(Table26142567891112[[#This Row],[1]:[11]])-1)))</f>
        <v/>
      </c>
      <c r="AG43" s="30" t="str" cm="1">
        <f t="array" ref="AG43">IF(Table26142567891112[[#This Row],[9]]="","",Table26142567891112[[#This Row],[Weight]:[Weight]]-(Table26142567891112[[#This Row],[Weight]:[Weight]]*((_xlfn.XMATCH(Table26142567891112[[#This Row],[9]],Table26142567891112[[#This Row],[1]:[11]],0))-1)/(COUNTA(Table26142567891112[[#This Row],[1]:[11]])-COUNTBLANK(Table26142567891112[[#This Row],[1]:[11]])-1)))</f>
        <v/>
      </c>
      <c r="AH43" s="30" t="str" cm="1">
        <f t="array" ref="AH43">IF(Table26142567891112[[#This Row],[10]]="","",Table26142567891112[[#This Row],[Weight]:[Weight]]-(Table26142567891112[[#This Row],[Weight]:[Weight]]*((_xlfn.XMATCH(Table26142567891112[[#This Row],[10]],Table26142567891112[[#This Row],[1]:[11]],0))-1)/(COUNTA(Table26142567891112[[#This Row],[1]:[11]])-COUNTBLANK(Table26142567891112[[#This Row],[1]:[11]])-1)))</f>
        <v/>
      </c>
      <c r="AI43" s="30" t="str" cm="1">
        <f t="array" ref="AI43">IF(Table26142567891112[[#This Row],[11]]="","",Table26142567891112[[#This Row],[Weight]:[Weight]]-(Table26142567891112[[#This Row],[Weight]:[Weight]]*((_xlfn.XMATCH(Table26142567891112[[#This Row],[11]],Table26142567891112[[#This Row],[1]:[11]],0))-1)/(COUNTA(Table26142567891112[[#This Row],[1]:[11]])-COUNTBLANK(Table26142567891112[[#This Row],[1]:[11]])-1)))</f>
        <v/>
      </c>
    </row>
    <row r="44" spans="1:35" ht="108" x14ac:dyDescent="0.2">
      <c r="A44" s="206">
        <v>32</v>
      </c>
      <c r="B44" s="226" t="s">
        <v>582</v>
      </c>
      <c r="C44" s="208" t="s">
        <v>215</v>
      </c>
      <c r="D44" s="240"/>
      <c r="E44" s="240"/>
      <c r="F44" s="219" t="s">
        <v>60</v>
      </c>
      <c r="G44" s="211" cm="1">
        <f t="array" ref="G44">_xlfn.IFS(F44="","",F44="No interest",0,F44="Nice to have",1,F44="Useful",2,F44="Important",3,F44="Very important",4,F44="Critical",5,F44="Show stopper",6)</f>
        <v>6</v>
      </c>
      <c r="H44" s="212">
        <f t="shared" si="2"/>
        <v>2.0588235294117644E-3</v>
      </c>
      <c r="I44" s="213" t="s">
        <v>548</v>
      </c>
      <c r="J44" s="222" t="str" cm="1">
        <f t="array" ref="J44">_xlfn.TEXTJOIN(","&amp;CHAR(10),,TEXT(Table26142567891112[[#This Row],[12]:[22]],"0,00%"))</f>
        <v>0,00%,
0,00%,
0,00%,
0,00%,
0,00%</v>
      </c>
      <c r="K44" s="223"/>
      <c r="L44" s="216" t="e">
        <f>H44-(H44*((MATCH(Table26142567891112[[#This Row],[Evaluators Response (SELECT)]],Table26142567891112[[#This Row],[1]:[11]],0)-1)/(COUNTA(Table26142567891112[[#This Row],[1]:[11]])-COUNTBLANK(Table26142567891112[[#This Row],[1]:[11]])-1)))</f>
        <v>#N/A</v>
      </c>
      <c r="M44" s="217"/>
      <c r="N44" s="29" t="str" cm="1">
        <f t="array" ref="N44">IFERROR(INDEX(_xlfn.UNIQUE(TRIM(_xlfn.TEXTSPLIT(Table26142567891112[[#This Row],[Selection Options]:[Selection Options]],","))),,N$11),"")</f>
        <v>100%: Supported as delivered "out of the box"</v>
      </c>
      <c r="O44" s="29" t="str" cm="1">
        <f t="array" ref="O44">IFERROR(INDEX(_xlfn.UNIQUE(TRIM(_xlfn.TEXTSPLIT(Table26142567891112[[#This Row],[Selection Options]:[Selection Options]],","))),,O$11),"")</f>
        <v xml:space="preserve">
75%: Supported via modifications (config)</v>
      </c>
      <c r="P44" s="29" t="str" cm="1">
        <f t="array" ref="P44">IFERROR(INDEX(_xlfn.UNIQUE(TRIM(_xlfn.TEXTSPLIT(Table26142567891112[[#This Row],[Selection Options]:[Selection Options]],","))),,P$11),"")</f>
        <v xml:space="preserve">
50%: Supported via a third party solution</v>
      </c>
      <c r="Q44" s="29" t="str" cm="1">
        <f t="array" ref="Q44">IFERROR(INDEX(_xlfn.UNIQUE(TRIM(_xlfn.TEXTSPLIT(Table26142567891112[[#This Row],[Selection Options]:[Selection Options]],","))),,Q$11),"")</f>
        <v xml:space="preserve">
25%: Supported via customisation (source code changes)</v>
      </c>
      <c r="R44" s="29" t="str" cm="1">
        <f t="array" ref="R44">IFERROR(INDEX(_xlfn.UNIQUE(TRIM(_xlfn.TEXTSPLIT(Table26142567891112[[#This Row],[Selection Options]:[Selection Options]],","))),,R$11),"")</f>
        <v>0%: Not currently supported</v>
      </c>
      <c r="S44" s="29" t="str" cm="1">
        <f t="array" ref="S44">IFERROR(INDEX(_xlfn.UNIQUE(TRIM(_xlfn.TEXTSPLIT(Table26142567891112[[#This Row],[Selection Options]:[Selection Options]],","))),,S$11),"")</f>
        <v/>
      </c>
      <c r="T44" s="29" t="str" cm="1">
        <f t="array" ref="T44">IFERROR(INDEX(_xlfn.UNIQUE(TRIM(_xlfn.TEXTSPLIT(Table26142567891112[[#This Row],[Selection Options]:[Selection Options]],","))),,T$11),"")</f>
        <v/>
      </c>
      <c r="U44" s="29" t="str" cm="1">
        <f t="array" ref="U44">IFERROR(INDEX(_xlfn.UNIQUE(TRIM(_xlfn.TEXTSPLIT(Table26142567891112[[#This Row],[Selection Options]:[Selection Options]],","))),,U$11),"")</f>
        <v/>
      </c>
      <c r="V44" s="29" t="str" cm="1">
        <f t="array" ref="V44">IFERROR(INDEX(_xlfn.UNIQUE(TRIM(_xlfn.TEXTSPLIT(Table26142567891112[[#This Row],[Selection Options]:[Selection Options]],","))),,V$11),"")</f>
        <v/>
      </c>
      <c r="W44" s="29" t="str" cm="1">
        <f t="array" ref="W44">IFERROR(INDEX(_xlfn.UNIQUE(TRIM(_xlfn.TEXTSPLIT(Table26142567891112[[#This Row],[Selection Options]:[Selection Options]],","))),,W$11),"")</f>
        <v/>
      </c>
      <c r="X44" s="29" t="str" cm="1">
        <f t="array" ref="X44">IFERROR(INDEX(_xlfn.UNIQUE(TRIM(_xlfn.TEXTSPLIT(Table26142567891112[[#This Row],[Selection Options]:[Selection Options]],","))),,X$11),"")</f>
        <v/>
      </c>
      <c r="Y44" s="30" cm="1">
        <f t="array" ref="Y44">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4" s="30" cm="1">
        <f t="array" ref="Z44">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4" s="30" cm="1">
        <f t="array" ref="AA44">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4" s="30" cm="1">
        <f t="array" ref="AB44">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4" s="30" cm="1">
        <f t="array" ref="AC44">IF(Table26142567891112[[#This Row],[5]]="","",Table26142567891112[[#This Row],[Weight]:[Weight]]-(Table26142567891112[[#This Row],[Weight]:[Weight]]*((_xlfn.XMATCH(Table26142567891112[[#This Row],[5]],Table26142567891112[[#This Row],[1]:[11]],0))-1)/(COUNTA(Table26142567891112[[#This Row],[1]:[11]])-COUNTBLANK(Table26142567891112[[#This Row],[1]:[11]])-1)))</f>
        <v>0</v>
      </c>
      <c r="AD44" s="30" t="str" cm="1">
        <f t="array" ref="AD44">IF(Table26142567891112[[#This Row],[6]]="","",Table26142567891112[[#This Row],[Weight]:[Weight]]-(Table26142567891112[[#This Row],[Weight]:[Weight]]*((_xlfn.XMATCH(Table26142567891112[[#This Row],[6]],Table26142567891112[[#This Row],[1]:[11]],0))-1)/(COUNTA(Table26142567891112[[#This Row],[1]:[11]])-COUNTBLANK(Table26142567891112[[#This Row],[1]:[11]])-1)))</f>
        <v/>
      </c>
      <c r="AE44" s="30" t="str" cm="1">
        <f t="array" ref="AE44">IF(Table26142567891112[[#This Row],[7]]="","",Table26142567891112[[#This Row],[Weight]:[Weight]]-(Table26142567891112[[#This Row],[Weight]:[Weight]]*((_xlfn.XMATCH(Table26142567891112[[#This Row],[7]],Table26142567891112[[#This Row],[1]:[11]],0))-1)/(COUNTA(Table26142567891112[[#This Row],[1]:[11]])-COUNTBLANK(Table26142567891112[[#This Row],[1]:[11]])-1)))</f>
        <v/>
      </c>
      <c r="AF44" s="30" t="str" cm="1">
        <f t="array" ref="AF44">IF(Table26142567891112[[#This Row],[8]]="","",Table26142567891112[[#This Row],[Weight]:[Weight]]-(Table26142567891112[[#This Row],[Weight]:[Weight]]*((_xlfn.XMATCH(Table26142567891112[[#This Row],[8]],Table26142567891112[[#This Row],[1]:[11]],0))-1)/(COUNTA(Table26142567891112[[#This Row],[1]:[11]])-COUNTBLANK(Table26142567891112[[#This Row],[1]:[11]])-1)))</f>
        <v/>
      </c>
      <c r="AG44" s="30" t="str" cm="1">
        <f t="array" ref="AG44">IF(Table26142567891112[[#This Row],[9]]="","",Table26142567891112[[#This Row],[Weight]:[Weight]]-(Table26142567891112[[#This Row],[Weight]:[Weight]]*((_xlfn.XMATCH(Table26142567891112[[#This Row],[9]],Table26142567891112[[#This Row],[1]:[11]],0))-1)/(COUNTA(Table26142567891112[[#This Row],[1]:[11]])-COUNTBLANK(Table26142567891112[[#This Row],[1]:[11]])-1)))</f>
        <v/>
      </c>
      <c r="AH44" s="30" t="str" cm="1">
        <f t="array" ref="AH44">IF(Table26142567891112[[#This Row],[10]]="","",Table26142567891112[[#This Row],[Weight]:[Weight]]-(Table26142567891112[[#This Row],[Weight]:[Weight]]*((_xlfn.XMATCH(Table26142567891112[[#This Row],[10]],Table26142567891112[[#This Row],[1]:[11]],0))-1)/(COUNTA(Table26142567891112[[#This Row],[1]:[11]])-COUNTBLANK(Table26142567891112[[#This Row],[1]:[11]])-1)))</f>
        <v/>
      </c>
      <c r="AI44" s="30" t="str" cm="1">
        <f t="array" ref="AI44">IF(Table26142567891112[[#This Row],[11]]="","",Table26142567891112[[#This Row],[Weight]:[Weight]]-(Table26142567891112[[#This Row],[Weight]:[Weight]]*((_xlfn.XMATCH(Table26142567891112[[#This Row],[11]],Table26142567891112[[#This Row],[1]:[11]],0))-1)/(COUNTA(Table26142567891112[[#This Row],[1]:[11]])-COUNTBLANK(Table26142567891112[[#This Row],[1]:[11]])-1)))</f>
        <v/>
      </c>
    </row>
    <row r="45" spans="1:35" ht="108" x14ac:dyDescent="0.2">
      <c r="A45" s="227">
        <v>33</v>
      </c>
      <c r="B45" s="239" t="s">
        <v>583</v>
      </c>
      <c r="C45" s="228" t="s">
        <v>215</v>
      </c>
      <c r="D45" s="238"/>
      <c r="E45" s="238"/>
      <c r="F45" s="230" t="s">
        <v>60</v>
      </c>
      <c r="G45" s="231" cm="1">
        <f t="array" ref="G45">_xlfn.IFS(F45="","",F45="No interest",0,F45="Nice to have",1,F45="Useful",2,F45="Important",3,F45="Very important",4,F45="Critical",5,F45="Show stopper",6)</f>
        <v>6</v>
      </c>
      <c r="H45" s="232">
        <f t="shared" si="2"/>
        <v>2.0588235294117644E-3</v>
      </c>
      <c r="I45" s="233" t="s">
        <v>548</v>
      </c>
      <c r="J45" s="234" t="str" cm="1">
        <f t="array" ref="J45">_xlfn.TEXTJOIN(","&amp;CHAR(10),,TEXT(Table26142567891112[[#This Row],[12]:[22]],"0,00%"))</f>
        <v>0,00%,
0,00%,
0,00%,
0,00%,
0,00%</v>
      </c>
      <c r="K45" s="235"/>
      <c r="L45" s="236" t="e">
        <f>H45-(H45*((MATCH(Table26142567891112[[#This Row],[Evaluators Response (SELECT)]],Table26142567891112[[#This Row],[1]:[11]],0)-1)/(COUNTA(Table26142567891112[[#This Row],[1]:[11]])-COUNTBLANK(Table26142567891112[[#This Row],[1]:[11]])-1)))</f>
        <v>#N/A</v>
      </c>
      <c r="M45" s="237"/>
      <c r="N45" s="29" t="str" cm="1">
        <f t="array" ref="N45">IFERROR(INDEX(_xlfn.UNIQUE(TRIM(_xlfn.TEXTSPLIT(Table26142567891112[[#This Row],[Selection Options]:[Selection Options]],","))),,N$11),"")</f>
        <v>100%: Supported as delivered "out of the box"</v>
      </c>
      <c r="O45" s="29" t="str" cm="1">
        <f t="array" ref="O45">IFERROR(INDEX(_xlfn.UNIQUE(TRIM(_xlfn.TEXTSPLIT(Table26142567891112[[#This Row],[Selection Options]:[Selection Options]],","))),,O$11),"")</f>
        <v xml:space="preserve">
75%: Supported via modifications (config)</v>
      </c>
      <c r="P45" s="29" t="str" cm="1">
        <f t="array" ref="P45">IFERROR(INDEX(_xlfn.UNIQUE(TRIM(_xlfn.TEXTSPLIT(Table26142567891112[[#This Row],[Selection Options]:[Selection Options]],","))),,P$11),"")</f>
        <v xml:space="preserve">
50%: Supported via a third party solution</v>
      </c>
      <c r="Q45" s="29" t="str" cm="1">
        <f t="array" ref="Q45">IFERROR(INDEX(_xlfn.UNIQUE(TRIM(_xlfn.TEXTSPLIT(Table26142567891112[[#This Row],[Selection Options]:[Selection Options]],","))),,Q$11),"")</f>
        <v xml:space="preserve">
25%: Supported via customisation (source code changes)</v>
      </c>
      <c r="R45" s="29" t="str" cm="1">
        <f t="array" ref="R45">IFERROR(INDEX(_xlfn.UNIQUE(TRIM(_xlfn.TEXTSPLIT(Table26142567891112[[#This Row],[Selection Options]:[Selection Options]],","))),,R$11),"")</f>
        <v>0%: Not currently supported</v>
      </c>
      <c r="S45" s="29" t="str" cm="1">
        <f t="array" ref="S45">IFERROR(INDEX(_xlfn.UNIQUE(TRIM(_xlfn.TEXTSPLIT(Table26142567891112[[#This Row],[Selection Options]:[Selection Options]],","))),,S$11),"")</f>
        <v/>
      </c>
      <c r="T45" s="29" t="str" cm="1">
        <f t="array" ref="T45">IFERROR(INDEX(_xlfn.UNIQUE(TRIM(_xlfn.TEXTSPLIT(Table26142567891112[[#This Row],[Selection Options]:[Selection Options]],","))),,T$11),"")</f>
        <v/>
      </c>
      <c r="U45" s="29" t="str" cm="1">
        <f t="array" ref="U45">IFERROR(INDEX(_xlfn.UNIQUE(TRIM(_xlfn.TEXTSPLIT(Table26142567891112[[#This Row],[Selection Options]:[Selection Options]],","))),,U$11),"")</f>
        <v/>
      </c>
      <c r="V45" s="29" t="str" cm="1">
        <f t="array" ref="V45">IFERROR(INDEX(_xlfn.UNIQUE(TRIM(_xlfn.TEXTSPLIT(Table26142567891112[[#This Row],[Selection Options]:[Selection Options]],","))),,V$11),"")</f>
        <v/>
      </c>
      <c r="W45" s="29" t="str" cm="1">
        <f t="array" ref="W45">IFERROR(INDEX(_xlfn.UNIQUE(TRIM(_xlfn.TEXTSPLIT(Table26142567891112[[#This Row],[Selection Options]:[Selection Options]],","))),,W$11),"")</f>
        <v/>
      </c>
      <c r="X45" s="29" t="str" cm="1">
        <f t="array" ref="X45">IFERROR(INDEX(_xlfn.UNIQUE(TRIM(_xlfn.TEXTSPLIT(Table26142567891112[[#This Row],[Selection Options]:[Selection Options]],","))),,X$11),"")</f>
        <v/>
      </c>
      <c r="Y45" s="30" cm="1">
        <f t="array" ref="Y45">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5" s="30" cm="1">
        <f t="array" ref="Z45">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5" s="30" cm="1">
        <f t="array" ref="AA45">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5" s="30" cm="1">
        <f t="array" ref="AB45">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5" s="30" cm="1">
        <f t="array" ref="AC45">IF(Table26142567891112[[#This Row],[5]]="","",Table26142567891112[[#This Row],[Weight]:[Weight]]-(Table26142567891112[[#This Row],[Weight]:[Weight]]*((_xlfn.XMATCH(Table26142567891112[[#This Row],[5]],Table26142567891112[[#This Row],[1]:[11]],0))-1)/(COUNTA(Table26142567891112[[#This Row],[1]:[11]])-COUNTBLANK(Table26142567891112[[#This Row],[1]:[11]])-1)))</f>
        <v>0</v>
      </c>
      <c r="AD45" s="30" t="str" cm="1">
        <f t="array" ref="AD45">IF(Table26142567891112[[#This Row],[6]]="","",Table26142567891112[[#This Row],[Weight]:[Weight]]-(Table26142567891112[[#This Row],[Weight]:[Weight]]*((_xlfn.XMATCH(Table26142567891112[[#This Row],[6]],Table26142567891112[[#This Row],[1]:[11]],0))-1)/(COUNTA(Table26142567891112[[#This Row],[1]:[11]])-COUNTBLANK(Table26142567891112[[#This Row],[1]:[11]])-1)))</f>
        <v/>
      </c>
      <c r="AE45" s="30" t="str" cm="1">
        <f t="array" ref="AE45">IF(Table26142567891112[[#This Row],[7]]="","",Table26142567891112[[#This Row],[Weight]:[Weight]]-(Table26142567891112[[#This Row],[Weight]:[Weight]]*((_xlfn.XMATCH(Table26142567891112[[#This Row],[7]],Table26142567891112[[#This Row],[1]:[11]],0))-1)/(COUNTA(Table26142567891112[[#This Row],[1]:[11]])-COUNTBLANK(Table26142567891112[[#This Row],[1]:[11]])-1)))</f>
        <v/>
      </c>
      <c r="AF45" s="30" t="str" cm="1">
        <f t="array" ref="AF45">IF(Table26142567891112[[#This Row],[8]]="","",Table26142567891112[[#This Row],[Weight]:[Weight]]-(Table26142567891112[[#This Row],[Weight]:[Weight]]*((_xlfn.XMATCH(Table26142567891112[[#This Row],[8]],Table26142567891112[[#This Row],[1]:[11]],0))-1)/(COUNTA(Table26142567891112[[#This Row],[1]:[11]])-COUNTBLANK(Table26142567891112[[#This Row],[1]:[11]])-1)))</f>
        <v/>
      </c>
      <c r="AG45" s="30" t="str" cm="1">
        <f t="array" ref="AG45">IF(Table26142567891112[[#This Row],[9]]="","",Table26142567891112[[#This Row],[Weight]:[Weight]]-(Table26142567891112[[#This Row],[Weight]:[Weight]]*((_xlfn.XMATCH(Table26142567891112[[#This Row],[9]],Table26142567891112[[#This Row],[1]:[11]],0))-1)/(COUNTA(Table26142567891112[[#This Row],[1]:[11]])-COUNTBLANK(Table26142567891112[[#This Row],[1]:[11]])-1)))</f>
        <v/>
      </c>
      <c r="AH45" s="30" t="str" cm="1">
        <f t="array" ref="AH45">IF(Table26142567891112[[#This Row],[10]]="","",Table26142567891112[[#This Row],[Weight]:[Weight]]-(Table26142567891112[[#This Row],[Weight]:[Weight]]*((_xlfn.XMATCH(Table26142567891112[[#This Row],[10]],Table26142567891112[[#This Row],[1]:[11]],0))-1)/(COUNTA(Table26142567891112[[#This Row],[1]:[11]])-COUNTBLANK(Table26142567891112[[#This Row],[1]:[11]])-1)))</f>
        <v/>
      </c>
      <c r="AI45" s="30" t="str" cm="1">
        <f t="array" ref="AI45">IF(Table26142567891112[[#This Row],[11]]="","",Table26142567891112[[#This Row],[Weight]:[Weight]]-(Table26142567891112[[#This Row],[Weight]:[Weight]]*((_xlfn.XMATCH(Table26142567891112[[#This Row],[11]],Table26142567891112[[#This Row],[1]:[11]],0))-1)/(COUNTA(Table26142567891112[[#This Row],[1]:[11]])-COUNTBLANK(Table26142567891112[[#This Row],[1]:[11]])-1)))</f>
        <v/>
      </c>
    </row>
    <row r="46" spans="1:35" ht="108" x14ac:dyDescent="0.2">
      <c r="A46" s="206">
        <v>34</v>
      </c>
      <c r="B46" s="226" t="s">
        <v>584</v>
      </c>
      <c r="C46" s="208" t="s">
        <v>215</v>
      </c>
      <c r="D46" s="240"/>
      <c r="E46" s="240"/>
      <c r="F46" s="219" t="s">
        <v>256</v>
      </c>
      <c r="G46" s="211" cm="1">
        <f t="array" ref="G46">_xlfn.IFS(F46="","",F46="No interest",0,F46="Nice to have",1,F46="Useful",2,F46="Important",3,F46="Very important",4,F46="Critical",5,F46="Show stopper",6)</f>
        <v>2</v>
      </c>
      <c r="H46" s="212">
        <f t="shared" si="2"/>
        <v>6.8627450980392147E-4</v>
      </c>
      <c r="I46" s="213" t="s">
        <v>548</v>
      </c>
      <c r="J46" s="222" t="str" cm="1">
        <f t="array" ref="J46">_xlfn.TEXTJOIN(","&amp;CHAR(10),,TEXT(Table26142567891112[[#This Row],[12]:[22]],"0,00%"))</f>
        <v>0,00%,
0,00%,
0,00%,
0,00%,
0,00%</v>
      </c>
      <c r="K46" s="223"/>
      <c r="L46" s="216" t="e">
        <f>H46-(H46*((MATCH(Table26142567891112[[#This Row],[Evaluators Response (SELECT)]],Table26142567891112[[#This Row],[1]:[11]],0)-1)/(COUNTA(Table26142567891112[[#This Row],[1]:[11]])-COUNTBLANK(Table26142567891112[[#This Row],[1]:[11]])-1)))</f>
        <v>#N/A</v>
      </c>
      <c r="M46" s="217"/>
      <c r="N46" s="29" t="str" cm="1">
        <f t="array" ref="N46">IFERROR(INDEX(_xlfn.UNIQUE(TRIM(_xlfn.TEXTSPLIT(Table26142567891112[[#This Row],[Selection Options]:[Selection Options]],","))),,N$11),"")</f>
        <v>100%: Supported as delivered "out of the box"</v>
      </c>
      <c r="O46" s="29" t="str" cm="1">
        <f t="array" ref="O46">IFERROR(INDEX(_xlfn.UNIQUE(TRIM(_xlfn.TEXTSPLIT(Table26142567891112[[#This Row],[Selection Options]:[Selection Options]],","))),,O$11),"")</f>
        <v xml:space="preserve">
75%: Supported via modifications (config)</v>
      </c>
      <c r="P46" s="29" t="str" cm="1">
        <f t="array" ref="P46">IFERROR(INDEX(_xlfn.UNIQUE(TRIM(_xlfn.TEXTSPLIT(Table26142567891112[[#This Row],[Selection Options]:[Selection Options]],","))),,P$11),"")</f>
        <v xml:space="preserve">
50%: Supported via a third party solution</v>
      </c>
      <c r="Q46" s="29" t="str" cm="1">
        <f t="array" ref="Q46">IFERROR(INDEX(_xlfn.UNIQUE(TRIM(_xlfn.TEXTSPLIT(Table26142567891112[[#This Row],[Selection Options]:[Selection Options]],","))),,Q$11),"")</f>
        <v xml:space="preserve">
25%: Supported via customisation (source code changes)</v>
      </c>
      <c r="R46" s="29" t="str" cm="1">
        <f t="array" ref="R46">IFERROR(INDEX(_xlfn.UNIQUE(TRIM(_xlfn.TEXTSPLIT(Table26142567891112[[#This Row],[Selection Options]:[Selection Options]],","))),,R$11),"")</f>
        <v>0%: Not currently supported</v>
      </c>
      <c r="S46" s="29" t="str" cm="1">
        <f t="array" ref="S46">IFERROR(INDEX(_xlfn.UNIQUE(TRIM(_xlfn.TEXTSPLIT(Table26142567891112[[#This Row],[Selection Options]:[Selection Options]],","))),,S$11),"")</f>
        <v/>
      </c>
      <c r="T46" s="29" t="str" cm="1">
        <f t="array" ref="T46">IFERROR(INDEX(_xlfn.UNIQUE(TRIM(_xlfn.TEXTSPLIT(Table26142567891112[[#This Row],[Selection Options]:[Selection Options]],","))),,T$11),"")</f>
        <v/>
      </c>
      <c r="U46" s="29" t="str" cm="1">
        <f t="array" ref="U46">IFERROR(INDEX(_xlfn.UNIQUE(TRIM(_xlfn.TEXTSPLIT(Table26142567891112[[#This Row],[Selection Options]:[Selection Options]],","))),,U$11),"")</f>
        <v/>
      </c>
      <c r="V46" s="29" t="str" cm="1">
        <f t="array" ref="V46">IFERROR(INDEX(_xlfn.UNIQUE(TRIM(_xlfn.TEXTSPLIT(Table26142567891112[[#This Row],[Selection Options]:[Selection Options]],","))),,V$11),"")</f>
        <v/>
      </c>
      <c r="W46" s="29" t="str" cm="1">
        <f t="array" ref="W46">IFERROR(INDEX(_xlfn.UNIQUE(TRIM(_xlfn.TEXTSPLIT(Table26142567891112[[#This Row],[Selection Options]:[Selection Options]],","))),,W$11),"")</f>
        <v/>
      </c>
      <c r="X46" s="29" t="str" cm="1">
        <f t="array" ref="X46">IFERROR(INDEX(_xlfn.UNIQUE(TRIM(_xlfn.TEXTSPLIT(Table26142567891112[[#This Row],[Selection Options]:[Selection Options]],","))),,X$11),"")</f>
        <v/>
      </c>
      <c r="Y46" s="30" cm="1">
        <f t="array" ref="Y46">IF(Table26142567891112[[#This Row],[1]]="","",Table26142567891112[[#This Row],[Weight]:[Weight]]-(Table26142567891112[[#This Row],[Weight]:[Weight]]*((_xlfn.XMATCH(Table26142567891112[[#This Row],[1]],Table26142567891112[[#This Row],[1]:[11]],0))-1)/(COUNTA(Table26142567891112[[#This Row],[1]:[11]])-COUNTBLANK(Table26142567891112[[#This Row],[1]:[11]])-1)))</f>
        <v>6.8627450980392147E-4</v>
      </c>
      <c r="Z46" s="30" cm="1">
        <f t="array" ref="Z46">IF(Table26142567891112[[#This Row],[2]]="","",Table26142567891112[[#This Row],[Weight]:[Weight]]-(Table26142567891112[[#This Row],[Weight]:[Weight]]*((_xlfn.XMATCH(Table26142567891112[[#This Row],[2]],Table26142567891112[[#This Row],[1]:[11]],0))-1)/(COUNTA(Table26142567891112[[#This Row],[1]:[11]])-COUNTBLANK(Table26142567891112[[#This Row],[1]:[11]])-1)))</f>
        <v>5.147058823529411E-4</v>
      </c>
      <c r="AA46" s="30" cm="1">
        <f t="array" ref="AA46">IF(Table26142567891112[[#This Row],[3]]="","",Table26142567891112[[#This Row],[Weight]:[Weight]]-(Table26142567891112[[#This Row],[Weight]:[Weight]]*((_xlfn.XMATCH(Table26142567891112[[#This Row],[3]],Table26142567891112[[#This Row],[1]:[11]],0))-1)/(COUNTA(Table26142567891112[[#This Row],[1]:[11]])-COUNTBLANK(Table26142567891112[[#This Row],[1]:[11]])-1)))</f>
        <v>3.4313725490196074E-4</v>
      </c>
      <c r="AB46" s="30" cm="1">
        <f t="array" ref="AB46">IF(Table26142567891112[[#This Row],[4]]="","",Table26142567891112[[#This Row],[Weight]:[Weight]]-(Table26142567891112[[#This Row],[Weight]:[Weight]]*((_xlfn.XMATCH(Table26142567891112[[#This Row],[4]],Table26142567891112[[#This Row],[1]:[11]],0))-1)/(COUNTA(Table26142567891112[[#This Row],[1]:[11]])-COUNTBLANK(Table26142567891112[[#This Row],[1]:[11]])-1)))</f>
        <v>1.7156862745098037E-4</v>
      </c>
      <c r="AC46" s="30" cm="1">
        <f t="array" ref="AC46">IF(Table26142567891112[[#This Row],[5]]="","",Table26142567891112[[#This Row],[Weight]:[Weight]]-(Table26142567891112[[#This Row],[Weight]:[Weight]]*((_xlfn.XMATCH(Table26142567891112[[#This Row],[5]],Table26142567891112[[#This Row],[1]:[11]],0))-1)/(COUNTA(Table26142567891112[[#This Row],[1]:[11]])-COUNTBLANK(Table26142567891112[[#This Row],[1]:[11]])-1)))</f>
        <v>0</v>
      </c>
      <c r="AD46" s="30" t="str" cm="1">
        <f t="array" ref="AD46">IF(Table26142567891112[[#This Row],[6]]="","",Table26142567891112[[#This Row],[Weight]:[Weight]]-(Table26142567891112[[#This Row],[Weight]:[Weight]]*((_xlfn.XMATCH(Table26142567891112[[#This Row],[6]],Table26142567891112[[#This Row],[1]:[11]],0))-1)/(COUNTA(Table26142567891112[[#This Row],[1]:[11]])-COUNTBLANK(Table26142567891112[[#This Row],[1]:[11]])-1)))</f>
        <v/>
      </c>
      <c r="AE46" s="30" t="str" cm="1">
        <f t="array" ref="AE46">IF(Table26142567891112[[#This Row],[7]]="","",Table26142567891112[[#This Row],[Weight]:[Weight]]-(Table26142567891112[[#This Row],[Weight]:[Weight]]*((_xlfn.XMATCH(Table26142567891112[[#This Row],[7]],Table26142567891112[[#This Row],[1]:[11]],0))-1)/(COUNTA(Table26142567891112[[#This Row],[1]:[11]])-COUNTBLANK(Table26142567891112[[#This Row],[1]:[11]])-1)))</f>
        <v/>
      </c>
      <c r="AF46" s="30" t="str" cm="1">
        <f t="array" ref="AF46">IF(Table26142567891112[[#This Row],[8]]="","",Table26142567891112[[#This Row],[Weight]:[Weight]]-(Table26142567891112[[#This Row],[Weight]:[Weight]]*((_xlfn.XMATCH(Table26142567891112[[#This Row],[8]],Table26142567891112[[#This Row],[1]:[11]],0))-1)/(COUNTA(Table26142567891112[[#This Row],[1]:[11]])-COUNTBLANK(Table26142567891112[[#This Row],[1]:[11]])-1)))</f>
        <v/>
      </c>
      <c r="AG46" s="30" t="str" cm="1">
        <f t="array" ref="AG46">IF(Table26142567891112[[#This Row],[9]]="","",Table26142567891112[[#This Row],[Weight]:[Weight]]-(Table26142567891112[[#This Row],[Weight]:[Weight]]*((_xlfn.XMATCH(Table26142567891112[[#This Row],[9]],Table26142567891112[[#This Row],[1]:[11]],0))-1)/(COUNTA(Table26142567891112[[#This Row],[1]:[11]])-COUNTBLANK(Table26142567891112[[#This Row],[1]:[11]])-1)))</f>
        <v/>
      </c>
      <c r="AH46" s="30" t="str" cm="1">
        <f t="array" ref="AH46">IF(Table26142567891112[[#This Row],[10]]="","",Table26142567891112[[#This Row],[Weight]:[Weight]]-(Table26142567891112[[#This Row],[Weight]:[Weight]]*((_xlfn.XMATCH(Table26142567891112[[#This Row],[10]],Table26142567891112[[#This Row],[1]:[11]],0))-1)/(COUNTA(Table26142567891112[[#This Row],[1]:[11]])-COUNTBLANK(Table26142567891112[[#This Row],[1]:[11]])-1)))</f>
        <v/>
      </c>
      <c r="AI46" s="30" t="str" cm="1">
        <f t="array" ref="AI46">IF(Table26142567891112[[#This Row],[11]]="","",Table26142567891112[[#This Row],[Weight]:[Weight]]-(Table26142567891112[[#This Row],[Weight]:[Weight]]*((_xlfn.XMATCH(Table26142567891112[[#This Row],[11]],Table26142567891112[[#This Row],[1]:[11]],0))-1)/(COUNTA(Table26142567891112[[#This Row],[1]:[11]])-COUNTBLANK(Table26142567891112[[#This Row],[1]:[11]])-1)))</f>
        <v/>
      </c>
    </row>
    <row r="47" spans="1:35" ht="108" x14ac:dyDescent="0.2">
      <c r="A47" s="227">
        <v>35</v>
      </c>
      <c r="B47" s="228" t="s">
        <v>585</v>
      </c>
      <c r="C47" s="228" t="s">
        <v>215</v>
      </c>
      <c r="D47" s="238"/>
      <c r="E47" s="238"/>
      <c r="F47" s="230" t="s">
        <v>60</v>
      </c>
      <c r="G47" s="231" cm="1">
        <f t="array" ref="G47">_xlfn.IFS(F47="","",F47="No interest",0,F47="Nice to have",1,F47="Useful",2,F47="Important",3,F47="Very important",4,F47="Critical",5,F47="Show stopper",6)</f>
        <v>6</v>
      </c>
      <c r="H47" s="232">
        <f t="shared" si="2"/>
        <v>2.0588235294117644E-3</v>
      </c>
      <c r="I47" s="233" t="s">
        <v>548</v>
      </c>
      <c r="J47" s="234" t="str" cm="1">
        <f t="array" ref="J47">_xlfn.TEXTJOIN(","&amp;CHAR(10),,TEXT(Table26142567891112[[#This Row],[12]:[22]],"0,00%"))</f>
        <v>0,00%,
0,00%,
0,00%,
0,00%,
0,00%</v>
      </c>
      <c r="K47" s="235"/>
      <c r="L47" s="236" t="e">
        <f>H47-(H47*((MATCH(Table26142567891112[[#This Row],[Evaluators Response (SELECT)]],Table26142567891112[[#This Row],[1]:[11]],0)-1)/(COUNTA(Table26142567891112[[#This Row],[1]:[11]])-COUNTBLANK(Table26142567891112[[#This Row],[1]:[11]])-1)))</f>
        <v>#N/A</v>
      </c>
      <c r="M47" s="237"/>
      <c r="N47" s="29" t="str" cm="1">
        <f t="array" ref="N47">IFERROR(INDEX(_xlfn.UNIQUE(TRIM(_xlfn.TEXTSPLIT(Table26142567891112[[#This Row],[Selection Options]:[Selection Options]],","))),,N$11),"")</f>
        <v>100%: Supported as delivered "out of the box"</v>
      </c>
      <c r="O47" s="29" t="str" cm="1">
        <f t="array" ref="O47">IFERROR(INDEX(_xlfn.UNIQUE(TRIM(_xlfn.TEXTSPLIT(Table26142567891112[[#This Row],[Selection Options]:[Selection Options]],","))),,O$11),"")</f>
        <v xml:space="preserve">
75%: Supported via modifications (config)</v>
      </c>
      <c r="P47" s="29" t="str" cm="1">
        <f t="array" ref="P47">IFERROR(INDEX(_xlfn.UNIQUE(TRIM(_xlfn.TEXTSPLIT(Table26142567891112[[#This Row],[Selection Options]:[Selection Options]],","))),,P$11),"")</f>
        <v xml:space="preserve">
50%: Supported via a third party solution</v>
      </c>
      <c r="Q47" s="29" t="str" cm="1">
        <f t="array" ref="Q47">IFERROR(INDEX(_xlfn.UNIQUE(TRIM(_xlfn.TEXTSPLIT(Table26142567891112[[#This Row],[Selection Options]:[Selection Options]],","))),,Q$11),"")</f>
        <v xml:space="preserve">
25%: Supported via customisation (source code changes)</v>
      </c>
      <c r="R47" s="29" t="str" cm="1">
        <f t="array" ref="R47">IFERROR(INDEX(_xlfn.UNIQUE(TRIM(_xlfn.TEXTSPLIT(Table26142567891112[[#This Row],[Selection Options]:[Selection Options]],","))),,R$11),"")</f>
        <v>0%: Not currently supported</v>
      </c>
      <c r="S47" s="29" t="str" cm="1">
        <f t="array" ref="S47">IFERROR(INDEX(_xlfn.UNIQUE(TRIM(_xlfn.TEXTSPLIT(Table26142567891112[[#This Row],[Selection Options]:[Selection Options]],","))),,S$11),"")</f>
        <v/>
      </c>
      <c r="T47" s="29" t="str" cm="1">
        <f t="array" ref="T47">IFERROR(INDEX(_xlfn.UNIQUE(TRIM(_xlfn.TEXTSPLIT(Table26142567891112[[#This Row],[Selection Options]:[Selection Options]],","))),,T$11),"")</f>
        <v/>
      </c>
      <c r="U47" s="29" t="str" cm="1">
        <f t="array" ref="U47">IFERROR(INDEX(_xlfn.UNIQUE(TRIM(_xlfn.TEXTSPLIT(Table26142567891112[[#This Row],[Selection Options]:[Selection Options]],","))),,U$11),"")</f>
        <v/>
      </c>
      <c r="V47" s="29" t="str" cm="1">
        <f t="array" ref="V47">IFERROR(INDEX(_xlfn.UNIQUE(TRIM(_xlfn.TEXTSPLIT(Table26142567891112[[#This Row],[Selection Options]:[Selection Options]],","))),,V$11),"")</f>
        <v/>
      </c>
      <c r="W47" s="29" t="str" cm="1">
        <f t="array" ref="W47">IFERROR(INDEX(_xlfn.UNIQUE(TRIM(_xlfn.TEXTSPLIT(Table26142567891112[[#This Row],[Selection Options]:[Selection Options]],","))),,W$11),"")</f>
        <v/>
      </c>
      <c r="X47" s="29" t="str" cm="1">
        <f t="array" ref="X47">IFERROR(INDEX(_xlfn.UNIQUE(TRIM(_xlfn.TEXTSPLIT(Table26142567891112[[#This Row],[Selection Options]:[Selection Options]],","))),,X$11),"")</f>
        <v/>
      </c>
      <c r="Y47" s="30" cm="1">
        <f t="array" ref="Y47">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7" s="30" cm="1">
        <f t="array" ref="Z47">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7" s="30" cm="1">
        <f t="array" ref="AA47">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7" s="30" cm="1">
        <f t="array" ref="AB47">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7" s="30" cm="1">
        <f t="array" ref="AC47">IF(Table26142567891112[[#This Row],[5]]="","",Table26142567891112[[#This Row],[Weight]:[Weight]]-(Table26142567891112[[#This Row],[Weight]:[Weight]]*((_xlfn.XMATCH(Table26142567891112[[#This Row],[5]],Table26142567891112[[#This Row],[1]:[11]],0))-1)/(COUNTA(Table26142567891112[[#This Row],[1]:[11]])-COUNTBLANK(Table26142567891112[[#This Row],[1]:[11]])-1)))</f>
        <v>0</v>
      </c>
      <c r="AD47" s="30" t="str" cm="1">
        <f t="array" ref="AD47">IF(Table26142567891112[[#This Row],[6]]="","",Table26142567891112[[#This Row],[Weight]:[Weight]]-(Table26142567891112[[#This Row],[Weight]:[Weight]]*((_xlfn.XMATCH(Table26142567891112[[#This Row],[6]],Table26142567891112[[#This Row],[1]:[11]],0))-1)/(COUNTA(Table26142567891112[[#This Row],[1]:[11]])-COUNTBLANK(Table26142567891112[[#This Row],[1]:[11]])-1)))</f>
        <v/>
      </c>
      <c r="AE47" s="30" t="str" cm="1">
        <f t="array" ref="AE47">IF(Table26142567891112[[#This Row],[7]]="","",Table26142567891112[[#This Row],[Weight]:[Weight]]-(Table26142567891112[[#This Row],[Weight]:[Weight]]*((_xlfn.XMATCH(Table26142567891112[[#This Row],[7]],Table26142567891112[[#This Row],[1]:[11]],0))-1)/(COUNTA(Table26142567891112[[#This Row],[1]:[11]])-COUNTBLANK(Table26142567891112[[#This Row],[1]:[11]])-1)))</f>
        <v/>
      </c>
      <c r="AF47" s="30" t="str" cm="1">
        <f t="array" ref="AF47">IF(Table26142567891112[[#This Row],[8]]="","",Table26142567891112[[#This Row],[Weight]:[Weight]]-(Table26142567891112[[#This Row],[Weight]:[Weight]]*((_xlfn.XMATCH(Table26142567891112[[#This Row],[8]],Table26142567891112[[#This Row],[1]:[11]],0))-1)/(COUNTA(Table26142567891112[[#This Row],[1]:[11]])-COUNTBLANK(Table26142567891112[[#This Row],[1]:[11]])-1)))</f>
        <v/>
      </c>
      <c r="AG47" s="30" t="str" cm="1">
        <f t="array" ref="AG47">IF(Table26142567891112[[#This Row],[9]]="","",Table26142567891112[[#This Row],[Weight]:[Weight]]-(Table26142567891112[[#This Row],[Weight]:[Weight]]*((_xlfn.XMATCH(Table26142567891112[[#This Row],[9]],Table26142567891112[[#This Row],[1]:[11]],0))-1)/(COUNTA(Table26142567891112[[#This Row],[1]:[11]])-COUNTBLANK(Table26142567891112[[#This Row],[1]:[11]])-1)))</f>
        <v/>
      </c>
      <c r="AH47" s="30" t="str" cm="1">
        <f t="array" ref="AH47">IF(Table26142567891112[[#This Row],[10]]="","",Table26142567891112[[#This Row],[Weight]:[Weight]]-(Table26142567891112[[#This Row],[Weight]:[Weight]]*((_xlfn.XMATCH(Table26142567891112[[#This Row],[10]],Table26142567891112[[#This Row],[1]:[11]],0))-1)/(COUNTA(Table26142567891112[[#This Row],[1]:[11]])-COUNTBLANK(Table26142567891112[[#This Row],[1]:[11]])-1)))</f>
        <v/>
      </c>
      <c r="AI47" s="30" t="str" cm="1">
        <f t="array" ref="AI47">IF(Table26142567891112[[#This Row],[11]]="","",Table26142567891112[[#This Row],[Weight]:[Weight]]-(Table26142567891112[[#This Row],[Weight]:[Weight]]*((_xlfn.XMATCH(Table26142567891112[[#This Row],[11]],Table26142567891112[[#This Row],[1]:[11]],0))-1)/(COUNTA(Table26142567891112[[#This Row],[1]:[11]])-COUNTBLANK(Table26142567891112[[#This Row],[1]:[11]])-1)))</f>
        <v/>
      </c>
    </row>
    <row r="48" spans="1:35" ht="108" x14ac:dyDescent="0.2">
      <c r="A48" s="20">
        <v>36</v>
      </c>
      <c r="B48" s="90" t="s">
        <v>586</v>
      </c>
      <c r="C48" s="119" t="s">
        <v>587</v>
      </c>
      <c r="D48" s="153"/>
      <c r="E48" s="153"/>
      <c r="F48" s="121" t="s">
        <v>60</v>
      </c>
      <c r="G48" s="148" cm="1">
        <f t="array" ref="G48">_xlfn.IFS(F48="","",F48="No interest",0,F48="Nice to have",1,F48="Useful",2,F48="Important",3,F48="Very important",4,F48="Critical",5,F48="Show stopper",6)</f>
        <v>6</v>
      </c>
      <c r="H48" s="149">
        <f t="shared" si="2"/>
        <v>2.0588235294117644E-3</v>
      </c>
      <c r="I48" s="150" t="s">
        <v>548</v>
      </c>
      <c r="J48" s="35" t="str" cm="1">
        <f t="array" ref="J48">_xlfn.TEXTJOIN(","&amp;CHAR(10),,TEXT(Table26142567891112[[#This Row],[12]:[22]],"0,00%"))</f>
        <v>0,00%,
0,00%,
0,00%,
0,00%,
0,00%</v>
      </c>
      <c r="K48" s="36"/>
      <c r="L48" s="27" t="e">
        <f>H48-(H48*((MATCH(Table26142567891112[[#This Row],[Evaluators Response (SELECT)]],Table26142567891112[[#This Row],[1]:[11]],0)-1)/(COUNTA(Table26142567891112[[#This Row],[1]:[11]])-COUNTBLANK(Table26142567891112[[#This Row],[1]:[11]])-1)))</f>
        <v>#N/A</v>
      </c>
      <c r="M48" s="28"/>
      <c r="N48" s="29" t="str" cm="1">
        <f t="array" ref="N48">IFERROR(INDEX(_xlfn.UNIQUE(TRIM(_xlfn.TEXTSPLIT(Table26142567891112[[#This Row],[Selection Options]:[Selection Options]],","))),,N$11),"")</f>
        <v>100%: Supported as delivered "out of the box"</v>
      </c>
      <c r="O48" s="29" t="str" cm="1">
        <f t="array" ref="O48">IFERROR(INDEX(_xlfn.UNIQUE(TRIM(_xlfn.TEXTSPLIT(Table26142567891112[[#This Row],[Selection Options]:[Selection Options]],","))),,O$11),"")</f>
        <v xml:space="preserve">
75%: Supported via modifications (config)</v>
      </c>
      <c r="P48" s="29" t="str" cm="1">
        <f t="array" ref="P48">IFERROR(INDEX(_xlfn.UNIQUE(TRIM(_xlfn.TEXTSPLIT(Table26142567891112[[#This Row],[Selection Options]:[Selection Options]],","))),,P$11),"")</f>
        <v xml:space="preserve">
50%: Supported via a third party solution</v>
      </c>
      <c r="Q48" s="29" t="str" cm="1">
        <f t="array" ref="Q48">IFERROR(INDEX(_xlfn.UNIQUE(TRIM(_xlfn.TEXTSPLIT(Table26142567891112[[#This Row],[Selection Options]:[Selection Options]],","))),,Q$11),"")</f>
        <v xml:space="preserve">
25%: Supported via customisation (source code changes)</v>
      </c>
      <c r="R48" s="29" t="str" cm="1">
        <f t="array" ref="R48">IFERROR(INDEX(_xlfn.UNIQUE(TRIM(_xlfn.TEXTSPLIT(Table26142567891112[[#This Row],[Selection Options]:[Selection Options]],","))),,R$11),"")</f>
        <v>0%: Not currently supported</v>
      </c>
      <c r="S48" s="29" t="str" cm="1">
        <f t="array" ref="S48">IFERROR(INDEX(_xlfn.UNIQUE(TRIM(_xlfn.TEXTSPLIT(Table26142567891112[[#This Row],[Selection Options]:[Selection Options]],","))),,S$11),"")</f>
        <v/>
      </c>
      <c r="T48" s="29" t="str" cm="1">
        <f t="array" ref="T48">IFERROR(INDEX(_xlfn.UNIQUE(TRIM(_xlfn.TEXTSPLIT(Table26142567891112[[#This Row],[Selection Options]:[Selection Options]],","))),,T$11),"")</f>
        <v/>
      </c>
      <c r="U48" s="29" t="str" cm="1">
        <f t="array" ref="U48">IFERROR(INDEX(_xlfn.UNIQUE(TRIM(_xlfn.TEXTSPLIT(Table26142567891112[[#This Row],[Selection Options]:[Selection Options]],","))),,U$11),"")</f>
        <v/>
      </c>
      <c r="V48" s="29" t="str" cm="1">
        <f t="array" ref="V48">IFERROR(INDEX(_xlfn.UNIQUE(TRIM(_xlfn.TEXTSPLIT(Table26142567891112[[#This Row],[Selection Options]:[Selection Options]],","))),,V$11),"")</f>
        <v/>
      </c>
      <c r="W48" s="29" t="str" cm="1">
        <f t="array" ref="W48">IFERROR(INDEX(_xlfn.UNIQUE(TRIM(_xlfn.TEXTSPLIT(Table26142567891112[[#This Row],[Selection Options]:[Selection Options]],","))),,W$11),"")</f>
        <v/>
      </c>
      <c r="X48" s="29" t="str" cm="1">
        <f t="array" ref="X48">IFERROR(INDEX(_xlfn.UNIQUE(TRIM(_xlfn.TEXTSPLIT(Table26142567891112[[#This Row],[Selection Options]:[Selection Options]],","))),,X$11),"")</f>
        <v/>
      </c>
      <c r="Y48" s="30" cm="1">
        <f t="array" ref="Y48">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8" s="30" cm="1">
        <f t="array" ref="Z48">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8" s="30" cm="1">
        <f t="array" ref="AA48">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8" s="30" cm="1">
        <f t="array" ref="AB48">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8" s="30" cm="1">
        <f t="array" ref="AC48">IF(Table26142567891112[[#This Row],[5]]="","",Table26142567891112[[#This Row],[Weight]:[Weight]]-(Table26142567891112[[#This Row],[Weight]:[Weight]]*((_xlfn.XMATCH(Table26142567891112[[#This Row],[5]],Table26142567891112[[#This Row],[1]:[11]],0))-1)/(COUNTA(Table26142567891112[[#This Row],[1]:[11]])-COUNTBLANK(Table26142567891112[[#This Row],[1]:[11]])-1)))</f>
        <v>0</v>
      </c>
      <c r="AD48" s="30" t="str" cm="1">
        <f t="array" ref="AD48">IF(Table26142567891112[[#This Row],[6]]="","",Table26142567891112[[#This Row],[Weight]:[Weight]]-(Table26142567891112[[#This Row],[Weight]:[Weight]]*((_xlfn.XMATCH(Table26142567891112[[#This Row],[6]],Table26142567891112[[#This Row],[1]:[11]],0))-1)/(COUNTA(Table26142567891112[[#This Row],[1]:[11]])-COUNTBLANK(Table26142567891112[[#This Row],[1]:[11]])-1)))</f>
        <v/>
      </c>
      <c r="AE48" s="30" t="str" cm="1">
        <f t="array" ref="AE48">IF(Table26142567891112[[#This Row],[7]]="","",Table26142567891112[[#This Row],[Weight]:[Weight]]-(Table26142567891112[[#This Row],[Weight]:[Weight]]*((_xlfn.XMATCH(Table26142567891112[[#This Row],[7]],Table26142567891112[[#This Row],[1]:[11]],0))-1)/(COUNTA(Table26142567891112[[#This Row],[1]:[11]])-COUNTBLANK(Table26142567891112[[#This Row],[1]:[11]])-1)))</f>
        <v/>
      </c>
      <c r="AF48" s="30" t="str" cm="1">
        <f t="array" ref="AF48">IF(Table26142567891112[[#This Row],[8]]="","",Table26142567891112[[#This Row],[Weight]:[Weight]]-(Table26142567891112[[#This Row],[Weight]:[Weight]]*((_xlfn.XMATCH(Table26142567891112[[#This Row],[8]],Table26142567891112[[#This Row],[1]:[11]],0))-1)/(COUNTA(Table26142567891112[[#This Row],[1]:[11]])-COUNTBLANK(Table26142567891112[[#This Row],[1]:[11]])-1)))</f>
        <v/>
      </c>
      <c r="AG48" s="30" t="str" cm="1">
        <f t="array" ref="AG48">IF(Table26142567891112[[#This Row],[9]]="","",Table26142567891112[[#This Row],[Weight]:[Weight]]-(Table26142567891112[[#This Row],[Weight]:[Weight]]*((_xlfn.XMATCH(Table26142567891112[[#This Row],[9]],Table26142567891112[[#This Row],[1]:[11]],0))-1)/(COUNTA(Table26142567891112[[#This Row],[1]:[11]])-COUNTBLANK(Table26142567891112[[#This Row],[1]:[11]])-1)))</f>
        <v/>
      </c>
      <c r="AH48" s="30" t="str" cm="1">
        <f t="array" ref="AH48">IF(Table26142567891112[[#This Row],[10]]="","",Table26142567891112[[#This Row],[Weight]:[Weight]]-(Table26142567891112[[#This Row],[Weight]:[Weight]]*((_xlfn.XMATCH(Table26142567891112[[#This Row],[10]],Table26142567891112[[#This Row],[1]:[11]],0))-1)/(COUNTA(Table26142567891112[[#This Row],[1]:[11]])-COUNTBLANK(Table26142567891112[[#This Row],[1]:[11]])-1)))</f>
        <v/>
      </c>
      <c r="AI48" s="30" t="str" cm="1">
        <f t="array" ref="AI48">IF(Table26142567891112[[#This Row],[11]]="","",Table26142567891112[[#This Row],[Weight]:[Weight]]-(Table26142567891112[[#This Row],[Weight]:[Weight]]*((_xlfn.XMATCH(Table26142567891112[[#This Row],[11]],Table26142567891112[[#This Row],[1]:[11]],0))-1)/(COUNTA(Table26142567891112[[#This Row],[1]:[11]])-COUNTBLANK(Table26142567891112[[#This Row],[1]:[11]])-1)))</f>
        <v/>
      </c>
    </row>
    <row r="49" spans="1:35" ht="108" x14ac:dyDescent="0.2">
      <c r="A49" s="20">
        <v>37</v>
      </c>
      <c r="B49" s="90" t="s">
        <v>588</v>
      </c>
      <c r="C49" s="119" t="s">
        <v>589</v>
      </c>
      <c r="D49" s="153"/>
      <c r="E49" s="153"/>
      <c r="F49" s="121" t="s">
        <v>60</v>
      </c>
      <c r="G49" s="148" cm="1">
        <f t="array" ref="G49">_xlfn.IFS(F49="","",F49="No interest",0,F49="Nice to have",1,F49="Useful",2,F49="Important",3,F49="Very important",4,F49="Critical",5,F49="Show stopper",6)</f>
        <v>6</v>
      </c>
      <c r="H49" s="149">
        <f t="shared" si="2"/>
        <v>2.0588235294117644E-3</v>
      </c>
      <c r="I49" s="150" t="s">
        <v>548</v>
      </c>
      <c r="J49" s="35" t="str" cm="1">
        <f t="array" ref="J49">_xlfn.TEXTJOIN(","&amp;CHAR(10),,TEXT(Table26142567891112[[#This Row],[12]:[22]],"0,00%"))</f>
        <v>0,00%,
0,00%,
0,00%,
0,00%,
0,00%</v>
      </c>
      <c r="K49" s="36"/>
      <c r="L49" s="27" t="e">
        <f>H49-(H49*((MATCH(Table26142567891112[[#This Row],[Evaluators Response (SELECT)]],Table26142567891112[[#This Row],[1]:[11]],0)-1)/(COUNTA(Table26142567891112[[#This Row],[1]:[11]])-COUNTBLANK(Table26142567891112[[#This Row],[1]:[11]])-1)))</f>
        <v>#N/A</v>
      </c>
      <c r="M49" s="28"/>
      <c r="N49" s="29" t="str" cm="1">
        <f t="array" ref="N49">IFERROR(INDEX(_xlfn.UNIQUE(TRIM(_xlfn.TEXTSPLIT(Table26142567891112[[#This Row],[Selection Options]:[Selection Options]],","))),,N$11),"")</f>
        <v>100%: Supported as delivered "out of the box"</v>
      </c>
      <c r="O49" s="29" t="str" cm="1">
        <f t="array" ref="O49">IFERROR(INDEX(_xlfn.UNIQUE(TRIM(_xlfn.TEXTSPLIT(Table26142567891112[[#This Row],[Selection Options]:[Selection Options]],","))),,O$11),"")</f>
        <v xml:space="preserve">
75%: Supported via modifications (config)</v>
      </c>
      <c r="P49" s="29" t="str" cm="1">
        <f t="array" ref="P49">IFERROR(INDEX(_xlfn.UNIQUE(TRIM(_xlfn.TEXTSPLIT(Table26142567891112[[#This Row],[Selection Options]:[Selection Options]],","))),,P$11),"")</f>
        <v xml:space="preserve">
50%: Supported via a third party solution</v>
      </c>
      <c r="Q49" s="29" t="str" cm="1">
        <f t="array" ref="Q49">IFERROR(INDEX(_xlfn.UNIQUE(TRIM(_xlfn.TEXTSPLIT(Table26142567891112[[#This Row],[Selection Options]:[Selection Options]],","))),,Q$11),"")</f>
        <v xml:space="preserve">
25%: Supported via customisation (source code changes)</v>
      </c>
      <c r="R49" s="29" t="str" cm="1">
        <f t="array" ref="R49">IFERROR(INDEX(_xlfn.UNIQUE(TRIM(_xlfn.TEXTSPLIT(Table26142567891112[[#This Row],[Selection Options]:[Selection Options]],","))),,R$11),"")</f>
        <v>0%: Not currently supported</v>
      </c>
      <c r="S49" s="29" t="str" cm="1">
        <f t="array" ref="S49">IFERROR(INDEX(_xlfn.UNIQUE(TRIM(_xlfn.TEXTSPLIT(Table26142567891112[[#This Row],[Selection Options]:[Selection Options]],","))),,S$11),"")</f>
        <v/>
      </c>
      <c r="T49" s="29" t="str" cm="1">
        <f t="array" ref="T49">IFERROR(INDEX(_xlfn.UNIQUE(TRIM(_xlfn.TEXTSPLIT(Table26142567891112[[#This Row],[Selection Options]:[Selection Options]],","))),,T$11),"")</f>
        <v/>
      </c>
      <c r="U49" s="29" t="str" cm="1">
        <f t="array" ref="U49">IFERROR(INDEX(_xlfn.UNIQUE(TRIM(_xlfn.TEXTSPLIT(Table26142567891112[[#This Row],[Selection Options]:[Selection Options]],","))),,U$11),"")</f>
        <v/>
      </c>
      <c r="V49" s="29" t="str" cm="1">
        <f t="array" ref="V49">IFERROR(INDEX(_xlfn.UNIQUE(TRIM(_xlfn.TEXTSPLIT(Table26142567891112[[#This Row],[Selection Options]:[Selection Options]],","))),,V$11),"")</f>
        <v/>
      </c>
      <c r="W49" s="29" t="str" cm="1">
        <f t="array" ref="W49">IFERROR(INDEX(_xlfn.UNIQUE(TRIM(_xlfn.TEXTSPLIT(Table26142567891112[[#This Row],[Selection Options]:[Selection Options]],","))),,W$11),"")</f>
        <v/>
      </c>
      <c r="X49" s="29" t="str" cm="1">
        <f t="array" ref="X49">IFERROR(INDEX(_xlfn.UNIQUE(TRIM(_xlfn.TEXTSPLIT(Table26142567891112[[#This Row],[Selection Options]:[Selection Options]],","))),,X$11),"")</f>
        <v/>
      </c>
      <c r="Y49" s="30" cm="1">
        <f t="array" ref="Y49">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49" s="30" cm="1">
        <f t="array" ref="Z49">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49" s="30" cm="1">
        <f t="array" ref="AA49">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49" s="30" cm="1">
        <f t="array" ref="AB49">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49" s="30" cm="1">
        <f t="array" ref="AC49">IF(Table26142567891112[[#This Row],[5]]="","",Table26142567891112[[#This Row],[Weight]:[Weight]]-(Table26142567891112[[#This Row],[Weight]:[Weight]]*((_xlfn.XMATCH(Table26142567891112[[#This Row],[5]],Table26142567891112[[#This Row],[1]:[11]],0))-1)/(COUNTA(Table26142567891112[[#This Row],[1]:[11]])-COUNTBLANK(Table26142567891112[[#This Row],[1]:[11]])-1)))</f>
        <v>0</v>
      </c>
      <c r="AD49" s="30" t="str" cm="1">
        <f t="array" ref="AD49">IF(Table26142567891112[[#This Row],[6]]="","",Table26142567891112[[#This Row],[Weight]:[Weight]]-(Table26142567891112[[#This Row],[Weight]:[Weight]]*((_xlfn.XMATCH(Table26142567891112[[#This Row],[6]],Table26142567891112[[#This Row],[1]:[11]],0))-1)/(COUNTA(Table26142567891112[[#This Row],[1]:[11]])-COUNTBLANK(Table26142567891112[[#This Row],[1]:[11]])-1)))</f>
        <v/>
      </c>
      <c r="AE49" s="30" t="str" cm="1">
        <f t="array" ref="AE49">IF(Table26142567891112[[#This Row],[7]]="","",Table26142567891112[[#This Row],[Weight]:[Weight]]-(Table26142567891112[[#This Row],[Weight]:[Weight]]*((_xlfn.XMATCH(Table26142567891112[[#This Row],[7]],Table26142567891112[[#This Row],[1]:[11]],0))-1)/(COUNTA(Table26142567891112[[#This Row],[1]:[11]])-COUNTBLANK(Table26142567891112[[#This Row],[1]:[11]])-1)))</f>
        <v/>
      </c>
      <c r="AF49" s="30" t="str" cm="1">
        <f t="array" ref="AF49">IF(Table26142567891112[[#This Row],[8]]="","",Table26142567891112[[#This Row],[Weight]:[Weight]]-(Table26142567891112[[#This Row],[Weight]:[Weight]]*((_xlfn.XMATCH(Table26142567891112[[#This Row],[8]],Table26142567891112[[#This Row],[1]:[11]],0))-1)/(COUNTA(Table26142567891112[[#This Row],[1]:[11]])-COUNTBLANK(Table26142567891112[[#This Row],[1]:[11]])-1)))</f>
        <v/>
      </c>
      <c r="AG49" s="30" t="str" cm="1">
        <f t="array" ref="AG49">IF(Table26142567891112[[#This Row],[9]]="","",Table26142567891112[[#This Row],[Weight]:[Weight]]-(Table26142567891112[[#This Row],[Weight]:[Weight]]*((_xlfn.XMATCH(Table26142567891112[[#This Row],[9]],Table26142567891112[[#This Row],[1]:[11]],0))-1)/(COUNTA(Table26142567891112[[#This Row],[1]:[11]])-COUNTBLANK(Table26142567891112[[#This Row],[1]:[11]])-1)))</f>
        <v/>
      </c>
      <c r="AH49" s="30" t="str" cm="1">
        <f t="array" ref="AH49">IF(Table26142567891112[[#This Row],[10]]="","",Table26142567891112[[#This Row],[Weight]:[Weight]]-(Table26142567891112[[#This Row],[Weight]:[Weight]]*((_xlfn.XMATCH(Table26142567891112[[#This Row],[10]],Table26142567891112[[#This Row],[1]:[11]],0))-1)/(COUNTA(Table26142567891112[[#This Row],[1]:[11]])-COUNTBLANK(Table26142567891112[[#This Row],[1]:[11]])-1)))</f>
        <v/>
      </c>
      <c r="AI49" s="30" t="str" cm="1">
        <f t="array" ref="AI49">IF(Table26142567891112[[#This Row],[11]]="","",Table26142567891112[[#This Row],[Weight]:[Weight]]-(Table26142567891112[[#This Row],[Weight]:[Weight]]*((_xlfn.XMATCH(Table26142567891112[[#This Row],[11]],Table26142567891112[[#This Row],[1]:[11]],0))-1)/(COUNTA(Table26142567891112[[#This Row],[1]:[11]])-COUNTBLANK(Table26142567891112[[#This Row],[1]:[11]])-1)))</f>
        <v/>
      </c>
    </row>
    <row r="50" spans="1:35" ht="118.5" customHeight="1" x14ac:dyDescent="0.2">
      <c r="A50" s="20">
        <v>38</v>
      </c>
      <c r="B50" s="90" t="s">
        <v>590</v>
      </c>
      <c r="C50" s="119" t="s">
        <v>591</v>
      </c>
      <c r="D50" s="153"/>
      <c r="E50" s="153"/>
      <c r="F50" s="121" t="s">
        <v>60</v>
      </c>
      <c r="G50" s="148" cm="1">
        <f t="array" ref="G50">_xlfn.IFS(F50="","",F50="No interest",0,F50="Nice to have",1,F50="Useful",2,F50="Important",3,F50="Very important",4,F50="Critical",5,F50="Show stopper",6)</f>
        <v>6</v>
      </c>
      <c r="H50" s="149">
        <f t="shared" si="2"/>
        <v>2.0588235294117644E-3</v>
      </c>
      <c r="I50" s="150" t="s">
        <v>548</v>
      </c>
      <c r="J50" s="35" t="str" cm="1">
        <f t="array" ref="J50">_xlfn.TEXTJOIN(","&amp;CHAR(10),,TEXT(Table26142567891112[[#This Row],[12]:[22]],"0,00%"))</f>
        <v>0,00%,
0,00%,
0,00%,
0,00%,
0,00%</v>
      </c>
      <c r="K50" s="36"/>
      <c r="L50" s="27" t="e">
        <f>H50-(H50*((MATCH(Table26142567891112[[#This Row],[Evaluators Response (SELECT)]],Table26142567891112[[#This Row],[1]:[11]],0)-1)/(COUNTA(Table26142567891112[[#This Row],[1]:[11]])-COUNTBLANK(Table26142567891112[[#This Row],[1]:[11]])-1)))</f>
        <v>#N/A</v>
      </c>
      <c r="M50" s="28"/>
      <c r="N50" s="29" t="str" cm="1">
        <f t="array" ref="N50">IFERROR(INDEX(_xlfn.UNIQUE(TRIM(_xlfn.TEXTSPLIT(Table26142567891112[[#This Row],[Selection Options]:[Selection Options]],","))),,N$11),"")</f>
        <v>100%: Supported as delivered "out of the box"</v>
      </c>
      <c r="O50" s="29" t="str" cm="1">
        <f t="array" ref="O50">IFERROR(INDEX(_xlfn.UNIQUE(TRIM(_xlfn.TEXTSPLIT(Table26142567891112[[#This Row],[Selection Options]:[Selection Options]],","))),,O$11),"")</f>
        <v xml:space="preserve">
75%: Supported via modifications (config)</v>
      </c>
      <c r="P50" s="29" t="str" cm="1">
        <f t="array" ref="P50">IFERROR(INDEX(_xlfn.UNIQUE(TRIM(_xlfn.TEXTSPLIT(Table26142567891112[[#This Row],[Selection Options]:[Selection Options]],","))),,P$11),"")</f>
        <v xml:space="preserve">
50%: Supported via a third party solution</v>
      </c>
      <c r="Q50" s="29" t="str" cm="1">
        <f t="array" ref="Q50">IFERROR(INDEX(_xlfn.UNIQUE(TRIM(_xlfn.TEXTSPLIT(Table26142567891112[[#This Row],[Selection Options]:[Selection Options]],","))),,Q$11),"")</f>
        <v xml:space="preserve">
25%: Supported via customisation (source code changes)</v>
      </c>
      <c r="R50" s="29" t="str" cm="1">
        <f t="array" ref="R50">IFERROR(INDEX(_xlfn.UNIQUE(TRIM(_xlfn.TEXTSPLIT(Table26142567891112[[#This Row],[Selection Options]:[Selection Options]],","))),,R$11),"")</f>
        <v>0%: Not currently supported</v>
      </c>
      <c r="S50" s="29" t="str" cm="1">
        <f t="array" ref="S50">IFERROR(INDEX(_xlfn.UNIQUE(TRIM(_xlfn.TEXTSPLIT(Table26142567891112[[#This Row],[Selection Options]:[Selection Options]],","))),,S$11),"")</f>
        <v/>
      </c>
      <c r="T50" s="29" t="str" cm="1">
        <f t="array" ref="T50">IFERROR(INDEX(_xlfn.UNIQUE(TRIM(_xlfn.TEXTSPLIT(Table26142567891112[[#This Row],[Selection Options]:[Selection Options]],","))),,T$11),"")</f>
        <v/>
      </c>
      <c r="U50" s="29" t="str" cm="1">
        <f t="array" ref="U50">IFERROR(INDEX(_xlfn.UNIQUE(TRIM(_xlfn.TEXTSPLIT(Table26142567891112[[#This Row],[Selection Options]:[Selection Options]],","))),,U$11),"")</f>
        <v/>
      </c>
      <c r="V50" s="29" t="str" cm="1">
        <f t="array" ref="V50">IFERROR(INDEX(_xlfn.UNIQUE(TRIM(_xlfn.TEXTSPLIT(Table26142567891112[[#This Row],[Selection Options]:[Selection Options]],","))),,V$11),"")</f>
        <v/>
      </c>
      <c r="W50" s="29" t="str" cm="1">
        <f t="array" ref="W50">IFERROR(INDEX(_xlfn.UNIQUE(TRIM(_xlfn.TEXTSPLIT(Table26142567891112[[#This Row],[Selection Options]:[Selection Options]],","))),,W$11),"")</f>
        <v/>
      </c>
      <c r="X50" s="29" t="str" cm="1">
        <f t="array" ref="X50">IFERROR(INDEX(_xlfn.UNIQUE(TRIM(_xlfn.TEXTSPLIT(Table26142567891112[[#This Row],[Selection Options]:[Selection Options]],","))),,X$11),"")</f>
        <v/>
      </c>
      <c r="Y50" s="30" cm="1">
        <f t="array" ref="Y50">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0" s="30" cm="1">
        <f t="array" ref="Z50">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0" s="30" cm="1">
        <f t="array" ref="AA50">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0" s="30" cm="1">
        <f t="array" ref="AB50">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0" s="30" cm="1">
        <f t="array" ref="AC50">IF(Table26142567891112[[#This Row],[5]]="","",Table26142567891112[[#This Row],[Weight]:[Weight]]-(Table26142567891112[[#This Row],[Weight]:[Weight]]*((_xlfn.XMATCH(Table26142567891112[[#This Row],[5]],Table26142567891112[[#This Row],[1]:[11]],0))-1)/(COUNTA(Table26142567891112[[#This Row],[1]:[11]])-COUNTBLANK(Table26142567891112[[#This Row],[1]:[11]])-1)))</f>
        <v>0</v>
      </c>
      <c r="AD50" s="30" t="str" cm="1">
        <f t="array" ref="AD50">IF(Table26142567891112[[#This Row],[6]]="","",Table26142567891112[[#This Row],[Weight]:[Weight]]-(Table26142567891112[[#This Row],[Weight]:[Weight]]*((_xlfn.XMATCH(Table26142567891112[[#This Row],[6]],Table26142567891112[[#This Row],[1]:[11]],0))-1)/(COUNTA(Table26142567891112[[#This Row],[1]:[11]])-COUNTBLANK(Table26142567891112[[#This Row],[1]:[11]])-1)))</f>
        <v/>
      </c>
      <c r="AE50" s="30" t="str" cm="1">
        <f t="array" ref="AE50">IF(Table26142567891112[[#This Row],[7]]="","",Table26142567891112[[#This Row],[Weight]:[Weight]]-(Table26142567891112[[#This Row],[Weight]:[Weight]]*((_xlfn.XMATCH(Table26142567891112[[#This Row],[7]],Table26142567891112[[#This Row],[1]:[11]],0))-1)/(COUNTA(Table26142567891112[[#This Row],[1]:[11]])-COUNTBLANK(Table26142567891112[[#This Row],[1]:[11]])-1)))</f>
        <v/>
      </c>
      <c r="AF50" s="30" t="str" cm="1">
        <f t="array" ref="AF50">IF(Table26142567891112[[#This Row],[8]]="","",Table26142567891112[[#This Row],[Weight]:[Weight]]-(Table26142567891112[[#This Row],[Weight]:[Weight]]*((_xlfn.XMATCH(Table26142567891112[[#This Row],[8]],Table26142567891112[[#This Row],[1]:[11]],0))-1)/(COUNTA(Table26142567891112[[#This Row],[1]:[11]])-COUNTBLANK(Table26142567891112[[#This Row],[1]:[11]])-1)))</f>
        <v/>
      </c>
      <c r="AG50" s="30" t="str" cm="1">
        <f t="array" ref="AG50">IF(Table26142567891112[[#This Row],[9]]="","",Table26142567891112[[#This Row],[Weight]:[Weight]]-(Table26142567891112[[#This Row],[Weight]:[Weight]]*((_xlfn.XMATCH(Table26142567891112[[#This Row],[9]],Table26142567891112[[#This Row],[1]:[11]],0))-1)/(COUNTA(Table26142567891112[[#This Row],[1]:[11]])-COUNTBLANK(Table26142567891112[[#This Row],[1]:[11]])-1)))</f>
        <v/>
      </c>
      <c r="AH50" s="30" t="str" cm="1">
        <f t="array" ref="AH50">IF(Table26142567891112[[#This Row],[10]]="","",Table26142567891112[[#This Row],[Weight]:[Weight]]-(Table26142567891112[[#This Row],[Weight]:[Weight]]*((_xlfn.XMATCH(Table26142567891112[[#This Row],[10]],Table26142567891112[[#This Row],[1]:[11]],0))-1)/(COUNTA(Table26142567891112[[#This Row],[1]:[11]])-COUNTBLANK(Table26142567891112[[#This Row],[1]:[11]])-1)))</f>
        <v/>
      </c>
      <c r="AI50" s="30" t="str" cm="1">
        <f t="array" ref="AI50">IF(Table26142567891112[[#This Row],[11]]="","",Table26142567891112[[#This Row],[Weight]:[Weight]]-(Table26142567891112[[#This Row],[Weight]:[Weight]]*((_xlfn.XMATCH(Table26142567891112[[#This Row],[11]],Table26142567891112[[#This Row],[1]:[11]],0))-1)/(COUNTA(Table26142567891112[[#This Row],[1]:[11]])-COUNTBLANK(Table26142567891112[[#This Row],[1]:[11]])-1)))</f>
        <v/>
      </c>
    </row>
    <row r="51" spans="1:35" ht="108" x14ac:dyDescent="0.2">
      <c r="A51" s="227">
        <v>39</v>
      </c>
      <c r="B51" s="239" t="s">
        <v>592</v>
      </c>
      <c r="C51" s="228" t="s">
        <v>593</v>
      </c>
      <c r="D51" s="238"/>
      <c r="E51" s="238"/>
      <c r="F51" s="230" t="s">
        <v>60</v>
      </c>
      <c r="G51" s="231" cm="1">
        <f t="array" ref="G51">_xlfn.IFS(F51="","",F51="No interest",0,F51="Nice to have",1,F51="Useful",2,F51="Important",3,F51="Very important",4,F51="Critical",5,F51="Show stopper",6)</f>
        <v>6</v>
      </c>
      <c r="H51" s="232">
        <f t="shared" si="2"/>
        <v>2.0588235294117644E-3</v>
      </c>
      <c r="I51" s="233" t="s">
        <v>548</v>
      </c>
      <c r="J51" s="234" t="str" cm="1">
        <f t="array" ref="J51">_xlfn.TEXTJOIN(","&amp;CHAR(10),,TEXT(Table26142567891112[[#This Row],[12]:[22]],"0,00%"))</f>
        <v>0,00%,
0,00%,
0,00%,
0,00%,
0,00%</v>
      </c>
      <c r="K51" s="235"/>
      <c r="L51" s="236" t="e">
        <f>H51-(H51*((MATCH(Table26142567891112[[#This Row],[Evaluators Response (SELECT)]],Table26142567891112[[#This Row],[1]:[11]],0)-1)/(COUNTA(Table26142567891112[[#This Row],[1]:[11]])-COUNTBLANK(Table26142567891112[[#This Row],[1]:[11]])-1)))</f>
        <v>#N/A</v>
      </c>
      <c r="M51" s="237"/>
      <c r="N51" s="29" t="str" cm="1">
        <f t="array" ref="N51">IFERROR(INDEX(_xlfn.UNIQUE(TRIM(_xlfn.TEXTSPLIT(Table26142567891112[[#This Row],[Selection Options]:[Selection Options]],","))),,N$11),"")</f>
        <v>100%: Supported as delivered "out of the box"</v>
      </c>
      <c r="O51" s="29" t="str" cm="1">
        <f t="array" ref="O51">IFERROR(INDEX(_xlfn.UNIQUE(TRIM(_xlfn.TEXTSPLIT(Table26142567891112[[#This Row],[Selection Options]:[Selection Options]],","))),,O$11),"")</f>
        <v xml:space="preserve">
75%: Supported via modifications (config)</v>
      </c>
      <c r="P51" s="29" t="str" cm="1">
        <f t="array" ref="P51">IFERROR(INDEX(_xlfn.UNIQUE(TRIM(_xlfn.TEXTSPLIT(Table26142567891112[[#This Row],[Selection Options]:[Selection Options]],","))),,P$11),"")</f>
        <v xml:space="preserve">
50%: Supported via a third party solution</v>
      </c>
      <c r="Q51" s="29" t="str" cm="1">
        <f t="array" ref="Q51">IFERROR(INDEX(_xlfn.UNIQUE(TRIM(_xlfn.TEXTSPLIT(Table26142567891112[[#This Row],[Selection Options]:[Selection Options]],","))),,Q$11),"")</f>
        <v xml:space="preserve">
25%: Supported via customisation (source code changes)</v>
      </c>
      <c r="R51" s="29" t="str" cm="1">
        <f t="array" ref="R51">IFERROR(INDEX(_xlfn.UNIQUE(TRIM(_xlfn.TEXTSPLIT(Table26142567891112[[#This Row],[Selection Options]:[Selection Options]],","))),,R$11),"")</f>
        <v>0%: Not currently supported</v>
      </c>
      <c r="S51" s="29" t="str" cm="1">
        <f t="array" ref="S51">IFERROR(INDEX(_xlfn.UNIQUE(TRIM(_xlfn.TEXTSPLIT(Table26142567891112[[#This Row],[Selection Options]:[Selection Options]],","))),,S$11),"")</f>
        <v/>
      </c>
      <c r="T51" s="29" t="str" cm="1">
        <f t="array" ref="T51">IFERROR(INDEX(_xlfn.UNIQUE(TRIM(_xlfn.TEXTSPLIT(Table26142567891112[[#This Row],[Selection Options]:[Selection Options]],","))),,T$11),"")</f>
        <v/>
      </c>
      <c r="U51" s="29" t="str" cm="1">
        <f t="array" ref="U51">IFERROR(INDEX(_xlfn.UNIQUE(TRIM(_xlfn.TEXTSPLIT(Table26142567891112[[#This Row],[Selection Options]:[Selection Options]],","))),,U$11),"")</f>
        <v/>
      </c>
      <c r="V51" s="29" t="str" cm="1">
        <f t="array" ref="V51">IFERROR(INDEX(_xlfn.UNIQUE(TRIM(_xlfn.TEXTSPLIT(Table26142567891112[[#This Row],[Selection Options]:[Selection Options]],","))),,V$11),"")</f>
        <v/>
      </c>
      <c r="W51" s="29" t="str" cm="1">
        <f t="array" ref="W51">IFERROR(INDEX(_xlfn.UNIQUE(TRIM(_xlfn.TEXTSPLIT(Table26142567891112[[#This Row],[Selection Options]:[Selection Options]],","))),,W$11),"")</f>
        <v/>
      </c>
      <c r="X51" s="29" t="str" cm="1">
        <f t="array" ref="X51">IFERROR(INDEX(_xlfn.UNIQUE(TRIM(_xlfn.TEXTSPLIT(Table26142567891112[[#This Row],[Selection Options]:[Selection Options]],","))),,X$11),"")</f>
        <v/>
      </c>
      <c r="Y51" s="30" cm="1">
        <f t="array" ref="Y51">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1" s="30" cm="1">
        <f t="array" ref="Z51">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1" s="30" cm="1">
        <f t="array" ref="AA51">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1" s="30" cm="1">
        <f t="array" ref="AB51">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1" s="30" cm="1">
        <f t="array" ref="AC51">IF(Table26142567891112[[#This Row],[5]]="","",Table26142567891112[[#This Row],[Weight]:[Weight]]-(Table26142567891112[[#This Row],[Weight]:[Weight]]*((_xlfn.XMATCH(Table26142567891112[[#This Row],[5]],Table26142567891112[[#This Row],[1]:[11]],0))-1)/(COUNTA(Table26142567891112[[#This Row],[1]:[11]])-COUNTBLANK(Table26142567891112[[#This Row],[1]:[11]])-1)))</f>
        <v>0</v>
      </c>
      <c r="AD51" s="30" t="str" cm="1">
        <f t="array" ref="AD51">IF(Table26142567891112[[#This Row],[6]]="","",Table26142567891112[[#This Row],[Weight]:[Weight]]-(Table26142567891112[[#This Row],[Weight]:[Weight]]*((_xlfn.XMATCH(Table26142567891112[[#This Row],[6]],Table26142567891112[[#This Row],[1]:[11]],0))-1)/(COUNTA(Table26142567891112[[#This Row],[1]:[11]])-COUNTBLANK(Table26142567891112[[#This Row],[1]:[11]])-1)))</f>
        <v/>
      </c>
      <c r="AE51" s="30" t="str" cm="1">
        <f t="array" ref="AE51">IF(Table26142567891112[[#This Row],[7]]="","",Table26142567891112[[#This Row],[Weight]:[Weight]]-(Table26142567891112[[#This Row],[Weight]:[Weight]]*((_xlfn.XMATCH(Table26142567891112[[#This Row],[7]],Table26142567891112[[#This Row],[1]:[11]],0))-1)/(COUNTA(Table26142567891112[[#This Row],[1]:[11]])-COUNTBLANK(Table26142567891112[[#This Row],[1]:[11]])-1)))</f>
        <v/>
      </c>
      <c r="AF51" s="30" t="str" cm="1">
        <f t="array" ref="AF51">IF(Table26142567891112[[#This Row],[8]]="","",Table26142567891112[[#This Row],[Weight]:[Weight]]-(Table26142567891112[[#This Row],[Weight]:[Weight]]*((_xlfn.XMATCH(Table26142567891112[[#This Row],[8]],Table26142567891112[[#This Row],[1]:[11]],0))-1)/(COUNTA(Table26142567891112[[#This Row],[1]:[11]])-COUNTBLANK(Table26142567891112[[#This Row],[1]:[11]])-1)))</f>
        <v/>
      </c>
      <c r="AG51" s="30" t="str" cm="1">
        <f t="array" ref="AG51">IF(Table26142567891112[[#This Row],[9]]="","",Table26142567891112[[#This Row],[Weight]:[Weight]]-(Table26142567891112[[#This Row],[Weight]:[Weight]]*((_xlfn.XMATCH(Table26142567891112[[#This Row],[9]],Table26142567891112[[#This Row],[1]:[11]],0))-1)/(COUNTA(Table26142567891112[[#This Row],[1]:[11]])-COUNTBLANK(Table26142567891112[[#This Row],[1]:[11]])-1)))</f>
        <v/>
      </c>
      <c r="AH51" s="30" t="str" cm="1">
        <f t="array" ref="AH51">IF(Table26142567891112[[#This Row],[10]]="","",Table26142567891112[[#This Row],[Weight]:[Weight]]-(Table26142567891112[[#This Row],[Weight]:[Weight]]*((_xlfn.XMATCH(Table26142567891112[[#This Row],[10]],Table26142567891112[[#This Row],[1]:[11]],0))-1)/(COUNTA(Table26142567891112[[#This Row],[1]:[11]])-COUNTBLANK(Table26142567891112[[#This Row],[1]:[11]])-1)))</f>
        <v/>
      </c>
      <c r="AI51" s="30" t="str" cm="1">
        <f t="array" ref="AI51">IF(Table26142567891112[[#This Row],[11]]="","",Table26142567891112[[#This Row],[Weight]:[Weight]]-(Table26142567891112[[#This Row],[Weight]:[Weight]]*((_xlfn.XMATCH(Table26142567891112[[#This Row],[11]],Table26142567891112[[#This Row],[1]:[11]],0))-1)/(COUNTA(Table26142567891112[[#This Row],[1]:[11]])-COUNTBLANK(Table26142567891112[[#This Row],[1]:[11]])-1)))</f>
        <v/>
      </c>
    </row>
    <row r="52" spans="1:35" ht="108" x14ac:dyDescent="0.2">
      <c r="A52" s="206">
        <v>40</v>
      </c>
      <c r="B52" s="226" t="s">
        <v>594</v>
      </c>
      <c r="C52" s="208" t="s">
        <v>215</v>
      </c>
      <c r="D52" s="240"/>
      <c r="E52" s="240"/>
      <c r="F52" s="219" t="s">
        <v>188</v>
      </c>
      <c r="G52" s="211" cm="1">
        <f t="array" ref="G52">_xlfn.IFS(F52="","",F52="No interest",0,F52="Nice to have",1,F52="Useful",2,F52="Important",3,F52="Very important",4,F52="Critical",5,F52="Show stopper",6)</f>
        <v>5</v>
      </c>
      <c r="H52" s="212">
        <f t="shared" si="2"/>
        <v>1.7156862745098037E-3</v>
      </c>
      <c r="I52" s="213" t="s">
        <v>548</v>
      </c>
      <c r="J52" s="222" t="str" cm="1">
        <f t="array" ref="J52">_xlfn.TEXTJOIN(","&amp;CHAR(10),,TEXT(Table26142567891112[[#This Row],[12]:[22]],"0,00%"))</f>
        <v>0,00%,
0,00%,
0,00%,
0,00%,
0,00%</v>
      </c>
      <c r="K52" s="223"/>
      <c r="L52" s="216" t="e">
        <f>H52-(H52*((MATCH(Table26142567891112[[#This Row],[Evaluators Response (SELECT)]],Table26142567891112[[#This Row],[1]:[11]],0)-1)/(COUNTA(Table26142567891112[[#This Row],[1]:[11]])-COUNTBLANK(Table26142567891112[[#This Row],[1]:[11]])-1)))</f>
        <v>#N/A</v>
      </c>
      <c r="M52" s="217"/>
      <c r="N52" s="29" t="str" cm="1">
        <f t="array" ref="N52">IFERROR(INDEX(_xlfn.UNIQUE(TRIM(_xlfn.TEXTSPLIT(Table26142567891112[[#This Row],[Selection Options]:[Selection Options]],","))),,N$11),"")</f>
        <v>100%: Supported as delivered "out of the box"</v>
      </c>
      <c r="O52" s="29" t="str" cm="1">
        <f t="array" ref="O52">IFERROR(INDEX(_xlfn.UNIQUE(TRIM(_xlfn.TEXTSPLIT(Table26142567891112[[#This Row],[Selection Options]:[Selection Options]],","))),,O$11),"")</f>
        <v xml:space="preserve">
75%: Supported via modifications (config)</v>
      </c>
      <c r="P52" s="29" t="str" cm="1">
        <f t="array" ref="P52">IFERROR(INDEX(_xlfn.UNIQUE(TRIM(_xlfn.TEXTSPLIT(Table26142567891112[[#This Row],[Selection Options]:[Selection Options]],","))),,P$11),"")</f>
        <v xml:space="preserve">
50%: Supported via a third party solution</v>
      </c>
      <c r="Q52" s="29" t="str" cm="1">
        <f t="array" ref="Q52">IFERROR(INDEX(_xlfn.UNIQUE(TRIM(_xlfn.TEXTSPLIT(Table26142567891112[[#This Row],[Selection Options]:[Selection Options]],","))),,Q$11),"")</f>
        <v xml:space="preserve">
25%: Supported via customisation (source code changes)</v>
      </c>
      <c r="R52" s="29" t="str" cm="1">
        <f t="array" ref="R52">IFERROR(INDEX(_xlfn.UNIQUE(TRIM(_xlfn.TEXTSPLIT(Table26142567891112[[#This Row],[Selection Options]:[Selection Options]],","))),,R$11),"")</f>
        <v>0%: Not currently supported</v>
      </c>
      <c r="S52" s="29" t="str" cm="1">
        <f t="array" ref="S52">IFERROR(INDEX(_xlfn.UNIQUE(TRIM(_xlfn.TEXTSPLIT(Table26142567891112[[#This Row],[Selection Options]:[Selection Options]],","))),,S$11),"")</f>
        <v/>
      </c>
      <c r="T52" s="29" t="str" cm="1">
        <f t="array" ref="T52">IFERROR(INDEX(_xlfn.UNIQUE(TRIM(_xlfn.TEXTSPLIT(Table26142567891112[[#This Row],[Selection Options]:[Selection Options]],","))),,T$11),"")</f>
        <v/>
      </c>
      <c r="U52" s="29" t="str" cm="1">
        <f t="array" ref="U52">IFERROR(INDEX(_xlfn.UNIQUE(TRIM(_xlfn.TEXTSPLIT(Table26142567891112[[#This Row],[Selection Options]:[Selection Options]],","))),,U$11),"")</f>
        <v/>
      </c>
      <c r="V52" s="29" t="str" cm="1">
        <f t="array" ref="V52">IFERROR(INDEX(_xlfn.UNIQUE(TRIM(_xlfn.TEXTSPLIT(Table26142567891112[[#This Row],[Selection Options]:[Selection Options]],","))),,V$11),"")</f>
        <v/>
      </c>
      <c r="W52" s="29" t="str" cm="1">
        <f t="array" ref="W52">IFERROR(INDEX(_xlfn.UNIQUE(TRIM(_xlfn.TEXTSPLIT(Table26142567891112[[#This Row],[Selection Options]:[Selection Options]],","))),,W$11),"")</f>
        <v/>
      </c>
      <c r="X52" s="29" t="str" cm="1">
        <f t="array" ref="X52">IFERROR(INDEX(_xlfn.UNIQUE(TRIM(_xlfn.TEXTSPLIT(Table26142567891112[[#This Row],[Selection Options]:[Selection Options]],","))),,X$11),"")</f>
        <v/>
      </c>
      <c r="Y52" s="30" cm="1">
        <f t="array" ref="Y52">IF(Table26142567891112[[#This Row],[1]]="","",Table26142567891112[[#This Row],[Weight]:[Weight]]-(Table26142567891112[[#This Row],[Weight]:[Weight]]*((_xlfn.XMATCH(Table26142567891112[[#This Row],[1]],Table26142567891112[[#This Row],[1]:[11]],0))-1)/(COUNTA(Table26142567891112[[#This Row],[1]:[11]])-COUNTBLANK(Table26142567891112[[#This Row],[1]:[11]])-1)))</f>
        <v>1.7156862745098037E-3</v>
      </c>
      <c r="Z52" s="30" cm="1">
        <f t="array" ref="Z52">IF(Table26142567891112[[#This Row],[2]]="","",Table26142567891112[[#This Row],[Weight]:[Weight]]-(Table26142567891112[[#This Row],[Weight]:[Weight]]*((_xlfn.XMATCH(Table26142567891112[[#This Row],[2]],Table26142567891112[[#This Row],[1]:[11]],0))-1)/(COUNTA(Table26142567891112[[#This Row],[1]:[11]])-COUNTBLANK(Table26142567891112[[#This Row],[1]:[11]])-1)))</f>
        <v>1.2867647058823527E-3</v>
      </c>
      <c r="AA52" s="30" cm="1">
        <f t="array" ref="AA52">IF(Table26142567891112[[#This Row],[3]]="","",Table26142567891112[[#This Row],[Weight]:[Weight]]-(Table26142567891112[[#This Row],[Weight]:[Weight]]*((_xlfn.XMATCH(Table26142567891112[[#This Row],[3]],Table26142567891112[[#This Row],[1]:[11]],0))-1)/(COUNTA(Table26142567891112[[#This Row],[1]:[11]])-COUNTBLANK(Table26142567891112[[#This Row],[1]:[11]])-1)))</f>
        <v>8.5784313725490184E-4</v>
      </c>
      <c r="AB52" s="30" cm="1">
        <f t="array" ref="AB52">IF(Table26142567891112[[#This Row],[4]]="","",Table26142567891112[[#This Row],[Weight]:[Weight]]-(Table26142567891112[[#This Row],[Weight]:[Weight]]*((_xlfn.XMATCH(Table26142567891112[[#This Row],[4]],Table26142567891112[[#This Row],[1]:[11]],0))-1)/(COUNTA(Table26142567891112[[#This Row],[1]:[11]])-COUNTBLANK(Table26142567891112[[#This Row],[1]:[11]])-1)))</f>
        <v>4.2892156862745097E-4</v>
      </c>
      <c r="AC52" s="30" cm="1">
        <f t="array" ref="AC52">IF(Table26142567891112[[#This Row],[5]]="","",Table26142567891112[[#This Row],[Weight]:[Weight]]-(Table26142567891112[[#This Row],[Weight]:[Weight]]*((_xlfn.XMATCH(Table26142567891112[[#This Row],[5]],Table26142567891112[[#This Row],[1]:[11]],0))-1)/(COUNTA(Table26142567891112[[#This Row],[1]:[11]])-COUNTBLANK(Table26142567891112[[#This Row],[1]:[11]])-1)))</f>
        <v>0</v>
      </c>
      <c r="AD52" s="30" t="str" cm="1">
        <f t="array" ref="AD52">IF(Table26142567891112[[#This Row],[6]]="","",Table26142567891112[[#This Row],[Weight]:[Weight]]-(Table26142567891112[[#This Row],[Weight]:[Weight]]*((_xlfn.XMATCH(Table26142567891112[[#This Row],[6]],Table26142567891112[[#This Row],[1]:[11]],0))-1)/(COUNTA(Table26142567891112[[#This Row],[1]:[11]])-COUNTBLANK(Table26142567891112[[#This Row],[1]:[11]])-1)))</f>
        <v/>
      </c>
      <c r="AE52" s="30" t="str" cm="1">
        <f t="array" ref="AE52">IF(Table26142567891112[[#This Row],[7]]="","",Table26142567891112[[#This Row],[Weight]:[Weight]]-(Table26142567891112[[#This Row],[Weight]:[Weight]]*((_xlfn.XMATCH(Table26142567891112[[#This Row],[7]],Table26142567891112[[#This Row],[1]:[11]],0))-1)/(COUNTA(Table26142567891112[[#This Row],[1]:[11]])-COUNTBLANK(Table26142567891112[[#This Row],[1]:[11]])-1)))</f>
        <v/>
      </c>
      <c r="AF52" s="30" t="str" cm="1">
        <f t="array" ref="AF52">IF(Table26142567891112[[#This Row],[8]]="","",Table26142567891112[[#This Row],[Weight]:[Weight]]-(Table26142567891112[[#This Row],[Weight]:[Weight]]*((_xlfn.XMATCH(Table26142567891112[[#This Row],[8]],Table26142567891112[[#This Row],[1]:[11]],0))-1)/(COUNTA(Table26142567891112[[#This Row],[1]:[11]])-COUNTBLANK(Table26142567891112[[#This Row],[1]:[11]])-1)))</f>
        <v/>
      </c>
      <c r="AG52" s="30" t="str" cm="1">
        <f t="array" ref="AG52">IF(Table26142567891112[[#This Row],[9]]="","",Table26142567891112[[#This Row],[Weight]:[Weight]]-(Table26142567891112[[#This Row],[Weight]:[Weight]]*((_xlfn.XMATCH(Table26142567891112[[#This Row],[9]],Table26142567891112[[#This Row],[1]:[11]],0))-1)/(COUNTA(Table26142567891112[[#This Row],[1]:[11]])-COUNTBLANK(Table26142567891112[[#This Row],[1]:[11]])-1)))</f>
        <v/>
      </c>
      <c r="AH52" s="30" t="str" cm="1">
        <f t="array" ref="AH52">IF(Table26142567891112[[#This Row],[10]]="","",Table26142567891112[[#This Row],[Weight]:[Weight]]-(Table26142567891112[[#This Row],[Weight]:[Weight]]*((_xlfn.XMATCH(Table26142567891112[[#This Row],[10]],Table26142567891112[[#This Row],[1]:[11]],0))-1)/(COUNTA(Table26142567891112[[#This Row],[1]:[11]])-COUNTBLANK(Table26142567891112[[#This Row],[1]:[11]])-1)))</f>
        <v/>
      </c>
      <c r="AI52" s="30" t="str" cm="1">
        <f t="array" ref="AI52">IF(Table26142567891112[[#This Row],[11]]="","",Table26142567891112[[#This Row],[Weight]:[Weight]]-(Table26142567891112[[#This Row],[Weight]:[Weight]]*((_xlfn.XMATCH(Table26142567891112[[#This Row],[11]],Table26142567891112[[#This Row],[1]:[11]],0))-1)/(COUNTA(Table26142567891112[[#This Row],[1]:[11]])-COUNTBLANK(Table26142567891112[[#This Row],[1]:[11]])-1)))</f>
        <v/>
      </c>
    </row>
    <row r="53" spans="1:35" ht="108" x14ac:dyDescent="0.2">
      <c r="A53" s="20">
        <v>41</v>
      </c>
      <c r="B53" s="90" t="s">
        <v>595</v>
      </c>
      <c r="C53" s="119" t="s">
        <v>215</v>
      </c>
      <c r="D53" s="153"/>
      <c r="E53" s="153"/>
      <c r="F53" s="121" t="s">
        <v>183</v>
      </c>
      <c r="G53" s="148" cm="1">
        <f t="array" ref="G53">_xlfn.IFS(F53="","",F53="No interest",0,F53="Nice to have",1,F53="Useful",2,F53="Important",3,F53="Very important",4,F53="Critical",5,F53="Show stopper",6)</f>
        <v>4</v>
      </c>
      <c r="H53" s="149">
        <f t="shared" si="2"/>
        <v>1.3725490196078429E-3</v>
      </c>
      <c r="I53" s="150" t="s">
        <v>548</v>
      </c>
      <c r="J53" s="35" t="str" cm="1">
        <f t="array" ref="J53">_xlfn.TEXTJOIN(","&amp;CHAR(10),,TEXT(Table26142567891112[[#This Row],[12]:[22]],"0,00%"))</f>
        <v>0,00%,
0,00%,
0,00%,
0,00%,
0,00%</v>
      </c>
      <c r="K53" s="36"/>
      <c r="L53" s="27" t="e">
        <f>H53-(H53*((MATCH(Table26142567891112[[#This Row],[Evaluators Response (SELECT)]],Table26142567891112[[#This Row],[1]:[11]],0)-1)/(COUNTA(Table26142567891112[[#This Row],[1]:[11]])-COUNTBLANK(Table26142567891112[[#This Row],[1]:[11]])-1)))</f>
        <v>#N/A</v>
      </c>
      <c r="M53" s="28"/>
      <c r="N53" s="29" t="str" cm="1">
        <f t="array" ref="N53">IFERROR(INDEX(_xlfn.UNIQUE(TRIM(_xlfn.TEXTSPLIT(Table26142567891112[[#This Row],[Selection Options]:[Selection Options]],","))),,N$11),"")</f>
        <v>100%: Supported as delivered "out of the box"</v>
      </c>
      <c r="O53" s="29" t="str" cm="1">
        <f t="array" ref="O53">IFERROR(INDEX(_xlfn.UNIQUE(TRIM(_xlfn.TEXTSPLIT(Table26142567891112[[#This Row],[Selection Options]:[Selection Options]],","))),,O$11),"")</f>
        <v xml:space="preserve">
75%: Supported via modifications (config)</v>
      </c>
      <c r="P53" s="29" t="str" cm="1">
        <f t="array" ref="P53">IFERROR(INDEX(_xlfn.UNIQUE(TRIM(_xlfn.TEXTSPLIT(Table26142567891112[[#This Row],[Selection Options]:[Selection Options]],","))),,P$11),"")</f>
        <v xml:space="preserve">
50%: Supported via a third party solution</v>
      </c>
      <c r="Q53" s="29" t="str" cm="1">
        <f t="array" ref="Q53">IFERROR(INDEX(_xlfn.UNIQUE(TRIM(_xlfn.TEXTSPLIT(Table26142567891112[[#This Row],[Selection Options]:[Selection Options]],","))),,Q$11),"")</f>
        <v xml:space="preserve">
25%: Supported via customisation (source code changes)</v>
      </c>
      <c r="R53" s="29" t="str" cm="1">
        <f t="array" ref="R53">IFERROR(INDEX(_xlfn.UNIQUE(TRIM(_xlfn.TEXTSPLIT(Table26142567891112[[#This Row],[Selection Options]:[Selection Options]],","))),,R$11),"")</f>
        <v>0%: Not currently supported</v>
      </c>
      <c r="S53" s="29" t="str" cm="1">
        <f t="array" ref="S53">IFERROR(INDEX(_xlfn.UNIQUE(TRIM(_xlfn.TEXTSPLIT(Table26142567891112[[#This Row],[Selection Options]:[Selection Options]],","))),,S$11),"")</f>
        <v/>
      </c>
      <c r="T53" s="29" t="str" cm="1">
        <f t="array" ref="T53">IFERROR(INDEX(_xlfn.UNIQUE(TRIM(_xlfn.TEXTSPLIT(Table26142567891112[[#This Row],[Selection Options]:[Selection Options]],","))),,T$11),"")</f>
        <v/>
      </c>
      <c r="U53" s="29" t="str" cm="1">
        <f t="array" ref="U53">IFERROR(INDEX(_xlfn.UNIQUE(TRIM(_xlfn.TEXTSPLIT(Table26142567891112[[#This Row],[Selection Options]:[Selection Options]],","))),,U$11),"")</f>
        <v/>
      </c>
      <c r="V53" s="29" t="str" cm="1">
        <f t="array" ref="V53">IFERROR(INDEX(_xlfn.UNIQUE(TRIM(_xlfn.TEXTSPLIT(Table26142567891112[[#This Row],[Selection Options]:[Selection Options]],","))),,V$11),"")</f>
        <v/>
      </c>
      <c r="W53" s="29" t="str" cm="1">
        <f t="array" ref="W53">IFERROR(INDEX(_xlfn.UNIQUE(TRIM(_xlfn.TEXTSPLIT(Table26142567891112[[#This Row],[Selection Options]:[Selection Options]],","))),,W$11),"")</f>
        <v/>
      </c>
      <c r="X53" s="29" t="str" cm="1">
        <f t="array" ref="X53">IFERROR(INDEX(_xlfn.UNIQUE(TRIM(_xlfn.TEXTSPLIT(Table26142567891112[[#This Row],[Selection Options]:[Selection Options]],","))),,X$11),"")</f>
        <v/>
      </c>
      <c r="Y53" s="30" cm="1">
        <f t="array" ref="Y53">IF(Table26142567891112[[#This Row],[1]]="","",Table26142567891112[[#This Row],[Weight]:[Weight]]-(Table26142567891112[[#This Row],[Weight]:[Weight]]*((_xlfn.XMATCH(Table26142567891112[[#This Row],[1]],Table26142567891112[[#This Row],[1]:[11]],0))-1)/(COUNTA(Table26142567891112[[#This Row],[1]:[11]])-COUNTBLANK(Table26142567891112[[#This Row],[1]:[11]])-1)))</f>
        <v>1.3725490196078429E-3</v>
      </c>
      <c r="Z53" s="30" cm="1">
        <f t="array" ref="Z53">IF(Table26142567891112[[#This Row],[2]]="","",Table26142567891112[[#This Row],[Weight]:[Weight]]-(Table26142567891112[[#This Row],[Weight]:[Weight]]*((_xlfn.XMATCH(Table26142567891112[[#This Row],[2]],Table26142567891112[[#This Row],[1]:[11]],0))-1)/(COUNTA(Table26142567891112[[#This Row],[1]:[11]])-COUNTBLANK(Table26142567891112[[#This Row],[1]:[11]])-1)))</f>
        <v>1.0294117647058822E-3</v>
      </c>
      <c r="AA53" s="30" cm="1">
        <f t="array" ref="AA53">IF(Table26142567891112[[#This Row],[3]]="","",Table26142567891112[[#This Row],[Weight]:[Weight]]-(Table26142567891112[[#This Row],[Weight]:[Weight]]*((_xlfn.XMATCH(Table26142567891112[[#This Row],[3]],Table26142567891112[[#This Row],[1]:[11]],0))-1)/(COUNTA(Table26142567891112[[#This Row],[1]:[11]])-COUNTBLANK(Table26142567891112[[#This Row],[1]:[11]])-1)))</f>
        <v>6.8627450980392147E-4</v>
      </c>
      <c r="AB53" s="30" cm="1">
        <f t="array" ref="AB53">IF(Table26142567891112[[#This Row],[4]]="","",Table26142567891112[[#This Row],[Weight]:[Weight]]-(Table26142567891112[[#This Row],[Weight]:[Weight]]*((_xlfn.XMATCH(Table26142567891112[[#This Row],[4]],Table26142567891112[[#This Row],[1]:[11]],0))-1)/(COUNTA(Table26142567891112[[#This Row],[1]:[11]])-COUNTBLANK(Table26142567891112[[#This Row],[1]:[11]])-1)))</f>
        <v>3.4313725490196074E-4</v>
      </c>
      <c r="AC53" s="30" cm="1">
        <f t="array" ref="AC53">IF(Table26142567891112[[#This Row],[5]]="","",Table26142567891112[[#This Row],[Weight]:[Weight]]-(Table26142567891112[[#This Row],[Weight]:[Weight]]*((_xlfn.XMATCH(Table26142567891112[[#This Row],[5]],Table26142567891112[[#This Row],[1]:[11]],0))-1)/(COUNTA(Table26142567891112[[#This Row],[1]:[11]])-COUNTBLANK(Table26142567891112[[#This Row],[1]:[11]])-1)))</f>
        <v>0</v>
      </c>
      <c r="AD53" s="30" t="str" cm="1">
        <f t="array" ref="AD53">IF(Table26142567891112[[#This Row],[6]]="","",Table26142567891112[[#This Row],[Weight]:[Weight]]-(Table26142567891112[[#This Row],[Weight]:[Weight]]*((_xlfn.XMATCH(Table26142567891112[[#This Row],[6]],Table26142567891112[[#This Row],[1]:[11]],0))-1)/(COUNTA(Table26142567891112[[#This Row],[1]:[11]])-COUNTBLANK(Table26142567891112[[#This Row],[1]:[11]])-1)))</f>
        <v/>
      </c>
      <c r="AE53" s="30" t="str" cm="1">
        <f t="array" ref="AE53">IF(Table26142567891112[[#This Row],[7]]="","",Table26142567891112[[#This Row],[Weight]:[Weight]]-(Table26142567891112[[#This Row],[Weight]:[Weight]]*((_xlfn.XMATCH(Table26142567891112[[#This Row],[7]],Table26142567891112[[#This Row],[1]:[11]],0))-1)/(COUNTA(Table26142567891112[[#This Row],[1]:[11]])-COUNTBLANK(Table26142567891112[[#This Row],[1]:[11]])-1)))</f>
        <v/>
      </c>
      <c r="AF53" s="30" t="str" cm="1">
        <f t="array" ref="AF53">IF(Table26142567891112[[#This Row],[8]]="","",Table26142567891112[[#This Row],[Weight]:[Weight]]-(Table26142567891112[[#This Row],[Weight]:[Weight]]*((_xlfn.XMATCH(Table26142567891112[[#This Row],[8]],Table26142567891112[[#This Row],[1]:[11]],0))-1)/(COUNTA(Table26142567891112[[#This Row],[1]:[11]])-COUNTBLANK(Table26142567891112[[#This Row],[1]:[11]])-1)))</f>
        <v/>
      </c>
      <c r="AG53" s="30" t="str" cm="1">
        <f t="array" ref="AG53">IF(Table26142567891112[[#This Row],[9]]="","",Table26142567891112[[#This Row],[Weight]:[Weight]]-(Table26142567891112[[#This Row],[Weight]:[Weight]]*((_xlfn.XMATCH(Table26142567891112[[#This Row],[9]],Table26142567891112[[#This Row],[1]:[11]],0))-1)/(COUNTA(Table26142567891112[[#This Row],[1]:[11]])-COUNTBLANK(Table26142567891112[[#This Row],[1]:[11]])-1)))</f>
        <v/>
      </c>
      <c r="AH53" s="30" t="str" cm="1">
        <f t="array" ref="AH53">IF(Table26142567891112[[#This Row],[10]]="","",Table26142567891112[[#This Row],[Weight]:[Weight]]-(Table26142567891112[[#This Row],[Weight]:[Weight]]*((_xlfn.XMATCH(Table26142567891112[[#This Row],[10]],Table26142567891112[[#This Row],[1]:[11]],0))-1)/(COUNTA(Table26142567891112[[#This Row],[1]:[11]])-COUNTBLANK(Table26142567891112[[#This Row],[1]:[11]])-1)))</f>
        <v/>
      </c>
      <c r="AI53" s="30" t="str" cm="1">
        <f t="array" ref="AI53">IF(Table26142567891112[[#This Row],[11]]="","",Table26142567891112[[#This Row],[Weight]:[Weight]]-(Table26142567891112[[#This Row],[Weight]:[Weight]]*((_xlfn.XMATCH(Table26142567891112[[#This Row],[11]],Table26142567891112[[#This Row],[1]:[11]],0))-1)/(COUNTA(Table26142567891112[[#This Row],[1]:[11]])-COUNTBLANK(Table26142567891112[[#This Row],[1]:[11]])-1)))</f>
        <v/>
      </c>
    </row>
    <row r="54" spans="1:35" ht="131.25" customHeight="1" x14ac:dyDescent="0.2">
      <c r="A54" s="20">
        <v>42</v>
      </c>
      <c r="B54" s="90" t="s">
        <v>596</v>
      </c>
      <c r="C54" s="119" t="s">
        <v>215</v>
      </c>
      <c r="D54" s="153"/>
      <c r="E54" s="153"/>
      <c r="F54" s="121" t="s">
        <v>60</v>
      </c>
      <c r="G54" s="148" cm="1">
        <f t="array" ref="G54">_xlfn.IFS(F54="","",F54="No interest",0,F54="Nice to have",1,F54="Useful",2,F54="Important",3,F54="Very important",4,F54="Critical",5,F54="Show stopper",6)</f>
        <v>6</v>
      </c>
      <c r="H54" s="149">
        <f t="shared" si="2"/>
        <v>2.0588235294117644E-3</v>
      </c>
      <c r="I54" s="150" t="s">
        <v>548</v>
      </c>
      <c r="J54" s="35" t="str" cm="1">
        <f t="array" ref="J54">_xlfn.TEXTJOIN(","&amp;CHAR(10),,TEXT(Table26142567891112[[#This Row],[12]:[22]],"0,00%"))</f>
        <v>0,00%,
0,00%,
0,00%,
0,00%,
0,00%</v>
      </c>
      <c r="K54" s="36"/>
      <c r="L54" s="27" t="e">
        <f>H54-(H54*((MATCH(Table26142567891112[[#This Row],[Evaluators Response (SELECT)]],Table26142567891112[[#This Row],[1]:[11]],0)-1)/(COUNTA(Table26142567891112[[#This Row],[1]:[11]])-COUNTBLANK(Table26142567891112[[#This Row],[1]:[11]])-1)))</f>
        <v>#N/A</v>
      </c>
      <c r="M54" s="28"/>
      <c r="N54" s="29" t="str" cm="1">
        <f t="array" ref="N54">IFERROR(INDEX(_xlfn.UNIQUE(TRIM(_xlfn.TEXTSPLIT(Table26142567891112[[#This Row],[Selection Options]:[Selection Options]],","))),,N$11),"")</f>
        <v>100%: Supported as delivered "out of the box"</v>
      </c>
      <c r="O54" s="29" t="str" cm="1">
        <f t="array" ref="O54">IFERROR(INDEX(_xlfn.UNIQUE(TRIM(_xlfn.TEXTSPLIT(Table26142567891112[[#This Row],[Selection Options]:[Selection Options]],","))),,O$11),"")</f>
        <v xml:space="preserve">
75%: Supported via modifications (config)</v>
      </c>
      <c r="P54" s="29" t="str" cm="1">
        <f t="array" ref="P54">IFERROR(INDEX(_xlfn.UNIQUE(TRIM(_xlfn.TEXTSPLIT(Table26142567891112[[#This Row],[Selection Options]:[Selection Options]],","))),,P$11),"")</f>
        <v xml:space="preserve">
50%: Supported via a third party solution</v>
      </c>
      <c r="Q54" s="29" t="str" cm="1">
        <f t="array" ref="Q54">IFERROR(INDEX(_xlfn.UNIQUE(TRIM(_xlfn.TEXTSPLIT(Table26142567891112[[#This Row],[Selection Options]:[Selection Options]],","))),,Q$11),"")</f>
        <v xml:space="preserve">
25%: Supported via customisation (source code changes)</v>
      </c>
      <c r="R54" s="29" t="str" cm="1">
        <f t="array" ref="R54">IFERROR(INDEX(_xlfn.UNIQUE(TRIM(_xlfn.TEXTSPLIT(Table26142567891112[[#This Row],[Selection Options]:[Selection Options]],","))),,R$11),"")</f>
        <v>0%: Not currently supported</v>
      </c>
      <c r="S54" s="29" t="str" cm="1">
        <f t="array" ref="S54">IFERROR(INDEX(_xlfn.UNIQUE(TRIM(_xlfn.TEXTSPLIT(Table26142567891112[[#This Row],[Selection Options]:[Selection Options]],","))),,S$11),"")</f>
        <v/>
      </c>
      <c r="T54" s="29" t="str" cm="1">
        <f t="array" ref="T54">IFERROR(INDEX(_xlfn.UNIQUE(TRIM(_xlfn.TEXTSPLIT(Table26142567891112[[#This Row],[Selection Options]:[Selection Options]],","))),,T$11),"")</f>
        <v/>
      </c>
      <c r="U54" s="29" t="str" cm="1">
        <f t="array" ref="U54">IFERROR(INDEX(_xlfn.UNIQUE(TRIM(_xlfn.TEXTSPLIT(Table26142567891112[[#This Row],[Selection Options]:[Selection Options]],","))),,U$11),"")</f>
        <v/>
      </c>
      <c r="V54" s="29" t="str" cm="1">
        <f t="array" ref="V54">IFERROR(INDEX(_xlfn.UNIQUE(TRIM(_xlfn.TEXTSPLIT(Table26142567891112[[#This Row],[Selection Options]:[Selection Options]],","))),,V$11),"")</f>
        <v/>
      </c>
      <c r="W54" s="29" t="str" cm="1">
        <f t="array" ref="W54">IFERROR(INDEX(_xlfn.UNIQUE(TRIM(_xlfn.TEXTSPLIT(Table26142567891112[[#This Row],[Selection Options]:[Selection Options]],","))),,W$11),"")</f>
        <v/>
      </c>
      <c r="X54" s="29" t="str" cm="1">
        <f t="array" ref="X54">IFERROR(INDEX(_xlfn.UNIQUE(TRIM(_xlfn.TEXTSPLIT(Table26142567891112[[#This Row],[Selection Options]:[Selection Options]],","))),,X$11),"")</f>
        <v/>
      </c>
      <c r="Y54" s="30" cm="1">
        <f t="array" ref="Y54">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4" s="30" cm="1">
        <f t="array" ref="Z54">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4" s="30" cm="1">
        <f t="array" ref="AA54">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4" s="30" cm="1">
        <f t="array" ref="AB54">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4" s="30" cm="1">
        <f t="array" ref="AC54">IF(Table26142567891112[[#This Row],[5]]="","",Table26142567891112[[#This Row],[Weight]:[Weight]]-(Table26142567891112[[#This Row],[Weight]:[Weight]]*((_xlfn.XMATCH(Table26142567891112[[#This Row],[5]],Table26142567891112[[#This Row],[1]:[11]],0))-1)/(COUNTA(Table26142567891112[[#This Row],[1]:[11]])-COUNTBLANK(Table26142567891112[[#This Row],[1]:[11]])-1)))</f>
        <v>0</v>
      </c>
      <c r="AD54" s="30" t="str" cm="1">
        <f t="array" ref="AD54">IF(Table26142567891112[[#This Row],[6]]="","",Table26142567891112[[#This Row],[Weight]:[Weight]]-(Table26142567891112[[#This Row],[Weight]:[Weight]]*((_xlfn.XMATCH(Table26142567891112[[#This Row],[6]],Table26142567891112[[#This Row],[1]:[11]],0))-1)/(COUNTA(Table26142567891112[[#This Row],[1]:[11]])-COUNTBLANK(Table26142567891112[[#This Row],[1]:[11]])-1)))</f>
        <v/>
      </c>
      <c r="AE54" s="30" t="str" cm="1">
        <f t="array" ref="AE54">IF(Table26142567891112[[#This Row],[7]]="","",Table26142567891112[[#This Row],[Weight]:[Weight]]-(Table26142567891112[[#This Row],[Weight]:[Weight]]*((_xlfn.XMATCH(Table26142567891112[[#This Row],[7]],Table26142567891112[[#This Row],[1]:[11]],0))-1)/(COUNTA(Table26142567891112[[#This Row],[1]:[11]])-COUNTBLANK(Table26142567891112[[#This Row],[1]:[11]])-1)))</f>
        <v/>
      </c>
      <c r="AF54" s="30" t="str" cm="1">
        <f t="array" ref="AF54">IF(Table26142567891112[[#This Row],[8]]="","",Table26142567891112[[#This Row],[Weight]:[Weight]]-(Table26142567891112[[#This Row],[Weight]:[Weight]]*((_xlfn.XMATCH(Table26142567891112[[#This Row],[8]],Table26142567891112[[#This Row],[1]:[11]],0))-1)/(COUNTA(Table26142567891112[[#This Row],[1]:[11]])-COUNTBLANK(Table26142567891112[[#This Row],[1]:[11]])-1)))</f>
        <v/>
      </c>
      <c r="AG54" s="30" t="str" cm="1">
        <f t="array" ref="AG54">IF(Table26142567891112[[#This Row],[9]]="","",Table26142567891112[[#This Row],[Weight]:[Weight]]-(Table26142567891112[[#This Row],[Weight]:[Weight]]*((_xlfn.XMATCH(Table26142567891112[[#This Row],[9]],Table26142567891112[[#This Row],[1]:[11]],0))-1)/(COUNTA(Table26142567891112[[#This Row],[1]:[11]])-COUNTBLANK(Table26142567891112[[#This Row],[1]:[11]])-1)))</f>
        <v/>
      </c>
      <c r="AH54" s="30" t="str" cm="1">
        <f t="array" ref="AH54">IF(Table26142567891112[[#This Row],[10]]="","",Table26142567891112[[#This Row],[Weight]:[Weight]]-(Table26142567891112[[#This Row],[Weight]:[Weight]]*((_xlfn.XMATCH(Table26142567891112[[#This Row],[10]],Table26142567891112[[#This Row],[1]:[11]],0))-1)/(COUNTA(Table26142567891112[[#This Row],[1]:[11]])-COUNTBLANK(Table26142567891112[[#This Row],[1]:[11]])-1)))</f>
        <v/>
      </c>
      <c r="AI54" s="30" t="str" cm="1">
        <f t="array" ref="AI54">IF(Table26142567891112[[#This Row],[11]]="","",Table26142567891112[[#This Row],[Weight]:[Weight]]-(Table26142567891112[[#This Row],[Weight]:[Weight]]*((_xlfn.XMATCH(Table26142567891112[[#This Row],[11]],Table26142567891112[[#This Row],[1]:[11]],0))-1)/(COUNTA(Table26142567891112[[#This Row],[1]:[11]])-COUNTBLANK(Table26142567891112[[#This Row],[1]:[11]])-1)))</f>
        <v/>
      </c>
    </row>
    <row r="55" spans="1:35" ht="108" x14ac:dyDescent="0.2">
      <c r="A55" s="20">
        <v>43</v>
      </c>
      <c r="B55" s="119" t="s">
        <v>597</v>
      </c>
      <c r="C55" s="119" t="s">
        <v>215</v>
      </c>
      <c r="D55" s="153"/>
      <c r="E55" s="153"/>
      <c r="F55" s="121" t="s">
        <v>60</v>
      </c>
      <c r="G55" s="148" cm="1">
        <f t="array" ref="G55">_xlfn.IFS(F55="","",F55="No interest",0,F55="Nice to have",1,F55="Useful",2,F55="Important",3,F55="Very important",4,F55="Critical",5,F55="Show stopper",6)</f>
        <v>6</v>
      </c>
      <c r="H55" s="149">
        <f t="shared" si="2"/>
        <v>2.0588235294117644E-3</v>
      </c>
      <c r="I55" s="150" t="s">
        <v>548</v>
      </c>
      <c r="J55" s="35" t="str" cm="1">
        <f t="array" ref="J55">_xlfn.TEXTJOIN(","&amp;CHAR(10),,TEXT(Table26142567891112[[#This Row],[12]:[22]],"0,00%"))</f>
        <v>0,00%,
0,00%,
0,00%,
0,00%,
0,00%</v>
      </c>
      <c r="K55" s="36"/>
      <c r="L55" s="27" t="e">
        <f>H55-(H55*((MATCH(Table26142567891112[[#This Row],[Evaluators Response (SELECT)]],Table26142567891112[[#This Row],[1]:[11]],0)-1)/(COUNTA(Table26142567891112[[#This Row],[1]:[11]])-COUNTBLANK(Table26142567891112[[#This Row],[1]:[11]])-1)))</f>
        <v>#N/A</v>
      </c>
      <c r="M55" s="28"/>
      <c r="N55" s="29" t="str" cm="1">
        <f t="array" ref="N55">IFERROR(INDEX(_xlfn.UNIQUE(TRIM(_xlfn.TEXTSPLIT(Table26142567891112[[#This Row],[Selection Options]:[Selection Options]],","))),,N$11),"")</f>
        <v>100%: Supported as delivered "out of the box"</v>
      </c>
      <c r="O55" s="29" t="str" cm="1">
        <f t="array" ref="O55">IFERROR(INDEX(_xlfn.UNIQUE(TRIM(_xlfn.TEXTSPLIT(Table26142567891112[[#This Row],[Selection Options]:[Selection Options]],","))),,O$11),"")</f>
        <v xml:space="preserve">
75%: Supported via modifications (config)</v>
      </c>
      <c r="P55" s="29" t="str" cm="1">
        <f t="array" ref="P55">IFERROR(INDEX(_xlfn.UNIQUE(TRIM(_xlfn.TEXTSPLIT(Table26142567891112[[#This Row],[Selection Options]:[Selection Options]],","))),,P$11),"")</f>
        <v xml:space="preserve">
50%: Supported via a third party solution</v>
      </c>
      <c r="Q55" s="29" t="str" cm="1">
        <f t="array" ref="Q55">IFERROR(INDEX(_xlfn.UNIQUE(TRIM(_xlfn.TEXTSPLIT(Table26142567891112[[#This Row],[Selection Options]:[Selection Options]],","))),,Q$11),"")</f>
        <v xml:space="preserve">
25%: Supported via customisation (source code changes)</v>
      </c>
      <c r="R55" s="29" t="str" cm="1">
        <f t="array" ref="R55">IFERROR(INDEX(_xlfn.UNIQUE(TRIM(_xlfn.TEXTSPLIT(Table26142567891112[[#This Row],[Selection Options]:[Selection Options]],","))),,R$11),"")</f>
        <v>0%: Not currently supported</v>
      </c>
      <c r="S55" s="29" t="str" cm="1">
        <f t="array" ref="S55">IFERROR(INDEX(_xlfn.UNIQUE(TRIM(_xlfn.TEXTSPLIT(Table26142567891112[[#This Row],[Selection Options]:[Selection Options]],","))),,S$11),"")</f>
        <v/>
      </c>
      <c r="T55" s="29" t="str" cm="1">
        <f t="array" ref="T55">IFERROR(INDEX(_xlfn.UNIQUE(TRIM(_xlfn.TEXTSPLIT(Table26142567891112[[#This Row],[Selection Options]:[Selection Options]],","))),,T$11),"")</f>
        <v/>
      </c>
      <c r="U55" s="29" t="str" cm="1">
        <f t="array" ref="U55">IFERROR(INDEX(_xlfn.UNIQUE(TRIM(_xlfn.TEXTSPLIT(Table26142567891112[[#This Row],[Selection Options]:[Selection Options]],","))),,U$11),"")</f>
        <v/>
      </c>
      <c r="V55" s="29" t="str" cm="1">
        <f t="array" ref="V55">IFERROR(INDEX(_xlfn.UNIQUE(TRIM(_xlfn.TEXTSPLIT(Table26142567891112[[#This Row],[Selection Options]:[Selection Options]],","))),,V$11),"")</f>
        <v/>
      </c>
      <c r="W55" s="29" t="str" cm="1">
        <f t="array" ref="W55">IFERROR(INDEX(_xlfn.UNIQUE(TRIM(_xlfn.TEXTSPLIT(Table26142567891112[[#This Row],[Selection Options]:[Selection Options]],","))),,W$11),"")</f>
        <v/>
      </c>
      <c r="X55" s="29" t="str" cm="1">
        <f t="array" ref="X55">IFERROR(INDEX(_xlfn.UNIQUE(TRIM(_xlfn.TEXTSPLIT(Table26142567891112[[#This Row],[Selection Options]:[Selection Options]],","))),,X$11),"")</f>
        <v/>
      </c>
      <c r="Y55" s="30" cm="1">
        <f t="array" ref="Y55">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5" s="30" cm="1">
        <f t="array" ref="Z55">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5" s="30" cm="1">
        <f t="array" ref="AA55">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5" s="30" cm="1">
        <f t="array" ref="AB55">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5" s="30" cm="1">
        <f t="array" ref="AC55">IF(Table26142567891112[[#This Row],[5]]="","",Table26142567891112[[#This Row],[Weight]:[Weight]]-(Table26142567891112[[#This Row],[Weight]:[Weight]]*((_xlfn.XMATCH(Table26142567891112[[#This Row],[5]],Table26142567891112[[#This Row],[1]:[11]],0))-1)/(COUNTA(Table26142567891112[[#This Row],[1]:[11]])-COUNTBLANK(Table26142567891112[[#This Row],[1]:[11]])-1)))</f>
        <v>0</v>
      </c>
      <c r="AD55" s="30" t="str" cm="1">
        <f t="array" ref="AD55">IF(Table26142567891112[[#This Row],[6]]="","",Table26142567891112[[#This Row],[Weight]:[Weight]]-(Table26142567891112[[#This Row],[Weight]:[Weight]]*((_xlfn.XMATCH(Table26142567891112[[#This Row],[6]],Table26142567891112[[#This Row],[1]:[11]],0))-1)/(COUNTA(Table26142567891112[[#This Row],[1]:[11]])-COUNTBLANK(Table26142567891112[[#This Row],[1]:[11]])-1)))</f>
        <v/>
      </c>
      <c r="AE55" s="30" t="str" cm="1">
        <f t="array" ref="AE55">IF(Table26142567891112[[#This Row],[7]]="","",Table26142567891112[[#This Row],[Weight]:[Weight]]-(Table26142567891112[[#This Row],[Weight]:[Weight]]*((_xlfn.XMATCH(Table26142567891112[[#This Row],[7]],Table26142567891112[[#This Row],[1]:[11]],0))-1)/(COUNTA(Table26142567891112[[#This Row],[1]:[11]])-COUNTBLANK(Table26142567891112[[#This Row],[1]:[11]])-1)))</f>
        <v/>
      </c>
      <c r="AF55" s="30" t="str" cm="1">
        <f t="array" ref="AF55">IF(Table26142567891112[[#This Row],[8]]="","",Table26142567891112[[#This Row],[Weight]:[Weight]]-(Table26142567891112[[#This Row],[Weight]:[Weight]]*((_xlfn.XMATCH(Table26142567891112[[#This Row],[8]],Table26142567891112[[#This Row],[1]:[11]],0))-1)/(COUNTA(Table26142567891112[[#This Row],[1]:[11]])-COUNTBLANK(Table26142567891112[[#This Row],[1]:[11]])-1)))</f>
        <v/>
      </c>
      <c r="AG55" s="30" t="str" cm="1">
        <f t="array" ref="AG55">IF(Table26142567891112[[#This Row],[9]]="","",Table26142567891112[[#This Row],[Weight]:[Weight]]-(Table26142567891112[[#This Row],[Weight]:[Weight]]*((_xlfn.XMATCH(Table26142567891112[[#This Row],[9]],Table26142567891112[[#This Row],[1]:[11]],0))-1)/(COUNTA(Table26142567891112[[#This Row],[1]:[11]])-COUNTBLANK(Table26142567891112[[#This Row],[1]:[11]])-1)))</f>
        <v/>
      </c>
      <c r="AH55" s="30" t="str" cm="1">
        <f t="array" ref="AH55">IF(Table26142567891112[[#This Row],[10]]="","",Table26142567891112[[#This Row],[Weight]:[Weight]]-(Table26142567891112[[#This Row],[Weight]:[Weight]]*((_xlfn.XMATCH(Table26142567891112[[#This Row],[10]],Table26142567891112[[#This Row],[1]:[11]],0))-1)/(COUNTA(Table26142567891112[[#This Row],[1]:[11]])-COUNTBLANK(Table26142567891112[[#This Row],[1]:[11]])-1)))</f>
        <v/>
      </c>
      <c r="AI55" s="30" t="str" cm="1">
        <f t="array" ref="AI55">IF(Table26142567891112[[#This Row],[11]]="","",Table26142567891112[[#This Row],[Weight]:[Weight]]-(Table26142567891112[[#This Row],[Weight]:[Weight]]*((_xlfn.XMATCH(Table26142567891112[[#This Row],[11]],Table26142567891112[[#This Row],[1]:[11]],0))-1)/(COUNTA(Table26142567891112[[#This Row],[1]:[11]])-COUNTBLANK(Table26142567891112[[#This Row],[1]:[11]])-1)))</f>
        <v/>
      </c>
    </row>
    <row r="56" spans="1:35" ht="108" x14ac:dyDescent="0.2">
      <c r="A56" s="20">
        <v>44</v>
      </c>
      <c r="B56" s="90" t="s">
        <v>598</v>
      </c>
      <c r="C56" s="119" t="s">
        <v>215</v>
      </c>
      <c r="D56" s="153"/>
      <c r="E56" s="153"/>
      <c r="F56" s="121" t="s">
        <v>60</v>
      </c>
      <c r="G56" s="148" cm="1">
        <f t="array" ref="G56">_xlfn.IFS(F56="","",F56="No interest",0,F56="Nice to have",1,F56="Useful",2,F56="Important",3,F56="Very important",4,F56="Critical",5,F56="Show stopper",6)</f>
        <v>6</v>
      </c>
      <c r="H56" s="149">
        <f t="shared" si="2"/>
        <v>2.0588235294117644E-3</v>
      </c>
      <c r="I56" s="150" t="s">
        <v>548</v>
      </c>
      <c r="J56" s="35" t="str" cm="1">
        <f t="array" ref="J56">_xlfn.TEXTJOIN(","&amp;CHAR(10),,TEXT(Table26142567891112[[#This Row],[12]:[22]],"0,00%"))</f>
        <v>0,00%,
0,00%,
0,00%,
0,00%,
0,00%</v>
      </c>
      <c r="K56" s="36"/>
      <c r="L56" s="27" t="e">
        <f>H56-(H56*((MATCH(Table26142567891112[[#This Row],[Evaluators Response (SELECT)]],Table26142567891112[[#This Row],[1]:[11]],0)-1)/(COUNTA(Table26142567891112[[#This Row],[1]:[11]])-COUNTBLANK(Table26142567891112[[#This Row],[1]:[11]])-1)))</f>
        <v>#N/A</v>
      </c>
      <c r="M56" s="28"/>
      <c r="N56" s="29" t="str" cm="1">
        <f t="array" ref="N56">IFERROR(INDEX(_xlfn.UNIQUE(TRIM(_xlfn.TEXTSPLIT(Table26142567891112[[#This Row],[Selection Options]:[Selection Options]],","))),,N$11),"")</f>
        <v>100%: Supported as delivered "out of the box"</v>
      </c>
      <c r="O56" s="29" t="str" cm="1">
        <f t="array" ref="O56">IFERROR(INDEX(_xlfn.UNIQUE(TRIM(_xlfn.TEXTSPLIT(Table26142567891112[[#This Row],[Selection Options]:[Selection Options]],","))),,O$11),"")</f>
        <v xml:space="preserve">
75%: Supported via modifications (config)</v>
      </c>
      <c r="P56" s="29" t="str" cm="1">
        <f t="array" ref="P56">IFERROR(INDEX(_xlfn.UNIQUE(TRIM(_xlfn.TEXTSPLIT(Table26142567891112[[#This Row],[Selection Options]:[Selection Options]],","))),,P$11),"")</f>
        <v xml:space="preserve">
50%: Supported via a third party solution</v>
      </c>
      <c r="Q56" s="29" t="str" cm="1">
        <f t="array" ref="Q56">IFERROR(INDEX(_xlfn.UNIQUE(TRIM(_xlfn.TEXTSPLIT(Table26142567891112[[#This Row],[Selection Options]:[Selection Options]],","))),,Q$11),"")</f>
        <v xml:space="preserve">
25%: Supported via customisation (source code changes)</v>
      </c>
      <c r="R56" s="29" t="str" cm="1">
        <f t="array" ref="R56">IFERROR(INDEX(_xlfn.UNIQUE(TRIM(_xlfn.TEXTSPLIT(Table26142567891112[[#This Row],[Selection Options]:[Selection Options]],","))),,R$11),"")</f>
        <v>0%: Not currently supported</v>
      </c>
      <c r="S56" s="29" t="str" cm="1">
        <f t="array" ref="S56">IFERROR(INDEX(_xlfn.UNIQUE(TRIM(_xlfn.TEXTSPLIT(Table26142567891112[[#This Row],[Selection Options]:[Selection Options]],","))),,S$11),"")</f>
        <v/>
      </c>
      <c r="T56" s="29" t="str" cm="1">
        <f t="array" ref="T56">IFERROR(INDEX(_xlfn.UNIQUE(TRIM(_xlfn.TEXTSPLIT(Table26142567891112[[#This Row],[Selection Options]:[Selection Options]],","))),,T$11),"")</f>
        <v/>
      </c>
      <c r="U56" s="29" t="str" cm="1">
        <f t="array" ref="U56">IFERROR(INDEX(_xlfn.UNIQUE(TRIM(_xlfn.TEXTSPLIT(Table26142567891112[[#This Row],[Selection Options]:[Selection Options]],","))),,U$11),"")</f>
        <v/>
      </c>
      <c r="V56" s="29" t="str" cm="1">
        <f t="array" ref="V56">IFERROR(INDEX(_xlfn.UNIQUE(TRIM(_xlfn.TEXTSPLIT(Table26142567891112[[#This Row],[Selection Options]:[Selection Options]],","))),,V$11),"")</f>
        <v/>
      </c>
      <c r="W56" s="29" t="str" cm="1">
        <f t="array" ref="W56">IFERROR(INDEX(_xlfn.UNIQUE(TRIM(_xlfn.TEXTSPLIT(Table26142567891112[[#This Row],[Selection Options]:[Selection Options]],","))),,W$11),"")</f>
        <v/>
      </c>
      <c r="X56" s="29" t="str" cm="1">
        <f t="array" ref="X56">IFERROR(INDEX(_xlfn.UNIQUE(TRIM(_xlfn.TEXTSPLIT(Table26142567891112[[#This Row],[Selection Options]:[Selection Options]],","))),,X$11),"")</f>
        <v/>
      </c>
      <c r="Y56" s="30" cm="1">
        <f t="array" ref="Y56">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6" s="30" cm="1">
        <f t="array" ref="Z56">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6" s="30" cm="1">
        <f t="array" ref="AA56">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6" s="30" cm="1">
        <f t="array" ref="AB56">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6" s="30" cm="1">
        <f t="array" ref="AC56">IF(Table26142567891112[[#This Row],[5]]="","",Table26142567891112[[#This Row],[Weight]:[Weight]]-(Table26142567891112[[#This Row],[Weight]:[Weight]]*((_xlfn.XMATCH(Table26142567891112[[#This Row],[5]],Table26142567891112[[#This Row],[1]:[11]],0))-1)/(COUNTA(Table26142567891112[[#This Row],[1]:[11]])-COUNTBLANK(Table26142567891112[[#This Row],[1]:[11]])-1)))</f>
        <v>0</v>
      </c>
      <c r="AD56" s="30" t="str" cm="1">
        <f t="array" ref="AD56">IF(Table26142567891112[[#This Row],[6]]="","",Table26142567891112[[#This Row],[Weight]:[Weight]]-(Table26142567891112[[#This Row],[Weight]:[Weight]]*((_xlfn.XMATCH(Table26142567891112[[#This Row],[6]],Table26142567891112[[#This Row],[1]:[11]],0))-1)/(COUNTA(Table26142567891112[[#This Row],[1]:[11]])-COUNTBLANK(Table26142567891112[[#This Row],[1]:[11]])-1)))</f>
        <v/>
      </c>
      <c r="AE56" s="30" t="str" cm="1">
        <f t="array" ref="AE56">IF(Table26142567891112[[#This Row],[7]]="","",Table26142567891112[[#This Row],[Weight]:[Weight]]-(Table26142567891112[[#This Row],[Weight]:[Weight]]*((_xlfn.XMATCH(Table26142567891112[[#This Row],[7]],Table26142567891112[[#This Row],[1]:[11]],0))-1)/(COUNTA(Table26142567891112[[#This Row],[1]:[11]])-COUNTBLANK(Table26142567891112[[#This Row],[1]:[11]])-1)))</f>
        <v/>
      </c>
      <c r="AF56" s="30" t="str" cm="1">
        <f t="array" ref="AF56">IF(Table26142567891112[[#This Row],[8]]="","",Table26142567891112[[#This Row],[Weight]:[Weight]]-(Table26142567891112[[#This Row],[Weight]:[Weight]]*((_xlfn.XMATCH(Table26142567891112[[#This Row],[8]],Table26142567891112[[#This Row],[1]:[11]],0))-1)/(COUNTA(Table26142567891112[[#This Row],[1]:[11]])-COUNTBLANK(Table26142567891112[[#This Row],[1]:[11]])-1)))</f>
        <v/>
      </c>
      <c r="AG56" s="30" t="str" cm="1">
        <f t="array" ref="AG56">IF(Table26142567891112[[#This Row],[9]]="","",Table26142567891112[[#This Row],[Weight]:[Weight]]-(Table26142567891112[[#This Row],[Weight]:[Weight]]*((_xlfn.XMATCH(Table26142567891112[[#This Row],[9]],Table26142567891112[[#This Row],[1]:[11]],0))-1)/(COUNTA(Table26142567891112[[#This Row],[1]:[11]])-COUNTBLANK(Table26142567891112[[#This Row],[1]:[11]])-1)))</f>
        <v/>
      </c>
      <c r="AH56" s="30" t="str" cm="1">
        <f t="array" ref="AH56">IF(Table26142567891112[[#This Row],[10]]="","",Table26142567891112[[#This Row],[Weight]:[Weight]]-(Table26142567891112[[#This Row],[Weight]:[Weight]]*((_xlfn.XMATCH(Table26142567891112[[#This Row],[10]],Table26142567891112[[#This Row],[1]:[11]],0))-1)/(COUNTA(Table26142567891112[[#This Row],[1]:[11]])-COUNTBLANK(Table26142567891112[[#This Row],[1]:[11]])-1)))</f>
        <v/>
      </c>
      <c r="AI56" s="30" t="str" cm="1">
        <f t="array" ref="AI56">IF(Table26142567891112[[#This Row],[11]]="","",Table26142567891112[[#This Row],[Weight]:[Weight]]-(Table26142567891112[[#This Row],[Weight]:[Weight]]*((_xlfn.XMATCH(Table26142567891112[[#This Row],[11]],Table26142567891112[[#This Row],[1]:[11]],0))-1)/(COUNTA(Table26142567891112[[#This Row],[1]:[11]])-COUNTBLANK(Table26142567891112[[#This Row],[1]:[11]])-1)))</f>
        <v/>
      </c>
    </row>
    <row r="57" spans="1:35" ht="108" x14ac:dyDescent="0.2">
      <c r="A57" s="20">
        <v>45</v>
      </c>
      <c r="B57" s="90" t="s">
        <v>599</v>
      </c>
      <c r="C57" s="119" t="s">
        <v>215</v>
      </c>
      <c r="D57" s="153"/>
      <c r="E57" s="153"/>
      <c r="F57" s="121" t="s">
        <v>60</v>
      </c>
      <c r="G57" s="148" cm="1">
        <f t="array" ref="G57">_xlfn.IFS(F57="","",F57="No interest",0,F57="Nice to have",1,F57="Useful",2,F57="Important",3,F57="Very important",4,F57="Critical",5,F57="Show stopper",6)</f>
        <v>6</v>
      </c>
      <c r="H57" s="149">
        <f t="shared" si="2"/>
        <v>2.0588235294117644E-3</v>
      </c>
      <c r="I57" s="150" t="s">
        <v>548</v>
      </c>
      <c r="J57" s="35" t="str" cm="1">
        <f t="array" ref="J57">_xlfn.TEXTJOIN(","&amp;CHAR(10),,TEXT(Table26142567891112[[#This Row],[12]:[22]],"0,00%"))</f>
        <v>0,00%,
0,00%,
0,00%,
0,00%,
0,00%</v>
      </c>
      <c r="K57" s="36"/>
      <c r="L57" s="27" t="e">
        <f>H57-(H57*((MATCH(Table26142567891112[[#This Row],[Evaluators Response (SELECT)]],Table26142567891112[[#This Row],[1]:[11]],0)-1)/(COUNTA(Table26142567891112[[#This Row],[1]:[11]])-COUNTBLANK(Table26142567891112[[#This Row],[1]:[11]])-1)))</f>
        <v>#N/A</v>
      </c>
      <c r="M57" s="28"/>
      <c r="N57" s="29" t="str" cm="1">
        <f t="array" ref="N57">IFERROR(INDEX(_xlfn.UNIQUE(TRIM(_xlfn.TEXTSPLIT(Table26142567891112[[#This Row],[Selection Options]:[Selection Options]],","))),,N$11),"")</f>
        <v>100%: Supported as delivered "out of the box"</v>
      </c>
      <c r="O57" s="29" t="str" cm="1">
        <f t="array" ref="O57">IFERROR(INDEX(_xlfn.UNIQUE(TRIM(_xlfn.TEXTSPLIT(Table26142567891112[[#This Row],[Selection Options]:[Selection Options]],","))),,O$11),"")</f>
        <v xml:space="preserve">
75%: Supported via modifications (config)</v>
      </c>
      <c r="P57" s="29" t="str" cm="1">
        <f t="array" ref="P57">IFERROR(INDEX(_xlfn.UNIQUE(TRIM(_xlfn.TEXTSPLIT(Table26142567891112[[#This Row],[Selection Options]:[Selection Options]],","))),,P$11),"")</f>
        <v xml:space="preserve">
50%: Supported via a third party solution</v>
      </c>
      <c r="Q57" s="29" t="str" cm="1">
        <f t="array" ref="Q57">IFERROR(INDEX(_xlfn.UNIQUE(TRIM(_xlfn.TEXTSPLIT(Table26142567891112[[#This Row],[Selection Options]:[Selection Options]],","))),,Q$11),"")</f>
        <v xml:space="preserve">
25%: Supported via customisation (source code changes)</v>
      </c>
      <c r="R57" s="29" t="str" cm="1">
        <f t="array" ref="R57">IFERROR(INDEX(_xlfn.UNIQUE(TRIM(_xlfn.TEXTSPLIT(Table26142567891112[[#This Row],[Selection Options]:[Selection Options]],","))),,R$11),"")</f>
        <v>0%: Not currently supported</v>
      </c>
      <c r="S57" s="29" t="str" cm="1">
        <f t="array" ref="S57">IFERROR(INDEX(_xlfn.UNIQUE(TRIM(_xlfn.TEXTSPLIT(Table26142567891112[[#This Row],[Selection Options]:[Selection Options]],","))),,S$11),"")</f>
        <v/>
      </c>
      <c r="T57" s="29" t="str" cm="1">
        <f t="array" ref="T57">IFERROR(INDEX(_xlfn.UNIQUE(TRIM(_xlfn.TEXTSPLIT(Table26142567891112[[#This Row],[Selection Options]:[Selection Options]],","))),,T$11),"")</f>
        <v/>
      </c>
      <c r="U57" s="29" t="str" cm="1">
        <f t="array" ref="U57">IFERROR(INDEX(_xlfn.UNIQUE(TRIM(_xlfn.TEXTSPLIT(Table26142567891112[[#This Row],[Selection Options]:[Selection Options]],","))),,U$11),"")</f>
        <v/>
      </c>
      <c r="V57" s="29" t="str" cm="1">
        <f t="array" ref="V57">IFERROR(INDEX(_xlfn.UNIQUE(TRIM(_xlfn.TEXTSPLIT(Table26142567891112[[#This Row],[Selection Options]:[Selection Options]],","))),,V$11),"")</f>
        <v/>
      </c>
      <c r="W57" s="29" t="str" cm="1">
        <f t="array" ref="W57">IFERROR(INDEX(_xlfn.UNIQUE(TRIM(_xlfn.TEXTSPLIT(Table26142567891112[[#This Row],[Selection Options]:[Selection Options]],","))),,W$11),"")</f>
        <v/>
      </c>
      <c r="X57" s="29" t="str" cm="1">
        <f t="array" ref="X57">IFERROR(INDEX(_xlfn.UNIQUE(TRIM(_xlfn.TEXTSPLIT(Table26142567891112[[#This Row],[Selection Options]:[Selection Options]],","))),,X$11),"")</f>
        <v/>
      </c>
      <c r="Y57" s="30" cm="1">
        <f t="array" ref="Y57">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7" s="30" cm="1">
        <f t="array" ref="Z57">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7" s="30" cm="1">
        <f t="array" ref="AA57">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7" s="30" cm="1">
        <f t="array" ref="AB57">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7" s="30" cm="1">
        <f t="array" ref="AC57">IF(Table26142567891112[[#This Row],[5]]="","",Table26142567891112[[#This Row],[Weight]:[Weight]]-(Table26142567891112[[#This Row],[Weight]:[Weight]]*((_xlfn.XMATCH(Table26142567891112[[#This Row],[5]],Table26142567891112[[#This Row],[1]:[11]],0))-1)/(COUNTA(Table26142567891112[[#This Row],[1]:[11]])-COUNTBLANK(Table26142567891112[[#This Row],[1]:[11]])-1)))</f>
        <v>0</v>
      </c>
      <c r="AD57" s="30" t="str" cm="1">
        <f t="array" ref="AD57">IF(Table26142567891112[[#This Row],[6]]="","",Table26142567891112[[#This Row],[Weight]:[Weight]]-(Table26142567891112[[#This Row],[Weight]:[Weight]]*((_xlfn.XMATCH(Table26142567891112[[#This Row],[6]],Table26142567891112[[#This Row],[1]:[11]],0))-1)/(COUNTA(Table26142567891112[[#This Row],[1]:[11]])-COUNTBLANK(Table26142567891112[[#This Row],[1]:[11]])-1)))</f>
        <v/>
      </c>
      <c r="AE57" s="30" t="str" cm="1">
        <f t="array" ref="AE57">IF(Table26142567891112[[#This Row],[7]]="","",Table26142567891112[[#This Row],[Weight]:[Weight]]-(Table26142567891112[[#This Row],[Weight]:[Weight]]*((_xlfn.XMATCH(Table26142567891112[[#This Row],[7]],Table26142567891112[[#This Row],[1]:[11]],0))-1)/(COUNTA(Table26142567891112[[#This Row],[1]:[11]])-COUNTBLANK(Table26142567891112[[#This Row],[1]:[11]])-1)))</f>
        <v/>
      </c>
      <c r="AF57" s="30" t="str" cm="1">
        <f t="array" ref="AF57">IF(Table26142567891112[[#This Row],[8]]="","",Table26142567891112[[#This Row],[Weight]:[Weight]]-(Table26142567891112[[#This Row],[Weight]:[Weight]]*((_xlfn.XMATCH(Table26142567891112[[#This Row],[8]],Table26142567891112[[#This Row],[1]:[11]],0))-1)/(COUNTA(Table26142567891112[[#This Row],[1]:[11]])-COUNTBLANK(Table26142567891112[[#This Row],[1]:[11]])-1)))</f>
        <v/>
      </c>
      <c r="AG57" s="30" t="str" cm="1">
        <f t="array" ref="AG57">IF(Table26142567891112[[#This Row],[9]]="","",Table26142567891112[[#This Row],[Weight]:[Weight]]-(Table26142567891112[[#This Row],[Weight]:[Weight]]*((_xlfn.XMATCH(Table26142567891112[[#This Row],[9]],Table26142567891112[[#This Row],[1]:[11]],0))-1)/(COUNTA(Table26142567891112[[#This Row],[1]:[11]])-COUNTBLANK(Table26142567891112[[#This Row],[1]:[11]])-1)))</f>
        <v/>
      </c>
      <c r="AH57" s="30" t="str" cm="1">
        <f t="array" ref="AH57">IF(Table26142567891112[[#This Row],[10]]="","",Table26142567891112[[#This Row],[Weight]:[Weight]]-(Table26142567891112[[#This Row],[Weight]:[Weight]]*((_xlfn.XMATCH(Table26142567891112[[#This Row],[10]],Table26142567891112[[#This Row],[1]:[11]],0))-1)/(COUNTA(Table26142567891112[[#This Row],[1]:[11]])-COUNTBLANK(Table26142567891112[[#This Row],[1]:[11]])-1)))</f>
        <v/>
      </c>
      <c r="AI57" s="30" t="str" cm="1">
        <f t="array" ref="AI57">IF(Table26142567891112[[#This Row],[11]]="","",Table26142567891112[[#This Row],[Weight]:[Weight]]-(Table26142567891112[[#This Row],[Weight]:[Weight]]*((_xlfn.XMATCH(Table26142567891112[[#This Row],[11]],Table26142567891112[[#This Row],[1]:[11]],0))-1)/(COUNTA(Table26142567891112[[#This Row],[1]:[11]])-COUNTBLANK(Table26142567891112[[#This Row],[1]:[11]])-1)))</f>
        <v/>
      </c>
    </row>
    <row r="58" spans="1:35" ht="108" x14ac:dyDescent="0.2">
      <c r="A58" s="20">
        <v>46</v>
      </c>
      <c r="B58" s="90" t="s">
        <v>600</v>
      </c>
      <c r="C58" s="119" t="s">
        <v>215</v>
      </c>
      <c r="D58" s="153"/>
      <c r="E58" s="153"/>
      <c r="F58" s="121" t="s">
        <v>60</v>
      </c>
      <c r="G58" s="148" cm="1">
        <f t="array" ref="G58">_xlfn.IFS(F58="","",F58="No interest",0,F58="Nice to have",1,F58="Useful",2,F58="Important",3,F58="Very important",4,F58="Critical",5,F58="Show stopper",6)</f>
        <v>6</v>
      </c>
      <c r="H58" s="149">
        <f t="shared" si="2"/>
        <v>2.0588235294117644E-3</v>
      </c>
      <c r="I58" s="150" t="s">
        <v>548</v>
      </c>
      <c r="J58" s="35" t="str" cm="1">
        <f t="array" ref="J58">_xlfn.TEXTJOIN(","&amp;CHAR(10),,TEXT(Table26142567891112[[#This Row],[12]:[22]],"0,00%"))</f>
        <v>0,00%,
0,00%,
0,00%,
0,00%,
0,00%</v>
      </c>
      <c r="K58" s="36"/>
      <c r="L58" s="27" t="e">
        <f>H58-(H58*((MATCH(Table26142567891112[[#This Row],[Evaluators Response (SELECT)]],Table26142567891112[[#This Row],[1]:[11]],0)-1)/(COUNTA(Table26142567891112[[#This Row],[1]:[11]])-COUNTBLANK(Table26142567891112[[#This Row],[1]:[11]])-1)))</f>
        <v>#N/A</v>
      </c>
      <c r="M58" s="28"/>
      <c r="N58" s="29" t="str" cm="1">
        <f t="array" ref="N58">IFERROR(INDEX(_xlfn.UNIQUE(TRIM(_xlfn.TEXTSPLIT(Table26142567891112[[#This Row],[Selection Options]:[Selection Options]],","))),,N$11),"")</f>
        <v>100%: Supported as delivered "out of the box"</v>
      </c>
      <c r="O58" s="29" t="str" cm="1">
        <f t="array" ref="O58">IFERROR(INDEX(_xlfn.UNIQUE(TRIM(_xlfn.TEXTSPLIT(Table26142567891112[[#This Row],[Selection Options]:[Selection Options]],","))),,O$11),"")</f>
        <v xml:space="preserve">
75%: Supported via modifications (config)</v>
      </c>
      <c r="P58" s="29" t="str" cm="1">
        <f t="array" ref="P58">IFERROR(INDEX(_xlfn.UNIQUE(TRIM(_xlfn.TEXTSPLIT(Table26142567891112[[#This Row],[Selection Options]:[Selection Options]],","))),,P$11),"")</f>
        <v xml:space="preserve">
50%: Supported via a third party solution</v>
      </c>
      <c r="Q58" s="29" t="str" cm="1">
        <f t="array" ref="Q58">IFERROR(INDEX(_xlfn.UNIQUE(TRIM(_xlfn.TEXTSPLIT(Table26142567891112[[#This Row],[Selection Options]:[Selection Options]],","))),,Q$11),"")</f>
        <v xml:space="preserve">
25%: Supported via customisation (source code changes)</v>
      </c>
      <c r="R58" s="29" t="str" cm="1">
        <f t="array" ref="R58">IFERROR(INDEX(_xlfn.UNIQUE(TRIM(_xlfn.TEXTSPLIT(Table26142567891112[[#This Row],[Selection Options]:[Selection Options]],","))),,R$11),"")</f>
        <v>0%: Not currently supported</v>
      </c>
      <c r="S58" s="29" t="str" cm="1">
        <f t="array" ref="S58">IFERROR(INDEX(_xlfn.UNIQUE(TRIM(_xlfn.TEXTSPLIT(Table26142567891112[[#This Row],[Selection Options]:[Selection Options]],","))),,S$11),"")</f>
        <v/>
      </c>
      <c r="T58" s="29" t="str" cm="1">
        <f t="array" ref="T58">IFERROR(INDEX(_xlfn.UNIQUE(TRIM(_xlfn.TEXTSPLIT(Table26142567891112[[#This Row],[Selection Options]:[Selection Options]],","))),,T$11),"")</f>
        <v/>
      </c>
      <c r="U58" s="29" t="str" cm="1">
        <f t="array" ref="U58">IFERROR(INDEX(_xlfn.UNIQUE(TRIM(_xlfn.TEXTSPLIT(Table26142567891112[[#This Row],[Selection Options]:[Selection Options]],","))),,U$11),"")</f>
        <v/>
      </c>
      <c r="V58" s="29" t="str" cm="1">
        <f t="array" ref="V58">IFERROR(INDEX(_xlfn.UNIQUE(TRIM(_xlfn.TEXTSPLIT(Table26142567891112[[#This Row],[Selection Options]:[Selection Options]],","))),,V$11),"")</f>
        <v/>
      </c>
      <c r="W58" s="29" t="str" cm="1">
        <f t="array" ref="W58">IFERROR(INDEX(_xlfn.UNIQUE(TRIM(_xlfn.TEXTSPLIT(Table26142567891112[[#This Row],[Selection Options]:[Selection Options]],","))),,W$11),"")</f>
        <v/>
      </c>
      <c r="X58" s="29" t="str" cm="1">
        <f t="array" ref="X58">IFERROR(INDEX(_xlfn.UNIQUE(TRIM(_xlfn.TEXTSPLIT(Table26142567891112[[#This Row],[Selection Options]:[Selection Options]],","))),,X$11),"")</f>
        <v/>
      </c>
      <c r="Y58" s="30" cm="1">
        <f t="array" ref="Y58">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8" s="30" cm="1">
        <f t="array" ref="Z58">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8" s="30" cm="1">
        <f t="array" ref="AA58">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8" s="30" cm="1">
        <f t="array" ref="AB58">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8" s="30" cm="1">
        <f t="array" ref="AC58">IF(Table26142567891112[[#This Row],[5]]="","",Table26142567891112[[#This Row],[Weight]:[Weight]]-(Table26142567891112[[#This Row],[Weight]:[Weight]]*((_xlfn.XMATCH(Table26142567891112[[#This Row],[5]],Table26142567891112[[#This Row],[1]:[11]],0))-1)/(COUNTA(Table26142567891112[[#This Row],[1]:[11]])-COUNTBLANK(Table26142567891112[[#This Row],[1]:[11]])-1)))</f>
        <v>0</v>
      </c>
      <c r="AD58" s="30" t="str" cm="1">
        <f t="array" ref="AD58">IF(Table26142567891112[[#This Row],[6]]="","",Table26142567891112[[#This Row],[Weight]:[Weight]]-(Table26142567891112[[#This Row],[Weight]:[Weight]]*((_xlfn.XMATCH(Table26142567891112[[#This Row],[6]],Table26142567891112[[#This Row],[1]:[11]],0))-1)/(COUNTA(Table26142567891112[[#This Row],[1]:[11]])-COUNTBLANK(Table26142567891112[[#This Row],[1]:[11]])-1)))</f>
        <v/>
      </c>
      <c r="AE58" s="30" t="str" cm="1">
        <f t="array" ref="AE58">IF(Table26142567891112[[#This Row],[7]]="","",Table26142567891112[[#This Row],[Weight]:[Weight]]-(Table26142567891112[[#This Row],[Weight]:[Weight]]*((_xlfn.XMATCH(Table26142567891112[[#This Row],[7]],Table26142567891112[[#This Row],[1]:[11]],0))-1)/(COUNTA(Table26142567891112[[#This Row],[1]:[11]])-COUNTBLANK(Table26142567891112[[#This Row],[1]:[11]])-1)))</f>
        <v/>
      </c>
      <c r="AF58" s="30" t="str" cm="1">
        <f t="array" ref="AF58">IF(Table26142567891112[[#This Row],[8]]="","",Table26142567891112[[#This Row],[Weight]:[Weight]]-(Table26142567891112[[#This Row],[Weight]:[Weight]]*((_xlfn.XMATCH(Table26142567891112[[#This Row],[8]],Table26142567891112[[#This Row],[1]:[11]],0))-1)/(COUNTA(Table26142567891112[[#This Row],[1]:[11]])-COUNTBLANK(Table26142567891112[[#This Row],[1]:[11]])-1)))</f>
        <v/>
      </c>
      <c r="AG58" s="30" t="str" cm="1">
        <f t="array" ref="AG58">IF(Table26142567891112[[#This Row],[9]]="","",Table26142567891112[[#This Row],[Weight]:[Weight]]-(Table26142567891112[[#This Row],[Weight]:[Weight]]*((_xlfn.XMATCH(Table26142567891112[[#This Row],[9]],Table26142567891112[[#This Row],[1]:[11]],0))-1)/(COUNTA(Table26142567891112[[#This Row],[1]:[11]])-COUNTBLANK(Table26142567891112[[#This Row],[1]:[11]])-1)))</f>
        <v/>
      </c>
      <c r="AH58" s="30" t="str" cm="1">
        <f t="array" ref="AH58">IF(Table26142567891112[[#This Row],[10]]="","",Table26142567891112[[#This Row],[Weight]:[Weight]]-(Table26142567891112[[#This Row],[Weight]:[Weight]]*((_xlfn.XMATCH(Table26142567891112[[#This Row],[10]],Table26142567891112[[#This Row],[1]:[11]],0))-1)/(COUNTA(Table26142567891112[[#This Row],[1]:[11]])-COUNTBLANK(Table26142567891112[[#This Row],[1]:[11]])-1)))</f>
        <v/>
      </c>
      <c r="AI58" s="30" t="str" cm="1">
        <f t="array" ref="AI58">IF(Table26142567891112[[#This Row],[11]]="","",Table26142567891112[[#This Row],[Weight]:[Weight]]-(Table26142567891112[[#This Row],[Weight]:[Weight]]*((_xlfn.XMATCH(Table26142567891112[[#This Row],[11]],Table26142567891112[[#This Row],[1]:[11]],0))-1)/(COUNTA(Table26142567891112[[#This Row],[1]:[11]])-COUNTBLANK(Table26142567891112[[#This Row],[1]:[11]])-1)))</f>
        <v/>
      </c>
    </row>
    <row r="59" spans="1:35" ht="108" x14ac:dyDescent="0.2">
      <c r="A59" s="20">
        <v>47</v>
      </c>
      <c r="B59" s="90" t="s">
        <v>601</v>
      </c>
      <c r="C59" s="119" t="s">
        <v>215</v>
      </c>
      <c r="D59" s="153"/>
      <c r="E59" s="153"/>
      <c r="F59" s="121" t="s">
        <v>60</v>
      </c>
      <c r="G59" s="148" cm="1">
        <f t="array" ref="G59">_xlfn.IFS(F59="","",F59="No interest",0,F59="Nice to have",1,F59="Useful",2,F59="Important",3,F59="Very important",4,F59="Critical",5,F59="Show stopper",6)</f>
        <v>6</v>
      </c>
      <c r="H59" s="149">
        <f t="shared" si="2"/>
        <v>2.0588235294117644E-3</v>
      </c>
      <c r="I59" s="150" t="s">
        <v>548</v>
      </c>
      <c r="J59" s="35" t="str" cm="1">
        <f t="array" ref="J59">_xlfn.TEXTJOIN(","&amp;CHAR(10),,TEXT(Table26142567891112[[#This Row],[12]:[22]],"0,00%"))</f>
        <v>0,00%,
0,00%,
0,00%,
0,00%,
0,00%</v>
      </c>
      <c r="K59" s="36"/>
      <c r="L59" s="27" t="e">
        <f>H59-(H59*((MATCH(Table26142567891112[[#This Row],[Evaluators Response (SELECT)]],Table26142567891112[[#This Row],[1]:[11]],0)-1)/(COUNTA(Table26142567891112[[#This Row],[1]:[11]])-COUNTBLANK(Table26142567891112[[#This Row],[1]:[11]])-1)))</f>
        <v>#N/A</v>
      </c>
      <c r="M59" s="28"/>
      <c r="N59" s="29" t="str" cm="1">
        <f t="array" ref="N59">IFERROR(INDEX(_xlfn.UNIQUE(TRIM(_xlfn.TEXTSPLIT(Table26142567891112[[#This Row],[Selection Options]:[Selection Options]],","))),,N$11),"")</f>
        <v>100%: Supported as delivered "out of the box"</v>
      </c>
      <c r="O59" s="29" t="str" cm="1">
        <f t="array" ref="O59">IFERROR(INDEX(_xlfn.UNIQUE(TRIM(_xlfn.TEXTSPLIT(Table26142567891112[[#This Row],[Selection Options]:[Selection Options]],","))),,O$11),"")</f>
        <v xml:space="preserve">
75%: Supported via modifications (config)</v>
      </c>
      <c r="P59" s="29" t="str" cm="1">
        <f t="array" ref="P59">IFERROR(INDEX(_xlfn.UNIQUE(TRIM(_xlfn.TEXTSPLIT(Table26142567891112[[#This Row],[Selection Options]:[Selection Options]],","))),,P$11),"")</f>
        <v xml:space="preserve">
50%: Supported via a third party solution</v>
      </c>
      <c r="Q59" s="29" t="str" cm="1">
        <f t="array" ref="Q59">IFERROR(INDEX(_xlfn.UNIQUE(TRIM(_xlfn.TEXTSPLIT(Table26142567891112[[#This Row],[Selection Options]:[Selection Options]],","))),,Q$11),"")</f>
        <v xml:space="preserve">
25%: Supported via customisation (source code changes)</v>
      </c>
      <c r="R59" s="29" t="str" cm="1">
        <f t="array" ref="R59">IFERROR(INDEX(_xlfn.UNIQUE(TRIM(_xlfn.TEXTSPLIT(Table26142567891112[[#This Row],[Selection Options]:[Selection Options]],","))),,R$11),"")</f>
        <v>0%: Not currently supported</v>
      </c>
      <c r="S59" s="29" t="str" cm="1">
        <f t="array" ref="S59">IFERROR(INDEX(_xlfn.UNIQUE(TRIM(_xlfn.TEXTSPLIT(Table26142567891112[[#This Row],[Selection Options]:[Selection Options]],","))),,S$11),"")</f>
        <v/>
      </c>
      <c r="T59" s="29" t="str" cm="1">
        <f t="array" ref="T59">IFERROR(INDEX(_xlfn.UNIQUE(TRIM(_xlfn.TEXTSPLIT(Table26142567891112[[#This Row],[Selection Options]:[Selection Options]],","))),,T$11),"")</f>
        <v/>
      </c>
      <c r="U59" s="29" t="str" cm="1">
        <f t="array" ref="U59">IFERROR(INDEX(_xlfn.UNIQUE(TRIM(_xlfn.TEXTSPLIT(Table26142567891112[[#This Row],[Selection Options]:[Selection Options]],","))),,U$11),"")</f>
        <v/>
      </c>
      <c r="V59" s="29" t="str" cm="1">
        <f t="array" ref="V59">IFERROR(INDEX(_xlfn.UNIQUE(TRIM(_xlfn.TEXTSPLIT(Table26142567891112[[#This Row],[Selection Options]:[Selection Options]],","))),,V$11),"")</f>
        <v/>
      </c>
      <c r="W59" s="29" t="str" cm="1">
        <f t="array" ref="W59">IFERROR(INDEX(_xlfn.UNIQUE(TRIM(_xlfn.TEXTSPLIT(Table26142567891112[[#This Row],[Selection Options]:[Selection Options]],","))),,W$11),"")</f>
        <v/>
      </c>
      <c r="X59" s="29" t="str" cm="1">
        <f t="array" ref="X59">IFERROR(INDEX(_xlfn.UNIQUE(TRIM(_xlfn.TEXTSPLIT(Table26142567891112[[#This Row],[Selection Options]:[Selection Options]],","))),,X$11),"")</f>
        <v/>
      </c>
      <c r="Y59" s="30" cm="1">
        <f t="array" ref="Y59">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59" s="30" cm="1">
        <f t="array" ref="Z59">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59" s="30" cm="1">
        <f t="array" ref="AA59">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59" s="30" cm="1">
        <f t="array" ref="AB59">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59" s="30" cm="1">
        <f t="array" ref="AC59">IF(Table26142567891112[[#This Row],[5]]="","",Table26142567891112[[#This Row],[Weight]:[Weight]]-(Table26142567891112[[#This Row],[Weight]:[Weight]]*((_xlfn.XMATCH(Table26142567891112[[#This Row],[5]],Table26142567891112[[#This Row],[1]:[11]],0))-1)/(COUNTA(Table26142567891112[[#This Row],[1]:[11]])-COUNTBLANK(Table26142567891112[[#This Row],[1]:[11]])-1)))</f>
        <v>0</v>
      </c>
      <c r="AD59" s="30" t="str" cm="1">
        <f t="array" ref="AD59">IF(Table26142567891112[[#This Row],[6]]="","",Table26142567891112[[#This Row],[Weight]:[Weight]]-(Table26142567891112[[#This Row],[Weight]:[Weight]]*((_xlfn.XMATCH(Table26142567891112[[#This Row],[6]],Table26142567891112[[#This Row],[1]:[11]],0))-1)/(COUNTA(Table26142567891112[[#This Row],[1]:[11]])-COUNTBLANK(Table26142567891112[[#This Row],[1]:[11]])-1)))</f>
        <v/>
      </c>
      <c r="AE59" s="30" t="str" cm="1">
        <f t="array" ref="AE59">IF(Table26142567891112[[#This Row],[7]]="","",Table26142567891112[[#This Row],[Weight]:[Weight]]-(Table26142567891112[[#This Row],[Weight]:[Weight]]*((_xlfn.XMATCH(Table26142567891112[[#This Row],[7]],Table26142567891112[[#This Row],[1]:[11]],0))-1)/(COUNTA(Table26142567891112[[#This Row],[1]:[11]])-COUNTBLANK(Table26142567891112[[#This Row],[1]:[11]])-1)))</f>
        <v/>
      </c>
      <c r="AF59" s="30" t="str" cm="1">
        <f t="array" ref="AF59">IF(Table26142567891112[[#This Row],[8]]="","",Table26142567891112[[#This Row],[Weight]:[Weight]]-(Table26142567891112[[#This Row],[Weight]:[Weight]]*((_xlfn.XMATCH(Table26142567891112[[#This Row],[8]],Table26142567891112[[#This Row],[1]:[11]],0))-1)/(COUNTA(Table26142567891112[[#This Row],[1]:[11]])-COUNTBLANK(Table26142567891112[[#This Row],[1]:[11]])-1)))</f>
        <v/>
      </c>
      <c r="AG59" s="30" t="str" cm="1">
        <f t="array" ref="AG59">IF(Table26142567891112[[#This Row],[9]]="","",Table26142567891112[[#This Row],[Weight]:[Weight]]-(Table26142567891112[[#This Row],[Weight]:[Weight]]*((_xlfn.XMATCH(Table26142567891112[[#This Row],[9]],Table26142567891112[[#This Row],[1]:[11]],0))-1)/(COUNTA(Table26142567891112[[#This Row],[1]:[11]])-COUNTBLANK(Table26142567891112[[#This Row],[1]:[11]])-1)))</f>
        <v/>
      </c>
      <c r="AH59" s="30" t="str" cm="1">
        <f t="array" ref="AH59">IF(Table26142567891112[[#This Row],[10]]="","",Table26142567891112[[#This Row],[Weight]:[Weight]]-(Table26142567891112[[#This Row],[Weight]:[Weight]]*((_xlfn.XMATCH(Table26142567891112[[#This Row],[10]],Table26142567891112[[#This Row],[1]:[11]],0))-1)/(COUNTA(Table26142567891112[[#This Row],[1]:[11]])-COUNTBLANK(Table26142567891112[[#This Row],[1]:[11]])-1)))</f>
        <v/>
      </c>
      <c r="AI59" s="30" t="str" cm="1">
        <f t="array" ref="AI59">IF(Table26142567891112[[#This Row],[11]]="","",Table26142567891112[[#This Row],[Weight]:[Weight]]-(Table26142567891112[[#This Row],[Weight]:[Weight]]*((_xlfn.XMATCH(Table26142567891112[[#This Row],[11]],Table26142567891112[[#This Row],[1]:[11]],0))-1)/(COUNTA(Table26142567891112[[#This Row],[1]:[11]])-COUNTBLANK(Table26142567891112[[#This Row],[1]:[11]])-1)))</f>
        <v/>
      </c>
    </row>
    <row r="60" spans="1:35" ht="108" x14ac:dyDescent="0.2">
      <c r="A60" s="206">
        <v>48</v>
      </c>
      <c r="B60" s="226" t="s">
        <v>602</v>
      </c>
      <c r="C60" s="208" t="s">
        <v>215</v>
      </c>
      <c r="D60" s="240"/>
      <c r="E60" s="240"/>
      <c r="F60" s="219" t="s">
        <v>60</v>
      </c>
      <c r="G60" s="211" cm="1">
        <f t="array" ref="G60">_xlfn.IFS(F60="","",F60="No interest",0,F60="Nice to have",1,F60="Useful",2,F60="Important",3,F60="Very important",4,F60="Critical",5,F60="Show stopper",6)</f>
        <v>6</v>
      </c>
      <c r="H60" s="212">
        <f t="shared" si="2"/>
        <v>2.0588235294117644E-3</v>
      </c>
      <c r="I60" s="213" t="s">
        <v>548</v>
      </c>
      <c r="J60" s="222" t="str" cm="1">
        <f t="array" ref="J60">_xlfn.TEXTJOIN(","&amp;CHAR(10),,TEXT(Table26142567891112[[#This Row],[12]:[22]],"0,00%"))</f>
        <v>0,00%,
0,00%,
0,00%,
0,00%,
0,00%</v>
      </c>
      <c r="K60" s="223"/>
      <c r="L60" s="216" t="e">
        <f>H60-(H60*((MATCH(Table26142567891112[[#This Row],[Evaluators Response (SELECT)]],Table26142567891112[[#This Row],[1]:[11]],0)-1)/(COUNTA(Table26142567891112[[#This Row],[1]:[11]])-COUNTBLANK(Table26142567891112[[#This Row],[1]:[11]])-1)))</f>
        <v>#N/A</v>
      </c>
      <c r="M60" s="217"/>
      <c r="N60" s="29" t="str" cm="1">
        <f t="array" ref="N60">IFERROR(INDEX(_xlfn.UNIQUE(TRIM(_xlfn.TEXTSPLIT(Table26142567891112[[#This Row],[Selection Options]:[Selection Options]],","))),,N$11),"")</f>
        <v>100%: Supported as delivered "out of the box"</v>
      </c>
      <c r="O60" s="29" t="str" cm="1">
        <f t="array" ref="O60">IFERROR(INDEX(_xlfn.UNIQUE(TRIM(_xlfn.TEXTSPLIT(Table26142567891112[[#This Row],[Selection Options]:[Selection Options]],","))),,O$11),"")</f>
        <v xml:space="preserve">
75%: Supported via modifications (config)</v>
      </c>
      <c r="P60" s="29" t="str" cm="1">
        <f t="array" ref="P60">IFERROR(INDEX(_xlfn.UNIQUE(TRIM(_xlfn.TEXTSPLIT(Table26142567891112[[#This Row],[Selection Options]:[Selection Options]],","))),,P$11),"")</f>
        <v xml:space="preserve">
50%: Supported via a third party solution</v>
      </c>
      <c r="Q60" s="29" t="str" cm="1">
        <f t="array" ref="Q60">IFERROR(INDEX(_xlfn.UNIQUE(TRIM(_xlfn.TEXTSPLIT(Table26142567891112[[#This Row],[Selection Options]:[Selection Options]],","))),,Q$11),"")</f>
        <v xml:space="preserve">
25%: Supported via customisation (source code changes)</v>
      </c>
      <c r="R60" s="29" t="str" cm="1">
        <f t="array" ref="R60">IFERROR(INDEX(_xlfn.UNIQUE(TRIM(_xlfn.TEXTSPLIT(Table26142567891112[[#This Row],[Selection Options]:[Selection Options]],","))),,R$11),"")</f>
        <v>0%: Not currently supported</v>
      </c>
      <c r="S60" s="29" t="str" cm="1">
        <f t="array" ref="S60">IFERROR(INDEX(_xlfn.UNIQUE(TRIM(_xlfn.TEXTSPLIT(Table26142567891112[[#This Row],[Selection Options]:[Selection Options]],","))),,S$11),"")</f>
        <v/>
      </c>
      <c r="T60" s="29" t="str" cm="1">
        <f t="array" ref="T60">IFERROR(INDEX(_xlfn.UNIQUE(TRIM(_xlfn.TEXTSPLIT(Table26142567891112[[#This Row],[Selection Options]:[Selection Options]],","))),,T$11),"")</f>
        <v/>
      </c>
      <c r="U60" s="29" t="str" cm="1">
        <f t="array" ref="U60">IFERROR(INDEX(_xlfn.UNIQUE(TRIM(_xlfn.TEXTSPLIT(Table26142567891112[[#This Row],[Selection Options]:[Selection Options]],","))),,U$11),"")</f>
        <v/>
      </c>
      <c r="V60" s="29" t="str" cm="1">
        <f t="array" ref="V60">IFERROR(INDEX(_xlfn.UNIQUE(TRIM(_xlfn.TEXTSPLIT(Table26142567891112[[#This Row],[Selection Options]:[Selection Options]],","))),,V$11),"")</f>
        <v/>
      </c>
      <c r="W60" s="29" t="str" cm="1">
        <f t="array" ref="W60">IFERROR(INDEX(_xlfn.UNIQUE(TRIM(_xlfn.TEXTSPLIT(Table26142567891112[[#This Row],[Selection Options]:[Selection Options]],","))),,W$11),"")</f>
        <v/>
      </c>
      <c r="X60" s="29" t="str" cm="1">
        <f t="array" ref="X60">IFERROR(INDEX(_xlfn.UNIQUE(TRIM(_xlfn.TEXTSPLIT(Table26142567891112[[#This Row],[Selection Options]:[Selection Options]],","))),,X$11),"")</f>
        <v/>
      </c>
      <c r="Y60" s="30" cm="1">
        <f t="array" ref="Y60">IF(Table26142567891112[[#This Row],[1]]="","",Table26142567891112[[#This Row],[Weight]:[Weight]]-(Table26142567891112[[#This Row],[Weight]:[Weight]]*((_xlfn.XMATCH(Table26142567891112[[#This Row],[1]],Table26142567891112[[#This Row],[1]:[11]],0))-1)/(COUNTA(Table26142567891112[[#This Row],[1]:[11]])-COUNTBLANK(Table26142567891112[[#This Row],[1]:[11]])-1)))</f>
        <v>2.0588235294117644E-3</v>
      </c>
      <c r="Z60" s="30" cm="1">
        <f t="array" ref="Z60">IF(Table26142567891112[[#This Row],[2]]="","",Table26142567891112[[#This Row],[Weight]:[Weight]]-(Table26142567891112[[#This Row],[Weight]:[Weight]]*((_xlfn.XMATCH(Table26142567891112[[#This Row],[2]],Table26142567891112[[#This Row],[1]:[11]],0))-1)/(COUNTA(Table26142567891112[[#This Row],[1]:[11]])-COUNTBLANK(Table26142567891112[[#This Row],[1]:[11]])-1)))</f>
        <v>1.5441176470588234E-3</v>
      </c>
      <c r="AA60" s="30" cm="1">
        <f t="array" ref="AA60">IF(Table26142567891112[[#This Row],[3]]="","",Table26142567891112[[#This Row],[Weight]:[Weight]]-(Table26142567891112[[#This Row],[Weight]:[Weight]]*((_xlfn.XMATCH(Table26142567891112[[#This Row],[3]],Table26142567891112[[#This Row],[1]:[11]],0))-1)/(COUNTA(Table26142567891112[[#This Row],[1]:[11]])-COUNTBLANK(Table26142567891112[[#This Row],[1]:[11]])-1)))</f>
        <v>1.0294117647058822E-3</v>
      </c>
      <c r="AB60" s="30" cm="1">
        <f t="array" ref="AB60">IF(Table26142567891112[[#This Row],[4]]="","",Table26142567891112[[#This Row],[Weight]:[Weight]]-(Table26142567891112[[#This Row],[Weight]:[Weight]]*((_xlfn.XMATCH(Table26142567891112[[#This Row],[4]],Table26142567891112[[#This Row],[1]:[11]],0))-1)/(COUNTA(Table26142567891112[[#This Row],[1]:[11]])-COUNTBLANK(Table26142567891112[[#This Row],[1]:[11]])-1)))</f>
        <v>5.14705882352941E-4</v>
      </c>
      <c r="AC60" s="30" cm="1">
        <f t="array" ref="AC60">IF(Table26142567891112[[#This Row],[5]]="","",Table26142567891112[[#This Row],[Weight]:[Weight]]-(Table26142567891112[[#This Row],[Weight]:[Weight]]*((_xlfn.XMATCH(Table26142567891112[[#This Row],[5]],Table26142567891112[[#This Row],[1]:[11]],0))-1)/(COUNTA(Table26142567891112[[#This Row],[1]:[11]])-COUNTBLANK(Table26142567891112[[#This Row],[1]:[11]])-1)))</f>
        <v>0</v>
      </c>
      <c r="AD60" s="30" t="str" cm="1">
        <f t="array" ref="AD60">IF(Table26142567891112[[#This Row],[6]]="","",Table26142567891112[[#This Row],[Weight]:[Weight]]-(Table26142567891112[[#This Row],[Weight]:[Weight]]*((_xlfn.XMATCH(Table26142567891112[[#This Row],[6]],Table26142567891112[[#This Row],[1]:[11]],0))-1)/(COUNTA(Table26142567891112[[#This Row],[1]:[11]])-COUNTBLANK(Table26142567891112[[#This Row],[1]:[11]])-1)))</f>
        <v/>
      </c>
      <c r="AE60" s="30" t="str" cm="1">
        <f t="array" ref="AE60">IF(Table26142567891112[[#This Row],[7]]="","",Table26142567891112[[#This Row],[Weight]:[Weight]]-(Table26142567891112[[#This Row],[Weight]:[Weight]]*((_xlfn.XMATCH(Table26142567891112[[#This Row],[7]],Table26142567891112[[#This Row],[1]:[11]],0))-1)/(COUNTA(Table26142567891112[[#This Row],[1]:[11]])-COUNTBLANK(Table26142567891112[[#This Row],[1]:[11]])-1)))</f>
        <v/>
      </c>
      <c r="AF60" s="30" t="str" cm="1">
        <f t="array" ref="AF60">IF(Table26142567891112[[#This Row],[8]]="","",Table26142567891112[[#This Row],[Weight]:[Weight]]-(Table26142567891112[[#This Row],[Weight]:[Weight]]*((_xlfn.XMATCH(Table26142567891112[[#This Row],[8]],Table26142567891112[[#This Row],[1]:[11]],0))-1)/(COUNTA(Table26142567891112[[#This Row],[1]:[11]])-COUNTBLANK(Table26142567891112[[#This Row],[1]:[11]])-1)))</f>
        <v/>
      </c>
      <c r="AG60" s="30" t="str" cm="1">
        <f t="array" ref="AG60">IF(Table26142567891112[[#This Row],[9]]="","",Table26142567891112[[#This Row],[Weight]:[Weight]]-(Table26142567891112[[#This Row],[Weight]:[Weight]]*((_xlfn.XMATCH(Table26142567891112[[#This Row],[9]],Table26142567891112[[#This Row],[1]:[11]],0))-1)/(COUNTA(Table26142567891112[[#This Row],[1]:[11]])-COUNTBLANK(Table26142567891112[[#This Row],[1]:[11]])-1)))</f>
        <v/>
      </c>
      <c r="AH60" s="30" t="str" cm="1">
        <f t="array" ref="AH60">IF(Table26142567891112[[#This Row],[10]]="","",Table26142567891112[[#This Row],[Weight]:[Weight]]-(Table26142567891112[[#This Row],[Weight]:[Weight]]*((_xlfn.XMATCH(Table26142567891112[[#This Row],[10]],Table26142567891112[[#This Row],[1]:[11]],0))-1)/(COUNTA(Table26142567891112[[#This Row],[1]:[11]])-COUNTBLANK(Table26142567891112[[#This Row],[1]:[11]])-1)))</f>
        <v/>
      </c>
      <c r="AI60" s="30" t="str" cm="1">
        <f t="array" ref="AI60">IF(Table26142567891112[[#This Row],[11]]="","",Table26142567891112[[#This Row],[Weight]:[Weight]]-(Table26142567891112[[#This Row],[Weight]:[Weight]]*((_xlfn.XMATCH(Table26142567891112[[#This Row],[11]],Table26142567891112[[#This Row],[1]:[11]],0))-1)/(COUNTA(Table26142567891112[[#This Row],[1]:[11]])-COUNTBLANK(Table26142567891112[[#This Row],[1]:[11]])-1)))</f>
        <v/>
      </c>
    </row>
  </sheetData>
  <sheetProtection insertRows="0" insertHyperlinks="0" deleteRows="0" autoFilter="0"/>
  <mergeCells count="4">
    <mergeCell ref="E2:F3"/>
    <mergeCell ref="A10:A11"/>
    <mergeCell ref="B10:C11"/>
    <mergeCell ref="D10:E11"/>
  </mergeCells>
  <conditionalFormatting sqref="K13:K60">
    <cfRule type="expression" dxfId="245" priority="1">
      <formula>COUNTIF(N13:X13,K13)&lt;&gt;1</formula>
    </cfRule>
  </conditionalFormatting>
  <dataValidations count="4">
    <dataValidation type="list" allowBlank="1" showInputMessage="1" showErrorMessage="1" sqref="H13:H60" xr:uid="{2854E77B-F868-489A-87E1-FB071A86AEAF}">
      <formula1>N13:R13</formula1>
    </dataValidation>
    <dataValidation type="list" allowBlank="1" showInputMessage="1" showErrorMessage="1" sqref="K13:K60" xr:uid="{83281923-1A8C-4AAC-A6D2-D5B156660F44}">
      <formula1>$N13:$X13</formula1>
    </dataValidation>
    <dataValidation type="list" allowBlank="1" showInputMessage="1" showErrorMessage="1" sqref="M14" xr:uid="{A8A5D7BA-59BE-4156-ACEA-9F0E816AD58D}">
      <formula1>_xlfn.UNIQUE(TRIM(_xlfn.TEXTSPLIT(#REF!,",")))</formula1>
    </dataValidation>
    <dataValidation type="list" allowBlank="1" showInputMessage="1" showErrorMessage="1" sqref="F13:F60" xr:uid="{A85B4324-0027-4636-B3DE-AF8E1A88B370}">
      <formula1>"No interest,Nice to have,Useful,Important,Very important,Critical,Show stopper"</formula1>
    </dataValidation>
  </dataValidations>
  <pageMargins left="0.7" right="0.7" top="0.75" bottom="0.75" header="0.3" footer="0.3"/>
  <pageSetup paperSize="9" scale="31" fitToHeight="0" orientation="landscape" r:id="rId1"/>
  <drawing r:id="rId2"/>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57CF8-7374-4510-A0CB-1E886AF8E132}">
  <sheetPr>
    <tabColor rgb="FF92D050"/>
    <pageSetUpPr fitToPage="1"/>
  </sheetPr>
  <dimension ref="A2:AI48"/>
  <sheetViews>
    <sheetView zoomScale="80" zoomScaleNormal="100" workbookViewId="0">
      <pane xSplit="1" ySplit="11" topLeftCell="B12" activePane="bottomRight" state="frozen"/>
      <selection pane="topRight" activeCell="D7" sqref="D7"/>
      <selection pane="bottomLeft" activeCell="D7" sqref="D7"/>
      <selection pane="bottomRight" activeCell="M1" sqref="M1:AK1048576"/>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1.28515625" style="6" customWidth="1"/>
    <col min="9" max="9" width="25.710937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Summary'!C23</f>
        <v>8.7499999999999994E-2</v>
      </c>
      <c r="G11" s="43">
        <f>SUM(Table2614256789111213[Priority])</f>
        <v>189</v>
      </c>
      <c r="H11" s="8">
        <f>SUM(Table2614256789111213[Weight])</f>
        <v>8.7499999999999953E-2</v>
      </c>
      <c r="I11" s="7"/>
      <c r="J11" s="7"/>
      <c r="K11" s="9" t="s">
        <v>17</v>
      </c>
      <c r="L11" s="8" t="e">
        <f>SUM(Table2614256789111213[Score])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80" x14ac:dyDescent="0.2">
      <c r="A13" s="20">
        <v>1</v>
      </c>
      <c r="B13" s="21" t="s">
        <v>603</v>
      </c>
      <c r="C13" s="21" t="s">
        <v>604</v>
      </c>
      <c r="D13" s="21"/>
      <c r="E13" s="21" t="s">
        <v>55</v>
      </c>
      <c r="F13" s="87" t="s">
        <v>60</v>
      </c>
      <c r="G13" s="155" cm="1">
        <f t="array" ref="G13">_xlfn.IFS(F13="","",F13="No interest",0,F13="Nice to have",1,F13="Useful",2,F13="Important",3,F13="Very important",4,F13="Critical",5,F13="Show stopper",6)</f>
        <v>6</v>
      </c>
      <c r="H13" s="156">
        <f t="shared" ref="H13:H16" si="0">(G13/$G$11)*$F$11</f>
        <v>2.7777777777777775E-3</v>
      </c>
      <c r="I13" s="157" t="s">
        <v>605</v>
      </c>
      <c r="J13" s="25" t="str" cm="1">
        <f t="array" ref="J13">_xlfn.TEXTJOIN(","&amp;CHAR(10),,TEXT(Table2614256789111213[[#This Row],[12]:[22]],"0,00%"))</f>
        <v>0,00%,
0,00%,
0,00%</v>
      </c>
      <c r="K13" s="26"/>
      <c r="L13" s="27" t="e">
        <f>H13-(H13*((MATCH(Table2614256789111213[[#This Row],[Evaluators Response (SELECT)]],Table2614256789111213[[#This Row],[1]:[11]],0)-1)/(COUNTA(Table2614256789111213[[#This Row],[1]:[11]])-COUNTBLANK(Table2614256789111213[[#This Row],[1]:[11]])-1)))</f>
        <v>#N/A</v>
      </c>
      <c r="M13" s="28"/>
      <c r="N13" s="29" t="str" cm="1">
        <f t="array" ref="N13">IFERROR(INDEX(_xlfn.UNIQUE(TRIM(_xlfn.TEXTSPLIT(Table2614256789111213[[#This Row],[Selection Options]:[Selection Options]],","))),,N$11),"")</f>
        <v>100%: Entirely consumption-based: flexible volume based on usage</v>
      </c>
      <c r="O13" s="29" t="str" cm="1">
        <f t="array" ref="O13">IFERROR(INDEX(_xlfn.UNIQUE(TRIM(_xlfn.TEXTSPLIT(Table2614256789111213[[#This Row],[Selection Options]:[Selection Options]],","))),,O$11),"")</f>
        <v xml:space="preserve">
50%: Hybrid: fixed baseline volume for a set period with the ability to flex up and down from this baseline</v>
      </c>
      <c r="P13" s="29" t="str" cm="1">
        <f t="array" ref="P13">IFERROR(INDEX(_xlfn.UNIQUE(TRIM(_xlfn.TEXTSPLIT(Table2614256789111213[[#This Row],[Selection Options]:[Selection Options]],","))),,P$11),"")</f>
        <v xml:space="preserve">
0%: Upfront commitment: fixed license volume with no downward elasticity</v>
      </c>
      <c r="Q13" s="29" t="str" cm="1">
        <f t="array" ref="Q13">IFERROR(INDEX(_xlfn.UNIQUE(TRIM(_xlfn.TEXTSPLIT(Table2614256789111213[[#This Row],[Selection Options]:[Selection Options]],","))),,Q$11),"")</f>
        <v/>
      </c>
      <c r="R13" s="29" t="str" cm="1">
        <f t="array" ref="R13">IFERROR(INDEX(_xlfn.UNIQUE(TRIM(_xlfn.TEXTSPLIT(Table2614256789111213[[#This Row],[Selection Options]:[Selection Options]],","))),,R$11),"")</f>
        <v/>
      </c>
      <c r="S13" s="29" t="str" cm="1">
        <f t="array" ref="S13">IFERROR(INDEX(_xlfn.UNIQUE(TRIM(_xlfn.TEXTSPLIT(Table2614256789111213[[#This Row],[Selection Options]:[Selection Options]],","))),,S$11),"")</f>
        <v/>
      </c>
      <c r="T13" s="29" t="str" cm="1">
        <f t="array" ref="T13">IFERROR(INDEX(_xlfn.UNIQUE(TRIM(_xlfn.TEXTSPLIT(Table2614256789111213[[#This Row],[Selection Options]:[Selection Options]],","))),,T$11),"")</f>
        <v/>
      </c>
      <c r="U13" s="29" t="str" cm="1">
        <f t="array" ref="U13">IFERROR(INDEX(_xlfn.UNIQUE(TRIM(_xlfn.TEXTSPLIT(Table2614256789111213[[#This Row],[Selection Options]:[Selection Options]],","))),,U$11),"")</f>
        <v/>
      </c>
      <c r="V13" s="29" t="str" cm="1">
        <f t="array" ref="V13">IFERROR(INDEX(_xlfn.UNIQUE(TRIM(_xlfn.TEXTSPLIT(Table2614256789111213[[#This Row],[Selection Options]:[Selection Options]],","))),,V$11),"")</f>
        <v/>
      </c>
      <c r="W13" s="29" t="str" cm="1">
        <f t="array" ref="W13">IFERROR(INDEX(_xlfn.UNIQUE(TRIM(_xlfn.TEXTSPLIT(Table2614256789111213[[#This Row],[Selection Options]:[Selection Options]],","))),,W$11),"")</f>
        <v/>
      </c>
      <c r="X13" s="29" t="str" cm="1">
        <f t="array" ref="X13">IFERROR(INDEX(_xlfn.UNIQUE(TRIM(_xlfn.TEXTSPLIT(Table2614256789111213[[#This Row],[Selection Options]:[Selection Options]],","))),,X$11),"")</f>
        <v/>
      </c>
      <c r="Y13" s="30" cm="1">
        <f t="array" ref="Y13">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13" s="30" cm="1">
        <f t="array" ref="Z13">IF(Table2614256789111213[[#This Row],[2]]="","",Table2614256789111213[[#This Row],[Weight]:[Weight]]-(Table2614256789111213[[#This Row],[Weight]:[Weight]]*((_xlfn.XMATCH(Table2614256789111213[[#This Row],[2]],Table2614256789111213[[#This Row],[1]:[11]],0))-1)/(COUNTA(Table2614256789111213[[#This Row],[1]:[11]])-COUNTBLANK(Table2614256789111213[[#This Row],[1]:[11]])-1)))</f>
        <v>1.3888888888888887E-3</v>
      </c>
      <c r="AA13" s="30" cm="1">
        <f t="array" ref="AA13">IF(Table2614256789111213[[#This Row],[3]]="","",Table2614256789111213[[#This Row],[Weight]:[Weight]]-(Table2614256789111213[[#This Row],[Weight]:[Weight]]*((_xlfn.XMATCH(Table2614256789111213[[#This Row],[3]],Table2614256789111213[[#This Row],[1]:[11]],0))-1)/(COUNTA(Table2614256789111213[[#This Row],[1]:[11]])-COUNTBLANK(Table2614256789111213[[#This Row],[1]:[11]])-1)))</f>
        <v>0</v>
      </c>
      <c r="AB13" s="30" t="str" cm="1">
        <f t="array" ref="AB13">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3" s="30" t="str" cm="1">
        <f t="array" ref="AC13">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3" s="30" t="str" cm="1">
        <f t="array" ref="AD13">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3" s="30" t="str" cm="1">
        <f t="array" ref="AE13">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3" s="30" t="str" cm="1">
        <f t="array" ref="AF13">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3" s="30" t="str" cm="1">
        <f t="array" ref="AG13">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3" s="30" t="str" cm="1">
        <f t="array" ref="AH13">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3" s="30" t="str" cm="1">
        <f t="array" ref="AI13">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4" spans="1:35" ht="93" customHeight="1" x14ac:dyDescent="0.2">
      <c r="A14" s="20">
        <v>2</v>
      </c>
      <c r="B14" s="21" t="s">
        <v>606</v>
      </c>
      <c r="C14" s="21" t="s">
        <v>607</v>
      </c>
      <c r="D14" s="31"/>
      <c r="E14" s="31"/>
      <c r="F14" s="87" t="s">
        <v>60</v>
      </c>
      <c r="G14" s="155" cm="1">
        <f t="array" ref="G14">_xlfn.IFS(F14="","",F14="No interest",0,F14="Nice to have",1,F14="Useful",2,F14="Important",3,F14="Very important",4,F14="Critical",5,F14="Show stopper",6)</f>
        <v>6</v>
      </c>
      <c r="H14" s="156">
        <f t="shared" si="0"/>
        <v>2.7777777777777775E-3</v>
      </c>
      <c r="I14" s="157" t="s">
        <v>608</v>
      </c>
      <c r="J14" s="25" t="str" cm="1">
        <f t="array" ref="J14">_xlfn.TEXTJOIN(","&amp;CHAR(10),,TEXT(Table2614256789111213[[#This Row],[12]:[22]],"0,00%"))</f>
        <v>0,00%,
0,00%</v>
      </c>
      <c r="K14" s="26"/>
      <c r="L14" s="27" t="e">
        <f>H14-(H14*((MATCH(Table2614256789111213[[#This Row],[Evaluators Response (SELECT)]],Table2614256789111213[[#This Row],[1]:[11]],0)-1)/(COUNTA(Table2614256789111213[[#This Row],[1]:[11]])-COUNTBLANK(Table2614256789111213[[#This Row],[1]:[11]])-1)))</f>
        <v>#N/A</v>
      </c>
      <c r="M14" s="28"/>
      <c r="N14" s="29" t="str" cm="1">
        <f t="array" ref="N14">IFERROR(INDEX(_xlfn.UNIQUE(TRIM(_xlfn.TEXTSPLIT(Table2614256789111213[[#This Row],[Selection Options]:[Selection Options]],","))),,N$11),"")</f>
        <v>100%: No</v>
      </c>
      <c r="O14" s="29" t="str" cm="1">
        <f t="array" ref="O14">IFERROR(INDEX(_xlfn.UNIQUE(TRIM(_xlfn.TEXTSPLIT(Table2614256789111213[[#This Row],[Selection Options]:[Selection Options]],","))),,O$11),"")</f>
        <v xml:space="preserve">
0%: Yes</v>
      </c>
      <c r="P14" s="29" t="str" cm="1">
        <f t="array" ref="P14">IFERROR(INDEX(_xlfn.UNIQUE(TRIM(_xlfn.TEXTSPLIT(Table2614256789111213[[#This Row],[Selection Options]:[Selection Options]],","))),,P$11),"")</f>
        <v/>
      </c>
      <c r="Q14" s="29" t="str" cm="1">
        <f t="array" ref="Q14">IFERROR(INDEX(_xlfn.UNIQUE(TRIM(_xlfn.TEXTSPLIT(Table2614256789111213[[#This Row],[Selection Options]:[Selection Options]],","))),,Q$11),"")</f>
        <v/>
      </c>
      <c r="R14" s="29" t="str" cm="1">
        <f t="array" ref="R14">IFERROR(INDEX(_xlfn.UNIQUE(TRIM(_xlfn.TEXTSPLIT(Table2614256789111213[[#This Row],[Selection Options]:[Selection Options]],","))),,R$11),"")</f>
        <v/>
      </c>
      <c r="S14" s="29" t="str" cm="1">
        <f t="array" ref="S14">IFERROR(INDEX(_xlfn.UNIQUE(TRIM(_xlfn.TEXTSPLIT(Table2614256789111213[[#This Row],[Selection Options]:[Selection Options]],","))),,S$11),"")</f>
        <v/>
      </c>
      <c r="T14" s="29" t="str" cm="1">
        <f t="array" ref="T14">IFERROR(INDEX(_xlfn.UNIQUE(TRIM(_xlfn.TEXTSPLIT(Table2614256789111213[[#This Row],[Selection Options]:[Selection Options]],","))),,T$11),"")</f>
        <v/>
      </c>
      <c r="U14" s="29" t="str" cm="1">
        <f t="array" ref="U14">IFERROR(INDEX(_xlfn.UNIQUE(TRIM(_xlfn.TEXTSPLIT(Table2614256789111213[[#This Row],[Selection Options]:[Selection Options]],","))),,U$11),"")</f>
        <v/>
      </c>
      <c r="V14" s="29" t="str" cm="1">
        <f t="array" ref="V14">IFERROR(INDEX(_xlfn.UNIQUE(TRIM(_xlfn.TEXTSPLIT(Table2614256789111213[[#This Row],[Selection Options]:[Selection Options]],","))),,V$11),"")</f>
        <v/>
      </c>
      <c r="W14" s="29" t="str" cm="1">
        <f t="array" ref="W14">IFERROR(INDEX(_xlfn.UNIQUE(TRIM(_xlfn.TEXTSPLIT(Table2614256789111213[[#This Row],[Selection Options]:[Selection Options]],","))),,W$11),"")</f>
        <v/>
      </c>
      <c r="X14" s="29" t="str" cm="1">
        <f t="array" ref="X14">IFERROR(INDEX(_xlfn.UNIQUE(TRIM(_xlfn.TEXTSPLIT(Table2614256789111213[[#This Row],[Selection Options]:[Selection Options]],","))),,X$11),"")</f>
        <v/>
      </c>
      <c r="Y14" s="30" cm="1">
        <f t="array" ref="Y14">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14" s="30" cm="1">
        <f t="array" ref="Z14">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14" s="30" t="str" cm="1">
        <f t="array" ref="AA14">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14" s="30" t="str" cm="1">
        <f t="array" ref="AB14">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4" s="30" t="str" cm="1">
        <f t="array" ref="AC14">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4" s="30" t="str" cm="1">
        <f t="array" ref="AD14">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4" s="30" t="str" cm="1">
        <f t="array" ref="AE14">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4" s="30" t="str" cm="1">
        <f t="array" ref="AF14">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4" s="30" t="str" cm="1">
        <f t="array" ref="AG14">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4" s="30" t="str" cm="1">
        <f t="array" ref="AH14">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4" s="30" t="str" cm="1">
        <f t="array" ref="AI14">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5" spans="1:35" ht="132" x14ac:dyDescent="0.2">
      <c r="A15" s="20">
        <v>3</v>
      </c>
      <c r="B15" s="158" t="s">
        <v>609</v>
      </c>
      <c r="C15" s="21" t="s">
        <v>610</v>
      </c>
      <c r="D15" s="32"/>
      <c r="E15" s="32"/>
      <c r="F15" s="159" t="s">
        <v>60</v>
      </c>
      <c r="G15" s="160" cm="1">
        <f t="array" ref="G15">_xlfn.IFS(F15="","",F15="No interest",0,F15="Nice to have",1,F15="Useful",2,F15="Important",3,F15="Very important",4,F15="Critical",5,F15="Show stopper",6)</f>
        <v>6</v>
      </c>
      <c r="H15" s="161">
        <f t="shared" si="0"/>
        <v>2.7777777777777775E-3</v>
      </c>
      <c r="I15" s="154" t="s">
        <v>611</v>
      </c>
      <c r="J15" s="35" t="str" cm="1">
        <f t="array" ref="J15">_xlfn.TEXTJOIN(","&amp;CHAR(10),,TEXT(Table2614256789111213[[#This Row],[12]:[22]],"0,00%"))</f>
        <v>0,00%,
0,00%,
0,00%</v>
      </c>
      <c r="K15" s="36"/>
      <c r="L15" s="37" t="e">
        <f>H15-(H15*((MATCH(Table2614256789111213[[#This Row],[Evaluators Response (SELECT)]],Table2614256789111213[[#This Row],[1]:[11]],0)-1)/(COUNTA(Table2614256789111213[[#This Row],[1]:[11]])-COUNTBLANK(Table2614256789111213[[#This Row],[1]:[11]])-1)))</f>
        <v>#N/A</v>
      </c>
      <c r="M15" s="38"/>
      <c r="N15" s="29" t="str" cm="1">
        <f t="array" ref="N15">IFERROR(INDEX(_xlfn.UNIQUE(TRIM(_xlfn.TEXTSPLIT(Table2614256789111213[[#This Row],[Selection Options]:[Selection Options]],","))),,N$11),"")</f>
        <v>100%: Entirely consumption-based: flexible volume based on usage or there are no embedded costs</v>
      </c>
      <c r="O15" s="29" t="str" cm="1">
        <f t="array" ref="O15">IFERROR(INDEX(_xlfn.UNIQUE(TRIM(_xlfn.TEXTSPLIT(Table2614256789111213[[#This Row],[Selection Options]:[Selection Options]],","))),,O$11),"")</f>
        <v xml:space="preserve">
50%: Hybrid: fixed baseline volume for a set period with the ability to flex up and down from this baseline</v>
      </c>
      <c r="P15" s="29" t="str" cm="1">
        <f t="array" ref="P15">IFERROR(INDEX(_xlfn.UNIQUE(TRIM(_xlfn.TEXTSPLIT(Table2614256789111213[[#This Row],[Selection Options]:[Selection Options]],","))),,P$11),"")</f>
        <v xml:space="preserve">
0%: Upfront commitment: fixed license volume with no downward elasticity</v>
      </c>
      <c r="Q15" s="29" t="str" cm="1">
        <f t="array" ref="Q15">IFERROR(INDEX(_xlfn.UNIQUE(TRIM(_xlfn.TEXTSPLIT(Table2614256789111213[[#This Row],[Selection Options]:[Selection Options]],","))),,Q$11),"")</f>
        <v/>
      </c>
      <c r="R15" s="29" t="str" cm="1">
        <f t="array" ref="R15">IFERROR(INDEX(_xlfn.UNIQUE(TRIM(_xlfn.TEXTSPLIT(Table2614256789111213[[#This Row],[Selection Options]:[Selection Options]],","))),,R$11),"")</f>
        <v/>
      </c>
      <c r="S15" s="29" t="str" cm="1">
        <f t="array" ref="S15">IFERROR(INDEX(_xlfn.UNIQUE(TRIM(_xlfn.TEXTSPLIT(Table2614256789111213[[#This Row],[Selection Options]:[Selection Options]],","))),,S$11),"")</f>
        <v/>
      </c>
      <c r="T15" s="29" t="str" cm="1">
        <f t="array" ref="T15">IFERROR(INDEX(_xlfn.UNIQUE(TRIM(_xlfn.TEXTSPLIT(Table2614256789111213[[#This Row],[Selection Options]:[Selection Options]],","))),,T$11),"")</f>
        <v/>
      </c>
      <c r="U15" s="29" t="str" cm="1">
        <f t="array" ref="U15">IFERROR(INDEX(_xlfn.UNIQUE(TRIM(_xlfn.TEXTSPLIT(Table2614256789111213[[#This Row],[Selection Options]:[Selection Options]],","))),,U$11),"")</f>
        <v/>
      </c>
      <c r="V15" s="29" t="str" cm="1">
        <f t="array" ref="V15">IFERROR(INDEX(_xlfn.UNIQUE(TRIM(_xlfn.TEXTSPLIT(Table2614256789111213[[#This Row],[Selection Options]:[Selection Options]],","))),,V$11),"")</f>
        <v/>
      </c>
      <c r="W15" s="29" t="str" cm="1">
        <f t="array" ref="W15">IFERROR(INDEX(_xlfn.UNIQUE(TRIM(_xlfn.TEXTSPLIT(Table2614256789111213[[#This Row],[Selection Options]:[Selection Options]],","))),,W$11),"")</f>
        <v/>
      </c>
      <c r="X15" s="29" t="str" cm="1">
        <f t="array" ref="X15">IFERROR(INDEX(_xlfn.UNIQUE(TRIM(_xlfn.TEXTSPLIT(Table2614256789111213[[#This Row],[Selection Options]:[Selection Options]],","))),,X$11),"")</f>
        <v/>
      </c>
      <c r="Y15" s="30" cm="1">
        <f t="array" ref="Y15">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15" s="30" cm="1">
        <f t="array" ref="Z15">IF(Table2614256789111213[[#This Row],[2]]="","",Table2614256789111213[[#This Row],[Weight]:[Weight]]-(Table2614256789111213[[#This Row],[Weight]:[Weight]]*((_xlfn.XMATCH(Table2614256789111213[[#This Row],[2]],Table2614256789111213[[#This Row],[1]:[11]],0))-1)/(COUNTA(Table2614256789111213[[#This Row],[1]:[11]])-COUNTBLANK(Table2614256789111213[[#This Row],[1]:[11]])-1)))</f>
        <v>1.3888888888888887E-3</v>
      </c>
      <c r="AA15" s="30" cm="1">
        <f t="array" ref="AA15">IF(Table2614256789111213[[#This Row],[3]]="","",Table2614256789111213[[#This Row],[Weight]:[Weight]]-(Table2614256789111213[[#This Row],[Weight]:[Weight]]*((_xlfn.XMATCH(Table2614256789111213[[#This Row],[3]],Table2614256789111213[[#This Row],[1]:[11]],0))-1)/(COUNTA(Table2614256789111213[[#This Row],[1]:[11]])-COUNTBLANK(Table2614256789111213[[#This Row],[1]:[11]])-1)))</f>
        <v>0</v>
      </c>
      <c r="AB15" s="30" t="str" cm="1">
        <f t="array" ref="AB15">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5" s="30" t="str" cm="1">
        <f t="array" ref="AC15">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5" s="30" t="str" cm="1">
        <f t="array" ref="AD15">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5" s="30" t="str" cm="1">
        <f t="array" ref="AE15">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5" s="30" t="str" cm="1">
        <f t="array" ref="AF15">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5" s="30" t="str" cm="1">
        <f t="array" ref="AG15">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5" s="30" t="str" cm="1">
        <f t="array" ref="AH15">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5" s="30" t="str" cm="1">
        <f t="array" ref="AI15">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6" spans="1:35" ht="78" customHeight="1" x14ac:dyDescent="0.2">
      <c r="A16" s="20">
        <v>4</v>
      </c>
      <c r="B16" s="21" t="s">
        <v>612</v>
      </c>
      <c r="C16" s="21" t="s">
        <v>613</v>
      </c>
      <c r="D16" s="31"/>
      <c r="E16" s="31"/>
      <c r="F16" s="87" t="s">
        <v>60</v>
      </c>
      <c r="G16" s="155" cm="1">
        <f t="array" ref="G16">_xlfn.IFS(F16="","",F16="No interest",0,F16="Nice to have",1,F16="Useful",2,F16="Important",3,F16="Very important",4,F16="Critical",5,F16="Show stopper",6)</f>
        <v>6</v>
      </c>
      <c r="H16" s="156">
        <f t="shared" si="0"/>
        <v>2.7777777777777775E-3</v>
      </c>
      <c r="I16" s="157" t="s">
        <v>614</v>
      </c>
      <c r="J16" s="25" t="str" cm="1">
        <f t="array" ref="J16">_xlfn.TEXTJOIN(","&amp;CHAR(10),,TEXT(Table2614256789111213[[#This Row],[12]:[22]],"0,00%"))</f>
        <v>0,00%,
0,00%</v>
      </c>
      <c r="K16" s="26"/>
      <c r="L16" s="27" t="e">
        <f>H16-(H16*((MATCH(Table2614256789111213[[#This Row],[Evaluators Response (SELECT)]],Table2614256789111213[[#This Row],[1]:[11]],0)-1)/(COUNTA(Table2614256789111213[[#This Row],[1]:[11]])-COUNTBLANK(Table2614256789111213[[#This Row],[1]:[11]])-1)))</f>
        <v>#N/A</v>
      </c>
      <c r="M16" s="28"/>
      <c r="N16" s="29" t="str" cm="1">
        <f t="array" ref="N16">IFERROR(INDEX(_xlfn.UNIQUE(TRIM(_xlfn.TEXTSPLIT(Table2614256789111213[[#This Row],[Selection Options]:[Selection Options]],","))),,N$11),"")</f>
        <v>100%: Yes</v>
      </c>
      <c r="O16" s="29" t="str" cm="1">
        <f t="array" ref="O16">IFERROR(INDEX(_xlfn.UNIQUE(TRIM(_xlfn.TEXTSPLIT(Table2614256789111213[[#This Row],[Selection Options]:[Selection Options]],","))),,O$11),"")</f>
        <v xml:space="preserve">
0%: No</v>
      </c>
      <c r="P16" s="29" t="str" cm="1">
        <f t="array" ref="P16">IFERROR(INDEX(_xlfn.UNIQUE(TRIM(_xlfn.TEXTSPLIT(Table2614256789111213[[#This Row],[Selection Options]:[Selection Options]],","))),,P$11),"")</f>
        <v/>
      </c>
      <c r="Q16" s="29" t="str" cm="1">
        <f t="array" ref="Q16">IFERROR(INDEX(_xlfn.UNIQUE(TRIM(_xlfn.TEXTSPLIT(Table2614256789111213[[#This Row],[Selection Options]:[Selection Options]],","))),,Q$11),"")</f>
        <v/>
      </c>
      <c r="R16" s="29" t="str" cm="1">
        <f t="array" ref="R16">IFERROR(INDEX(_xlfn.UNIQUE(TRIM(_xlfn.TEXTSPLIT(Table2614256789111213[[#This Row],[Selection Options]:[Selection Options]],","))),,R$11),"")</f>
        <v/>
      </c>
      <c r="S16" s="29" t="str" cm="1">
        <f t="array" ref="S16">IFERROR(INDEX(_xlfn.UNIQUE(TRIM(_xlfn.TEXTSPLIT(Table2614256789111213[[#This Row],[Selection Options]:[Selection Options]],","))),,S$11),"")</f>
        <v/>
      </c>
      <c r="T16" s="29" t="str" cm="1">
        <f t="array" ref="T16">IFERROR(INDEX(_xlfn.UNIQUE(TRIM(_xlfn.TEXTSPLIT(Table2614256789111213[[#This Row],[Selection Options]:[Selection Options]],","))),,T$11),"")</f>
        <v/>
      </c>
      <c r="U16" s="29" t="str" cm="1">
        <f t="array" ref="U16">IFERROR(INDEX(_xlfn.UNIQUE(TRIM(_xlfn.TEXTSPLIT(Table2614256789111213[[#This Row],[Selection Options]:[Selection Options]],","))),,U$11),"")</f>
        <v/>
      </c>
      <c r="V16" s="29" t="str" cm="1">
        <f t="array" ref="V16">IFERROR(INDEX(_xlfn.UNIQUE(TRIM(_xlfn.TEXTSPLIT(Table2614256789111213[[#This Row],[Selection Options]:[Selection Options]],","))),,V$11),"")</f>
        <v/>
      </c>
      <c r="W16" s="29" t="str" cm="1">
        <f t="array" ref="W16">IFERROR(INDEX(_xlfn.UNIQUE(TRIM(_xlfn.TEXTSPLIT(Table2614256789111213[[#This Row],[Selection Options]:[Selection Options]],","))),,W$11),"")</f>
        <v/>
      </c>
      <c r="X16" s="29" t="str" cm="1">
        <f t="array" ref="X16">IFERROR(INDEX(_xlfn.UNIQUE(TRIM(_xlfn.TEXTSPLIT(Table2614256789111213[[#This Row],[Selection Options]:[Selection Options]],","))),,X$11),"")</f>
        <v/>
      </c>
      <c r="Y16" s="30" cm="1">
        <f t="array" ref="Y16">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16" s="30" cm="1">
        <f t="array" ref="Z16">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16" s="30" t="str" cm="1">
        <f t="array" ref="AA16">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16" s="30" t="str" cm="1">
        <f t="array" ref="AB16">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6" s="30" t="str" cm="1">
        <f t="array" ref="AC16">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6" s="30" t="str" cm="1">
        <f t="array" ref="AD16">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6" s="30" t="str" cm="1">
        <f t="array" ref="AE16">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6" s="30" t="str" cm="1">
        <f t="array" ref="AF16">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6" s="30" t="str" cm="1">
        <f t="array" ref="AG16">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6" s="30" t="str" cm="1">
        <f t="array" ref="AH16">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6" s="30" t="str" cm="1">
        <f t="array" ref="AI16">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7" spans="1:35" ht="70.349999999999994" customHeight="1" x14ac:dyDescent="0.2">
      <c r="A17" s="20">
        <v>5</v>
      </c>
      <c r="B17" s="21" t="s">
        <v>615</v>
      </c>
      <c r="C17" s="158" t="s">
        <v>616</v>
      </c>
      <c r="D17" s="31"/>
      <c r="E17" s="31"/>
      <c r="F17" s="87" t="s">
        <v>188</v>
      </c>
      <c r="G17" s="155" cm="1">
        <f t="array" ref="G17">_xlfn.IFS(F17="","",F17="No interest",0,F17="Nice to have",1,F17="Useful",2,F17="Important",3,F17="Very important",4,F17="Critical",5,F17="Show stopper",6)</f>
        <v>5</v>
      </c>
      <c r="H17" s="156">
        <f>(G17/$G$11)*$F$11</f>
        <v>2.3148148148148147E-3</v>
      </c>
      <c r="I17" s="157" t="s">
        <v>614</v>
      </c>
      <c r="J17" s="35" t="str" cm="1">
        <f t="array" ref="J17">_xlfn.TEXTJOIN(","&amp;CHAR(10),,TEXT(Table2614256789111213[[#This Row],[12]:[22]],"0,00%"))</f>
        <v>0,00%,
0,00%</v>
      </c>
      <c r="K17" s="26"/>
      <c r="L17" s="27" t="e">
        <f>H17-(H17*((MATCH(Table2614256789111213[[#This Row],[Evaluators Response (SELECT)]],Table2614256789111213[[#This Row],[1]:[11]],0)-1)/(COUNTA(Table2614256789111213[[#This Row],[1]:[11]])-COUNTBLANK(Table2614256789111213[[#This Row],[1]:[11]])-1)))</f>
        <v>#N/A</v>
      </c>
      <c r="M17" s="28"/>
      <c r="N17" s="29" t="str" cm="1">
        <f t="array" ref="N17">IFERROR(INDEX(_xlfn.UNIQUE(TRIM(_xlfn.TEXTSPLIT(Table2614256789111213[[#This Row],[Selection Options]:[Selection Options]],","))),,N$11),"")</f>
        <v>100%: Yes</v>
      </c>
      <c r="O17" s="29" t="str" cm="1">
        <f t="array" ref="O17">IFERROR(INDEX(_xlfn.UNIQUE(TRIM(_xlfn.TEXTSPLIT(Table2614256789111213[[#This Row],[Selection Options]:[Selection Options]],","))),,O$11),"")</f>
        <v xml:space="preserve">
0%: No</v>
      </c>
      <c r="P17" s="29" t="str" cm="1">
        <f t="array" ref="P17">IFERROR(INDEX(_xlfn.UNIQUE(TRIM(_xlfn.TEXTSPLIT(Table2614256789111213[[#This Row],[Selection Options]:[Selection Options]],","))),,P$11),"")</f>
        <v/>
      </c>
      <c r="Q17" s="29" t="str" cm="1">
        <f t="array" ref="Q17">IFERROR(INDEX(_xlfn.UNIQUE(TRIM(_xlfn.TEXTSPLIT(Table2614256789111213[[#This Row],[Selection Options]:[Selection Options]],","))),,Q$11),"")</f>
        <v/>
      </c>
      <c r="R17" s="29" t="str" cm="1">
        <f t="array" ref="R17">IFERROR(INDEX(_xlfn.UNIQUE(TRIM(_xlfn.TEXTSPLIT(Table2614256789111213[[#This Row],[Selection Options]:[Selection Options]],","))),,R$11),"")</f>
        <v/>
      </c>
      <c r="S17" s="29" t="str" cm="1">
        <f t="array" ref="S17">IFERROR(INDEX(_xlfn.UNIQUE(TRIM(_xlfn.TEXTSPLIT(Table2614256789111213[[#This Row],[Selection Options]:[Selection Options]],","))),,S$11),"")</f>
        <v/>
      </c>
      <c r="T17" s="29" t="str" cm="1">
        <f t="array" ref="T17">IFERROR(INDEX(_xlfn.UNIQUE(TRIM(_xlfn.TEXTSPLIT(Table2614256789111213[[#This Row],[Selection Options]:[Selection Options]],","))),,T$11),"")</f>
        <v/>
      </c>
      <c r="U17" s="29" t="str" cm="1">
        <f t="array" ref="U17">IFERROR(INDEX(_xlfn.UNIQUE(TRIM(_xlfn.TEXTSPLIT(Table2614256789111213[[#This Row],[Selection Options]:[Selection Options]],","))),,U$11),"")</f>
        <v/>
      </c>
      <c r="V17" s="29" t="str" cm="1">
        <f t="array" ref="V17">IFERROR(INDEX(_xlfn.UNIQUE(TRIM(_xlfn.TEXTSPLIT(Table2614256789111213[[#This Row],[Selection Options]:[Selection Options]],","))),,V$11),"")</f>
        <v/>
      </c>
      <c r="W17" s="29" t="str" cm="1">
        <f t="array" ref="W17">IFERROR(INDEX(_xlfn.UNIQUE(TRIM(_xlfn.TEXTSPLIT(Table2614256789111213[[#This Row],[Selection Options]:[Selection Options]],","))),,W$11),"")</f>
        <v/>
      </c>
      <c r="X17" s="29" t="str" cm="1">
        <f t="array" ref="X17">IFERROR(INDEX(_xlfn.UNIQUE(TRIM(_xlfn.TEXTSPLIT(Table2614256789111213[[#This Row],[Selection Options]:[Selection Options]],","))),,X$11),"")</f>
        <v/>
      </c>
      <c r="Y17" s="30" cm="1">
        <f t="array" ref="Y17">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17" s="30" cm="1">
        <f t="array" ref="Z17">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17" s="30" t="str" cm="1">
        <f t="array" ref="AA17">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17" s="30" t="str" cm="1">
        <f t="array" ref="AB17">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7" s="30" t="str" cm="1">
        <f t="array" ref="AC17">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7" s="30" t="str" cm="1">
        <f t="array" ref="AD17">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7" s="30" t="str" cm="1">
        <f t="array" ref="AE17">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7" s="30" t="str" cm="1">
        <f t="array" ref="AF17">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7" s="30" t="str" cm="1">
        <f t="array" ref="AG17">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7" s="30" t="str" cm="1">
        <f t="array" ref="AH17">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7" s="30" t="str" cm="1">
        <f t="array" ref="AI17">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8" spans="1:35" ht="69.599999999999994" customHeight="1" x14ac:dyDescent="0.2">
      <c r="A18" s="20">
        <v>6</v>
      </c>
      <c r="B18" s="158" t="s">
        <v>617</v>
      </c>
      <c r="C18" s="158" t="s">
        <v>616</v>
      </c>
      <c r="D18" s="32"/>
      <c r="E18" s="32"/>
      <c r="F18" s="159" t="s">
        <v>188</v>
      </c>
      <c r="G18" s="160" cm="1">
        <f t="array" ref="G18">_xlfn.IFS(F18="","",F18="No interest",0,F18="Nice to have",1,F18="Useful",2,F18="Important",3,F18="Very important",4,F18="Critical",5,F18="Show stopper",6)</f>
        <v>5</v>
      </c>
      <c r="H18" s="161">
        <f t="shared" ref="H18:H48" si="1">(G18/$G$11)*$F$11</f>
        <v>2.3148148148148147E-3</v>
      </c>
      <c r="I18" s="157" t="s">
        <v>614</v>
      </c>
      <c r="J18" s="35" t="str" cm="1">
        <f t="array" ref="J18">_xlfn.TEXTJOIN(","&amp;CHAR(10),,TEXT(Table2614256789111213[[#This Row],[12]:[22]],"0,00%"))</f>
        <v>0,00%,
0,00%</v>
      </c>
      <c r="K18" s="36"/>
      <c r="L18" s="37" t="e">
        <f>H18-(H18*((MATCH(Table2614256789111213[[#This Row],[Evaluators Response (SELECT)]],Table2614256789111213[[#This Row],[1]:[11]],0)-1)/(COUNTA(Table2614256789111213[[#This Row],[1]:[11]])-COUNTBLANK(Table2614256789111213[[#This Row],[1]:[11]])-1)))</f>
        <v>#N/A</v>
      </c>
      <c r="M18" s="38"/>
      <c r="N18" s="29" t="str" cm="1">
        <f t="array" ref="N18">IFERROR(INDEX(_xlfn.UNIQUE(TRIM(_xlfn.TEXTSPLIT(Table2614256789111213[[#This Row],[Selection Options]:[Selection Options]],","))),,N$11),"")</f>
        <v>100%: Yes</v>
      </c>
      <c r="O18" s="29" t="str" cm="1">
        <f t="array" ref="O18">IFERROR(INDEX(_xlfn.UNIQUE(TRIM(_xlfn.TEXTSPLIT(Table2614256789111213[[#This Row],[Selection Options]:[Selection Options]],","))),,O$11),"")</f>
        <v xml:space="preserve">
0%: No</v>
      </c>
      <c r="P18" s="29" t="str" cm="1">
        <f t="array" ref="P18">IFERROR(INDEX(_xlfn.UNIQUE(TRIM(_xlfn.TEXTSPLIT(Table2614256789111213[[#This Row],[Selection Options]:[Selection Options]],","))),,P$11),"")</f>
        <v/>
      </c>
      <c r="Q18" s="29" t="str" cm="1">
        <f t="array" ref="Q18">IFERROR(INDEX(_xlfn.UNIQUE(TRIM(_xlfn.TEXTSPLIT(Table2614256789111213[[#This Row],[Selection Options]:[Selection Options]],","))),,Q$11),"")</f>
        <v/>
      </c>
      <c r="R18" s="29" t="str" cm="1">
        <f t="array" ref="R18">IFERROR(INDEX(_xlfn.UNIQUE(TRIM(_xlfn.TEXTSPLIT(Table2614256789111213[[#This Row],[Selection Options]:[Selection Options]],","))),,R$11),"")</f>
        <v/>
      </c>
      <c r="S18" s="29" t="str" cm="1">
        <f t="array" ref="S18">IFERROR(INDEX(_xlfn.UNIQUE(TRIM(_xlfn.TEXTSPLIT(Table2614256789111213[[#This Row],[Selection Options]:[Selection Options]],","))),,S$11),"")</f>
        <v/>
      </c>
      <c r="T18" s="29" t="str" cm="1">
        <f t="array" ref="T18">IFERROR(INDEX(_xlfn.UNIQUE(TRIM(_xlfn.TEXTSPLIT(Table2614256789111213[[#This Row],[Selection Options]:[Selection Options]],","))),,T$11),"")</f>
        <v/>
      </c>
      <c r="U18" s="29" t="str" cm="1">
        <f t="array" ref="U18">IFERROR(INDEX(_xlfn.UNIQUE(TRIM(_xlfn.TEXTSPLIT(Table2614256789111213[[#This Row],[Selection Options]:[Selection Options]],","))),,U$11),"")</f>
        <v/>
      </c>
      <c r="V18" s="29" t="str" cm="1">
        <f t="array" ref="V18">IFERROR(INDEX(_xlfn.UNIQUE(TRIM(_xlfn.TEXTSPLIT(Table2614256789111213[[#This Row],[Selection Options]:[Selection Options]],","))),,V$11),"")</f>
        <v/>
      </c>
      <c r="W18" s="29" t="str" cm="1">
        <f t="array" ref="W18">IFERROR(INDEX(_xlfn.UNIQUE(TRIM(_xlfn.TEXTSPLIT(Table2614256789111213[[#This Row],[Selection Options]:[Selection Options]],","))),,W$11),"")</f>
        <v/>
      </c>
      <c r="X18" s="29" t="str" cm="1">
        <f t="array" ref="X18">IFERROR(INDEX(_xlfn.UNIQUE(TRIM(_xlfn.TEXTSPLIT(Table2614256789111213[[#This Row],[Selection Options]:[Selection Options]],","))),,X$11),"")</f>
        <v/>
      </c>
      <c r="Y18" s="30" cm="1">
        <f t="array" ref="Y18">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18" s="30" cm="1">
        <f t="array" ref="Z18">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18" s="30" t="str" cm="1">
        <f t="array" ref="AA18">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18" s="30" t="str" cm="1">
        <f t="array" ref="AB18">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8" s="30" t="str" cm="1">
        <f t="array" ref="AC18">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8" s="30" t="str" cm="1">
        <f t="array" ref="AD18">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8" s="30" t="str" cm="1">
        <f t="array" ref="AE18">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8" s="30" t="str" cm="1">
        <f t="array" ref="AF18">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8" s="30" t="str" cm="1">
        <f t="array" ref="AG18">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8" s="30" t="str" cm="1">
        <f t="array" ref="AH18">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8" s="30" t="str" cm="1">
        <f t="array" ref="AI18">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19" spans="1:35" ht="61.35" customHeight="1" x14ac:dyDescent="0.2">
      <c r="A19" s="20">
        <v>7</v>
      </c>
      <c r="B19" s="158" t="s">
        <v>618</v>
      </c>
      <c r="C19" s="158" t="s">
        <v>616</v>
      </c>
      <c r="D19" s="32"/>
      <c r="E19" s="32"/>
      <c r="F19" s="159" t="s">
        <v>188</v>
      </c>
      <c r="G19" s="160" cm="1">
        <f t="array" ref="G19">_xlfn.IFS(F19="","",F19="No interest",0,F19="Nice to have",1,F19="Useful",2,F19="Important",3,F19="Very important",4,F19="Critical",5,F19="Show stopper",6)</f>
        <v>5</v>
      </c>
      <c r="H19" s="161">
        <f t="shared" si="1"/>
        <v>2.3148148148148147E-3</v>
      </c>
      <c r="I19" s="154" t="s">
        <v>619</v>
      </c>
      <c r="J19" s="35" t="str" cm="1">
        <f t="array" ref="J19">_xlfn.TEXTJOIN(","&amp;CHAR(10),,TEXT(Table2614256789111213[[#This Row],[12]:[22]],"0,00%"))</f>
        <v>0,00%,
0,00%</v>
      </c>
      <c r="K19" s="36"/>
      <c r="L19" s="37" t="e">
        <f>H19-(H19*((MATCH(Table2614256789111213[[#This Row],[Evaluators Response (SELECT)]],Table2614256789111213[[#This Row],[1]:[11]],0)-1)/(COUNTA(Table2614256789111213[[#This Row],[1]:[11]])-COUNTBLANK(Table2614256789111213[[#This Row],[1]:[11]])-1)))</f>
        <v>#N/A</v>
      </c>
      <c r="M19" s="38"/>
      <c r="N19" s="29" t="str" cm="1">
        <f t="array" ref="N19">IFERROR(INDEX(_xlfn.UNIQUE(TRIM(_xlfn.TEXTSPLIT(Table2614256789111213[[#This Row],[Selection Options]:[Selection Options]],","))),,N$11),"")</f>
        <v>100%: Annual uplift</v>
      </c>
      <c r="O19" s="29" t="str" cm="1">
        <f t="array" ref="O19">IFERROR(INDEX(_xlfn.UNIQUE(TRIM(_xlfn.TEXTSPLIT(Table2614256789111213[[#This Row],[Selection Options]:[Selection Options]],","))),,O$11),"")</f>
        <v xml:space="preserve">
0%: Locked in one time flat uplift</v>
      </c>
      <c r="P19" s="29" t="str" cm="1">
        <f t="array" ref="P19">IFERROR(INDEX(_xlfn.UNIQUE(TRIM(_xlfn.TEXTSPLIT(Table2614256789111213[[#This Row],[Selection Options]:[Selection Options]],","))),,P$11),"")</f>
        <v/>
      </c>
      <c r="Q19" s="29" t="str" cm="1">
        <f t="array" ref="Q19">IFERROR(INDEX(_xlfn.UNIQUE(TRIM(_xlfn.TEXTSPLIT(Table2614256789111213[[#This Row],[Selection Options]:[Selection Options]],","))),,Q$11),"")</f>
        <v/>
      </c>
      <c r="R19" s="29" t="str" cm="1">
        <f t="array" ref="R19">IFERROR(INDEX(_xlfn.UNIQUE(TRIM(_xlfn.TEXTSPLIT(Table2614256789111213[[#This Row],[Selection Options]:[Selection Options]],","))),,R$11),"")</f>
        <v/>
      </c>
      <c r="S19" s="29" t="str" cm="1">
        <f t="array" ref="S19">IFERROR(INDEX(_xlfn.UNIQUE(TRIM(_xlfn.TEXTSPLIT(Table2614256789111213[[#This Row],[Selection Options]:[Selection Options]],","))),,S$11),"")</f>
        <v/>
      </c>
      <c r="T19" s="29" t="str" cm="1">
        <f t="array" ref="T19">IFERROR(INDEX(_xlfn.UNIQUE(TRIM(_xlfn.TEXTSPLIT(Table2614256789111213[[#This Row],[Selection Options]:[Selection Options]],","))),,T$11),"")</f>
        <v/>
      </c>
      <c r="U19" s="29" t="str" cm="1">
        <f t="array" ref="U19">IFERROR(INDEX(_xlfn.UNIQUE(TRIM(_xlfn.TEXTSPLIT(Table2614256789111213[[#This Row],[Selection Options]:[Selection Options]],","))),,U$11),"")</f>
        <v/>
      </c>
      <c r="V19" s="29" t="str" cm="1">
        <f t="array" ref="V19">IFERROR(INDEX(_xlfn.UNIQUE(TRIM(_xlfn.TEXTSPLIT(Table2614256789111213[[#This Row],[Selection Options]:[Selection Options]],","))),,V$11),"")</f>
        <v/>
      </c>
      <c r="W19" s="29" t="str" cm="1">
        <f t="array" ref="W19">IFERROR(INDEX(_xlfn.UNIQUE(TRIM(_xlfn.TEXTSPLIT(Table2614256789111213[[#This Row],[Selection Options]:[Selection Options]],","))),,W$11),"")</f>
        <v/>
      </c>
      <c r="X19" s="29" t="str" cm="1">
        <f t="array" ref="X19">IFERROR(INDEX(_xlfn.UNIQUE(TRIM(_xlfn.TEXTSPLIT(Table2614256789111213[[#This Row],[Selection Options]:[Selection Options]],","))),,X$11),"")</f>
        <v/>
      </c>
      <c r="Y19" s="30" cm="1">
        <f t="array" ref="Y19">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19" s="30" cm="1">
        <f t="array" ref="Z19">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19" s="30" t="str" cm="1">
        <f t="array" ref="AA19">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19" s="30" t="str" cm="1">
        <f t="array" ref="AB19">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19" s="30" t="str" cm="1">
        <f t="array" ref="AC19">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19" s="30" t="str" cm="1">
        <f t="array" ref="AD19">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19" s="30" t="str" cm="1">
        <f t="array" ref="AE19">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19" s="30" t="str" cm="1">
        <f t="array" ref="AF19">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19" s="30" t="str" cm="1">
        <f t="array" ref="AG19">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19" s="30" t="str" cm="1">
        <f t="array" ref="AH19">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19" s="30" t="str" cm="1">
        <f t="array" ref="AI19">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0" spans="1:35" ht="75.599999999999994" customHeight="1" x14ac:dyDescent="0.2">
      <c r="A20" s="20">
        <v>8</v>
      </c>
      <c r="B20" s="21" t="s">
        <v>620</v>
      </c>
      <c r="C20" s="158" t="s">
        <v>616</v>
      </c>
      <c r="D20" s="32"/>
      <c r="E20" s="32"/>
      <c r="F20" s="159" t="s">
        <v>188</v>
      </c>
      <c r="G20" s="160" cm="1">
        <f t="array" ref="G20">_xlfn.IFS(F20="","",F20="No interest",0,F20="Nice to have",1,F20="Useful",2,F20="Important",3,F20="Very important",4,F20="Critical",5,F20="Show stopper",6)</f>
        <v>5</v>
      </c>
      <c r="H20" s="161">
        <f t="shared" si="1"/>
        <v>2.3148148148148147E-3</v>
      </c>
      <c r="I20" s="154" t="s">
        <v>621</v>
      </c>
      <c r="J20" s="35" t="str" cm="1">
        <f t="array" ref="J20">_xlfn.TEXTJOIN(","&amp;CHAR(10),,TEXT(Table2614256789111213[[#This Row],[12]:[22]],"0,00%"))</f>
        <v>0,00%,
0,00%</v>
      </c>
      <c r="K20" s="36"/>
      <c r="L20" s="37" t="e">
        <f>H20-(H20*((MATCH(Table2614256789111213[[#This Row],[Evaluators Response (SELECT)]],Table2614256789111213[[#This Row],[1]:[11]],0)-1)/(COUNTA(Table2614256789111213[[#This Row],[1]:[11]])-COUNTBLANK(Table2614256789111213[[#This Row],[1]:[11]])-1)))</f>
        <v>#N/A</v>
      </c>
      <c r="M20" s="38"/>
      <c r="N20" s="29" t="str" cm="1">
        <f t="array" ref="N20">IFERROR(INDEX(_xlfn.UNIQUE(TRIM(_xlfn.TEXTSPLIT(Table2614256789111213[[#This Row],[Selection Options]:[Selection Options]],","))),,N$11),"")</f>
        <v>100%: Yes</v>
      </c>
      <c r="O20" s="29" t="str" cm="1">
        <f t="array" ref="O20">IFERROR(INDEX(_xlfn.UNIQUE(TRIM(_xlfn.TEXTSPLIT(Table2614256789111213[[#This Row],[Selection Options]:[Selection Options]],","))),,O$11),"")</f>
        <v xml:space="preserve">
0%: No</v>
      </c>
      <c r="P20" s="29" t="str" cm="1">
        <f t="array" ref="P20">IFERROR(INDEX(_xlfn.UNIQUE(TRIM(_xlfn.TEXTSPLIT(Table2614256789111213[[#This Row],[Selection Options]:[Selection Options]],","))),,P$11),"")</f>
        <v/>
      </c>
      <c r="Q20" s="29" t="str" cm="1">
        <f t="array" ref="Q20">IFERROR(INDEX(_xlfn.UNIQUE(TRIM(_xlfn.TEXTSPLIT(Table2614256789111213[[#This Row],[Selection Options]:[Selection Options]],","))),,Q$11),"")</f>
        <v/>
      </c>
      <c r="R20" s="29" t="str" cm="1">
        <f t="array" ref="R20">IFERROR(INDEX(_xlfn.UNIQUE(TRIM(_xlfn.TEXTSPLIT(Table2614256789111213[[#This Row],[Selection Options]:[Selection Options]],","))),,R$11),"")</f>
        <v/>
      </c>
      <c r="S20" s="29" t="str" cm="1">
        <f t="array" ref="S20">IFERROR(INDEX(_xlfn.UNIQUE(TRIM(_xlfn.TEXTSPLIT(Table2614256789111213[[#This Row],[Selection Options]:[Selection Options]],","))),,S$11),"")</f>
        <v/>
      </c>
      <c r="T20" s="29" t="str" cm="1">
        <f t="array" ref="T20">IFERROR(INDEX(_xlfn.UNIQUE(TRIM(_xlfn.TEXTSPLIT(Table2614256789111213[[#This Row],[Selection Options]:[Selection Options]],","))),,T$11),"")</f>
        <v/>
      </c>
      <c r="U20" s="29" t="str" cm="1">
        <f t="array" ref="U20">IFERROR(INDEX(_xlfn.UNIQUE(TRIM(_xlfn.TEXTSPLIT(Table2614256789111213[[#This Row],[Selection Options]:[Selection Options]],","))),,U$11),"")</f>
        <v/>
      </c>
      <c r="V20" s="29" t="str" cm="1">
        <f t="array" ref="V20">IFERROR(INDEX(_xlfn.UNIQUE(TRIM(_xlfn.TEXTSPLIT(Table2614256789111213[[#This Row],[Selection Options]:[Selection Options]],","))),,V$11),"")</f>
        <v/>
      </c>
      <c r="W20" s="29" t="str" cm="1">
        <f t="array" ref="W20">IFERROR(INDEX(_xlfn.UNIQUE(TRIM(_xlfn.TEXTSPLIT(Table2614256789111213[[#This Row],[Selection Options]:[Selection Options]],","))),,W$11),"")</f>
        <v/>
      </c>
      <c r="X20" s="29" t="str" cm="1">
        <f t="array" ref="X20">IFERROR(INDEX(_xlfn.UNIQUE(TRIM(_xlfn.TEXTSPLIT(Table2614256789111213[[#This Row],[Selection Options]:[Selection Options]],","))),,X$11),"")</f>
        <v/>
      </c>
      <c r="Y20" s="30" cm="1">
        <f t="array" ref="Y20">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0" s="30" cm="1">
        <f t="array" ref="Z20">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0" s="30" t="str" cm="1">
        <f t="array" ref="AA20">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0" s="30" t="str" cm="1">
        <f t="array" ref="AB20">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0" s="30" t="str" cm="1">
        <f t="array" ref="AC20">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0" s="30" t="str" cm="1">
        <f t="array" ref="AD20">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0" s="30" t="str" cm="1">
        <f t="array" ref="AE20">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0" s="30" t="str" cm="1">
        <f t="array" ref="AF20">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0" s="30" t="str" cm="1">
        <f t="array" ref="AG20">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0" s="30" t="str" cm="1">
        <f t="array" ref="AH20">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0" s="30" t="str" cm="1">
        <f t="array" ref="AI20">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1" spans="1:35" ht="99" customHeight="1" x14ac:dyDescent="0.2">
      <c r="A21" s="20">
        <v>9</v>
      </c>
      <c r="B21" s="21" t="s">
        <v>622</v>
      </c>
      <c r="C21" s="158" t="s">
        <v>616</v>
      </c>
      <c r="D21" s="31"/>
      <c r="E21" s="31"/>
      <c r="F21" s="159" t="s">
        <v>188</v>
      </c>
      <c r="G21" s="155" cm="1">
        <f t="array" ref="G21">_xlfn.IFS(F21="","",F21="No interest",0,F21="Nice to have",1,F21="Useful",2,F21="Important",3,F21="Very important",4,F21="Critical",5,F21="Show stopper",6)</f>
        <v>5</v>
      </c>
      <c r="H21" s="156">
        <f t="shared" si="1"/>
        <v>2.3148148148148147E-3</v>
      </c>
      <c r="I21" s="154" t="s">
        <v>623</v>
      </c>
      <c r="J21" s="35" t="str" cm="1">
        <f t="array" ref="J21">_xlfn.TEXTJOIN(","&amp;CHAR(10),,TEXT(Table2614256789111213[[#This Row],[12]:[22]],"0,00%"))</f>
        <v>0,00%,
0,00%</v>
      </c>
      <c r="K21" s="26"/>
      <c r="L21" s="27" t="e">
        <f>H21-(H21*((MATCH(Table2614256789111213[[#This Row],[Evaluators Response (SELECT)]],Table2614256789111213[[#This Row],[1]:[11]],0)-1)/(COUNTA(Table2614256789111213[[#This Row],[1]:[11]])-COUNTBLANK(Table2614256789111213[[#This Row],[1]:[11]])-1)))</f>
        <v>#N/A</v>
      </c>
      <c r="M21" s="28"/>
      <c r="N21" s="29" t="str" cm="1">
        <f t="array" ref="N21">IFERROR(INDEX(_xlfn.UNIQUE(TRIM(_xlfn.TEXTSPLIT(Table2614256789111213[[#This Row],[Selection Options]:[Selection Options]],","))),,N$11),"")</f>
        <v>100%: Allows termination during contract term based on predefined conditions</v>
      </c>
      <c r="O21" s="29" t="str" cm="1">
        <f t="array" ref="O21">IFERROR(INDEX(_xlfn.UNIQUE(TRIM(_xlfn.TEXTSPLIT(Table2614256789111213[[#This Row],[Selection Options]:[Selection Options]],","))),,O$11),"")</f>
        <v xml:space="preserve">
0%: No</v>
      </c>
      <c r="P21" s="29" t="str" cm="1">
        <f t="array" ref="P21">IFERROR(INDEX(_xlfn.UNIQUE(TRIM(_xlfn.TEXTSPLIT(Table2614256789111213[[#This Row],[Selection Options]:[Selection Options]],","))),,P$11),"")</f>
        <v/>
      </c>
      <c r="Q21" s="29" t="str" cm="1">
        <f t="array" ref="Q21">IFERROR(INDEX(_xlfn.UNIQUE(TRIM(_xlfn.TEXTSPLIT(Table2614256789111213[[#This Row],[Selection Options]:[Selection Options]],","))),,Q$11),"")</f>
        <v/>
      </c>
      <c r="R21" s="29" t="str" cm="1">
        <f t="array" ref="R21">IFERROR(INDEX(_xlfn.UNIQUE(TRIM(_xlfn.TEXTSPLIT(Table2614256789111213[[#This Row],[Selection Options]:[Selection Options]],","))),,R$11),"")</f>
        <v/>
      </c>
      <c r="S21" s="29" t="str" cm="1">
        <f t="array" ref="S21">IFERROR(INDEX(_xlfn.UNIQUE(TRIM(_xlfn.TEXTSPLIT(Table2614256789111213[[#This Row],[Selection Options]:[Selection Options]],","))),,S$11),"")</f>
        <v/>
      </c>
      <c r="T21" s="29" t="str" cm="1">
        <f t="array" ref="T21">IFERROR(INDEX(_xlfn.UNIQUE(TRIM(_xlfn.TEXTSPLIT(Table2614256789111213[[#This Row],[Selection Options]:[Selection Options]],","))),,T$11),"")</f>
        <v/>
      </c>
      <c r="U21" s="29" t="str" cm="1">
        <f t="array" ref="U21">IFERROR(INDEX(_xlfn.UNIQUE(TRIM(_xlfn.TEXTSPLIT(Table2614256789111213[[#This Row],[Selection Options]:[Selection Options]],","))),,U$11),"")</f>
        <v/>
      </c>
      <c r="V21" s="29" t="str" cm="1">
        <f t="array" ref="V21">IFERROR(INDEX(_xlfn.UNIQUE(TRIM(_xlfn.TEXTSPLIT(Table2614256789111213[[#This Row],[Selection Options]:[Selection Options]],","))),,V$11),"")</f>
        <v/>
      </c>
      <c r="W21" s="29" t="str" cm="1">
        <f t="array" ref="W21">IFERROR(INDEX(_xlfn.UNIQUE(TRIM(_xlfn.TEXTSPLIT(Table2614256789111213[[#This Row],[Selection Options]:[Selection Options]],","))),,W$11),"")</f>
        <v/>
      </c>
      <c r="X21" s="29" t="str" cm="1">
        <f t="array" ref="X21">IFERROR(INDEX(_xlfn.UNIQUE(TRIM(_xlfn.TEXTSPLIT(Table2614256789111213[[#This Row],[Selection Options]:[Selection Options]],","))),,X$11),"")</f>
        <v/>
      </c>
      <c r="Y21" s="30" cm="1">
        <f t="array" ref="Y21">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1" s="30" cm="1">
        <f t="array" ref="Z21">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1" s="30" t="str" cm="1">
        <f t="array" ref="AA21">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1" s="30" t="str" cm="1">
        <f t="array" ref="AB21">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1" s="30" t="str" cm="1">
        <f t="array" ref="AC21">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1" s="30" t="str" cm="1">
        <f t="array" ref="AD21">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1" s="30" t="str" cm="1">
        <f t="array" ref="AE21">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1" s="30" t="str" cm="1">
        <f t="array" ref="AF21">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1" s="30" t="str" cm="1">
        <f t="array" ref="AG21">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1" s="30" t="str" cm="1">
        <f t="array" ref="AH21">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1" s="30" t="str" cm="1">
        <f t="array" ref="AI21">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2" spans="1:35" ht="52.35" customHeight="1" x14ac:dyDescent="0.2">
      <c r="A22" s="20">
        <v>10</v>
      </c>
      <c r="B22" s="21" t="s">
        <v>624</v>
      </c>
      <c r="C22" s="158" t="s">
        <v>616</v>
      </c>
      <c r="D22" s="31"/>
      <c r="E22" s="31"/>
      <c r="F22" s="159" t="s">
        <v>188</v>
      </c>
      <c r="G22" s="155" cm="1">
        <f t="array" ref="G22">_xlfn.IFS(F22="","",F22="No interest",0,F22="Nice to have",1,F22="Useful",2,F22="Important",3,F22="Very important",4,F22="Critical",5,F22="Show stopper",6)</f>
        <v>5</v>
      </c>
      <c r="H22" s="156">
        <f t="shared" si="1"/>
        <v>2.3148148148148147E-3</v>
      </c>
      <c r="I22" s="154" t="s">
        <v>621</v>
      </c>
      <c r="J22" s="35" t="str" cm="1">
        <f t="array" ref="J22">_xlfn.TEXTJOIN(","&amp;CHAR(10),,TEXT(Table2614256789111213[[#This Row],[12]:[22]],"0,00%"))</f>
        <v>0,00%,
0,00%</v>
      </c>
      <c r="K22" s="26"/>
      <c r="L22" s="27" t="e">
        <f>H22-(H22*((MATCH(Table2614256789111213[[#This Row],[Evaluators Response (SELECT)]],Table2614256789111213[[#This Row],[1]:[11]],0)-1)/(COUNTA(Table2614256789111213[[#This Row],[1]:[11]])-COUNTBLANK(Table2614256789111213[[#This Row],[1]:[11]])-1)))</f>
        <v>#N/A</v>
      </c>
      <c r="M22" s="28"/>
      <c r="N22" s="29" t="str" cm="1">
        <f t="array" ref="N22">IFERROR(INDEX(_xlfn.UNIQUE(TRIM(_xlfn.TEXTSPLIT(Table2614256789111213[[#This Row],[Selection Options]:[Selection Options]],","))),,N$11),"")</f>
        <v>100%: Yes</v>
      </c>
      <c r="O22" s="29" t="str" cm="1">
        <f t="array" ref="O22">IFERROR(INDEX(_xlfn.UNIQUE(TRIM(_xlfn.TEXTSPLIT(Table2614256789111213[[#This Row],[Selection Options]:[Selection Options]],","))),,O$11),"")</f>
        <v xml:space="preserve">
0%: No</v>
      </c>
      <c r="P22" s="29" t="str" cm="1">
        <f t="array" ref="P22">IFERROR(INDEX(_xlfn.UNIQUE(TRIM(_xlfn.TEXTSPLIT(Table2614256789111213[[#This Row],[Selection Options]:[Selection Options]],","))),,P$11),"")</f>
        <v/>
      </c>
      <c r="Q22" s="29" t="str" cm="1">
        <f t="array" ref="Q22">IFERROR(INDEX(_xlfn.UNIQUE(TRIM(_xlfn.TEXTSPLIT(Table2614256789111213[[#This Row],[Selection Options]:[Selection Options]],","))),,Q$11),"")</f>
        <v/>
      </c>
      <c r="R22" s="29" t="str" cm="1">
        <f t="array" ref="R22">IFERROR(INDEX(_xlfn.UNIQUE(TRIM(_xlfn.TEXTSPLIT(Table2614256789111213[[#This Row],[Selection Options]:[Selection Options]],","))),,R$11),"")</f>
        <v/>
      </c>
      <c r="S22" s="29" t="str" cm="1">
        <f t="array" ref="S22">IFERROR(INDEX(_xlfn.UNIQUE(TRIM(_xlfn.TEXTSPLIT(Table2614256789111213[[#This Row],[Selection Options]:[Selection Options]],","))),,S$11),"")</f>
        <v/>
      </c>
      <c r="T22" s="29" t="str" cm="1">
        <f t="array" ref="T22">IFERROR(INDEX(_xlfn.UNIQUE(TRIM(_xlfn.TEXTSPLIT(Table2614256789111213[[#This Row],[Selection Options]:[Selection Options]],","))),,T$11),"")</f>
        <v/>
      </c>
      <c r="U22" s="29" t="str" cm="1">
        <f t="array" ref="U22">IFERROR(INDEX(_xlfn.UNIQUE(TRIM(_xlfn.TEXTSPLIT(Table2614256789111213[[#This Row],[Selection Options]:[Selection Options]],","))),,U$11),"")</f>
        <v/>
      </c>
      <c r="V22" s="29" t="str" cm="1">
        <f t="array" ref="V22">IFERROR(INDEX(_xlfn.UNIQUE(TRIM(_xlfn.TEXTSPLIT(Table2614256789111213[[#This Row],[Selection Options]:[Selection Options]],","))),,V$11),"")</f>
        <v/>
      </c>
      <c r="W22" s="29" t="str" cm="1">
        <f t="array" ref="W22">IFERROR(INDEX(_xlfn.UNIQUE(TRIM(_xlfn.TEXTSPLIT(Table2614256789111213[[#This Row],[Selection Options]:[Selection Options]],","))),,W$11),"")</f>
        <v/>
      </c>
      <c r="X22" s="29" t="str" cm="1">
        <f t="array" ref="X22">IFERROR(INDEX(_xlfn.UNIQUE(TRIM(_xlfn.TEXTSPLIT(Table2614256789111213[[#This Row],[Selection Options]:[Selection Options]],","))),,X$11),"")</f>
        <v/>
      </c>
      <c r="Y22" s="30" cm="1">
        <f t="array" ref="Y22">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2" s="30" cm="1">
        <f t="array" ref="Z22">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2" s="30" t="str" cm="1">
        <f t="array" ref="AA22">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2" s="30" t="str" cm="1">
        <f t="array" ref="AB22">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2" s="30" t="str" cm="1">
        <f t="array" ref="AC22">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2" s="30" t="str" cm="1">
        <f t="array" ref="AD22">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2" s="30" t="str" cm="1">
        <f t="array" ref="AE22">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2" s="30" t="str" cm="1">
        <f t="array" ref="AF22">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2" s="30" t="str" cm="1">
        <f t="array" ref="AG22">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2" s="30" t="str" cm="1">
        <f t="array" ref="AH22">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2" s="30" t="str" cm="1">
        <f t="array" ref="AI22">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3" spans="1:35" ht="101.45" customHeight="1" x14ac:dyDescent="0.2">
      <c r="A23" s="20">
        <v>11</v>
      </c>
      <c r="B23" s="21" t="s">
        <v>625</v>
      </c>
      <c r="C23" s="158" t="s">
        <v>616</v>
      </c>
      <c r="D23" s="31"/>
      <c r="E23" s="31"/>
      <c r="F23" s="159" t="s">
        <v>60</v>
      </c>
      <c r="G23" s="155" cm="1">
        <f t="array" ref="G23">_xlfn.IFS(F23="","",F23="No interest",0,F23="Nice to have",1,F23="Useful",2,F23="Important",3,F23="Very important",4,F23="Critical",5,F23="Show stopper",6)</f>
        <v>6</v>
      </c>
      <c r="H23" s="156">
        <f t="shared" si="1"/>
        <v>2.7777777777777775E-3</v>
      </c>
      <c r="I23" s="154" t="s">
        <v>621</v>
      </c>
      <c r="J23" s="35" t="str" cm="1">
        <f t="array" ref="J23">_xlfn.TEXTJOIN(","&amp;CHAR(10),,TEXT(Table2614256789111213[[#This Row],[12]:[22]],"0,00%"))</f>
        <v>0,00%,
0,00%</v>
      </c>
      <c r="K23" s="26"/>
      <c r="L23" s="27" t="e">
        <f>H23-(H23*((MATCH(Table2614256789111213[[#This Row],[Evaluators Response (SELECT)]],Table2614256789111213[[#This Row],[1]:[11]],0)-1)/(COUNTA(Table2614256789111213[[#This Row],[1]:[11]])-COUNTBLANK(Table2614256789111213[[#This Row],[1]:[11]])-1)))</f>
        <v>#N/A</v>
      </c>
      <c r="M23" s="28"/>
      <c r="N23" s="29" t="str" cm="1">
        <f t="array" ref="N23">IFERROR(INDEX(_xlfn.UNIQUE(TRIM(_xlfn.TEXTSPLIT(Table2614256789111213[[#This Row],[Selection Options]:[Selection Options]],","))),,N$11),"")</f>
        <v>100%: Yes</v>
      </c>
      <c r="O23" s="29" t="str" cm="1">
        <f t="array" ref="O23">IFERROR(INDEX(_xlfn.UNIQUE(TRIM(_xlfn.TEXTSPLIT(Table2614256789111213[[#This Row],[Selection Options]:[Selection Options]],","))),,O$11),"")</f>
        <v xml:space="preserve">
0%: No</v>
      </c>
      <c r="P23" s="29" t="str" cm="1">
        <f t="array" ref="P23">IFERROR(INDEX(_xlfn.UNIQUE(TRIM(_xlfn.TEXTSPLIT(Table2614256789111213[[#This Row],[Selection Options]:[Selection Options]],","))),,P$11),"")</f>
        <v/>
      </c>
      <c r="Q23" s="29" t="str" cm="1">
        <f t="array" ref="Q23">IFERROR(INDEX(_xlfn.UNIQUE(TRIM(_xlfn.TEXTSPLIT(Table2614256789111213[[#This Row],[Selection Options]:[Selection Options]],","))),,Q$11),"")</f>
        <v/>
      </c>
      <c r="R23" s="29" t="str" cm="1">
        <f t="array" ref="R23">IFERROR(INDEX(_xlfn.UNIQUE(TRIM(_xlfn.TEXTSPLIT(Table2614256789111213[[#This Row],[Selection Options]:[Selection Options]],","))),,R$11),"")</f>
        <v/>
      </c>
      <c r="S23" s="29" t="str" cm="1">
        <f t="array" ref="S23">IFERROR(INDEX(_xlfn.UNIQUE(TRIM(_xlfn.TEXTSPLIT(Table2614256789111213[[#This Row],[Selection Options]:[Selection Options]],","))),,S$11),"")</f>
        <v/>
      </c>
      <c r="T23" s="29" t="str" cm="1">
        <f t="array" ref="T23">IFERROR(INDEX(_xlfn.UNIQUE(TRIM(_xlfn.TEXTSPLIT(Table2614256789111213[[#This Row],[Selection Options]:[Selection Options]],","))),,T$11),"")</f>
        <v/>
      </c>
      <c r="U23" s="29" t="str" cm="1">
        <f t="array" ref="U23">IFERROR(INDEX(_xlfn.UNIQUE(TRIM(_xlfn.TEXTSPLIT(Table2614256789111213[[#This Row],[Selection Options]:[Selection Options]],","))),,U$11),"")</f>
        <v/>
      </c>
      <c r="V23" s="29" t="str" cm="1">
        <f t="array" ref="V23">IFERROR(INDEX(_xlfn.UNIQUE(TRIM(_xlfn.TEXTSPLIT(Table2614256789111213[[#This Row],[Selection Options]:[Selection Options]],","))),,V$11),"")</f>
        <v/>
      </c>
      <c r="W23" s="29" t="str" cm="1">
        <f t="array" ref="W23">IFERROR(INDEX(_xlfn.UNIQUE(TRIM(_xlfn.TEXTSPLIT(Table2614256789111213[[#This Row],[Selection Options]:[Selection Options]],","))),,W$11),"")</f>
        <v/>
      </c>
      <c r="X23" s="29" t="str" cm="1">
        <f t="array" ref="X23">IFERROR(INDEX(_xlfn.UNIQUE(TRIM(_xlfn.TEXTSPLIT(Table2614256789111213[[#This Row],[Selection Options]:[Selection Options]],","))),,X$11),"")</f>
        <v/>
      </c>
      <c r="Y23" s="30" cm="1">
        <f t="array" ref="Y23">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23" s="30" cm="1">
        <f t="array" ref="Z23">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3" s="30" t="str" cm="1">
        <f t="array" ref="AA23">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3" s="30" t="str" cm="1">
        <f t="array" ref="AB23">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3" s="30" t="str" cm="1">
        <f t="array" ref="AC23">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3" s="30" t="str" cm="1">
        <f t="array" ref="AD23">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3" s="30" t="str" cm="1">
        <f t="array" ref="AE23">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3" s="30" t="str" cm="1">
        <f t="array" ref="AF23">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3" s="30" t="str" cm="1">
        <f t="array" ref="AG23">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3" s="30" t="str" cm="1">
        <f t="array" ref="AH23">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3" s="30" t="str" cm="1">
        <f t="array" ref="AI23">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4" spans="1:35" ht="61.35" customHeight="1" x14ac:dyDescent="0.2">
      <c r="A24" s="20">
        <v>12</v>
      </c>
      <c r="B24" s="21" t="s">
        <v>626</v>
      </c>
      <c r="C24" s="158" t="s">
        <v>616</v>
      </c>
      <c r="D24" s="31"/>
      <c r="E24" s="31"/>
      <c r="F24" s="159" t="s">
        <v>188</v>
      </c>
      <c r="G24" s="155" cm="1">
        <f t="array" ref="G24">_xlfn.IFS(F24="","",F24="No interest",0,F24="Nice to have",1,F24="Useful",2,F24="Important",3,F24="Very important",4,F24="Critical",5,F24="Show stopper",6)</f>
        <v>5</v>
      </c>
      <c r="H24" s="156">
        <f t="shared" si="1"/>
        <v>2.3148148148148147E-3</v>
      </c>
      <c r="I24" s="154" t="s">
        <v>621</v>
      </c>
      <c r="J24" s="35" t="str" cm="1">
        <f t="array" ref="J24">_xlfn.TEXTJOIN(","&amp;CHAR(10),,TEXT(Table2614256789111213[[#This Row],[12]:[22]],"0,00%"))</f>
        <v>0,00%,
0,00%</v>
      </c>
      <c r="K24" s="26"/>
      <c r="L24" s="27" t="e">
        <f>H24-(H24*((MATCH(Table2614256789111213[[#This Row],[Evaluators Response (SELECT)]],Table2614256789111213[[#This Row],[1]:[11]],0)-1)/(COUNTA(Table2614256789111213[[#This Row],[1]:[11]])-COUNTBLANK(Table2614256789111213[[#This Row],[1]:[11]])-1)))</f>
        <v>#N/A</v>
      </c>
      <c r="M24" s="28"/>
      <c r="N24" s="29" t="str" cm="1">
        <f t="array" ref="N24">IFERROR(INDEX(_xlfn.UNIQUE(TRIM(_xlfn.TEXTSPLIT(Table2614256789111213[[#This Row],[Selection Options]:[Selection Options]],","))),,N$11),"")</f>
        <v>100%: Yes</v>
      </c>
      <c r="O24" s="29" t="str" cm="1">
        <f t="array" ref="O24">IFERROR(INDEX(_xlfn.UNIQUE(TRIM(_xlfn.TEXTSPLIT(Table2614256789111213[[#This Row],[Selection Options]:[Selection Options]],","))),,O$11),"")</f>
        <v xml:space="preserve">
0%: No</v>
      </c>
      <c r="P24" s="29" t="str" cm="1">
        <f t="array" ref="P24">IFERROR(INDEX(_xlfn.UNIQUE(TRIM(_xlfn.TEXTSPLIT(Table2614256789111213[[#This Row],[Selection Options]:[Selection Options]],","))),,P$11),"")</f>
        <v/>
      </c>
      <c r="Q24" s="29" t="str" cm="1">
        <f t="array" ref="Q24">IFERROR(INDEX(_xlfn.UNIQUE(TRIM(_xlfn.TEXTSPLIT(Table2614256789111213[[#This Row],[Selection Options]:[Selection Options]],","))),,Q$11),"")</f>
        <v/>
      </c>
      <c r="R24" s="29" t="str" cm="1">
        <f t="array" ref="R24">IFERROR(INDEX(_xlfn.UNIQUE(TRIM(_xlfn.TEXTSPLIT(Table2614256789111213[[#This Row],[Selection Options]:[Selection Options]],","))),,R$11),"")</f>
        <v/>
      </c>
      <c r="S24" s="29" t="str" cm="1">
        <f t="array" ref="S24">IFERROR(INDEX(_xlfn.UNIQUE(TRIM(_xlfn.TEXTSPLIT(Table2614256789111213[[#This Row],[Selection Options]:[Selection Options]],","))),,S$11),"")</f>
        <v/>
      </c>
      <c r="T24" s="29" t="str" cm="1">
        <f t="array" ref="T24">IFERROR(INDEX(_xlfn.UNIQUE(TRIM(_xlfn.TEXTSPLIT(Table2614256789111213[[#This Row],[Selection Options]:[Selection Options]],","))),,T$11),"")</f>
        <v/>
      </c>
      <c r="U24" s="29" t="str" cm="1">
        <f t="array" ref="U24">IFERROR(INDEX(_xlfn.UNIQUE(TRIM(_xlfn.TEXTSPLIT(Table2614256789111213[[#This Row],[Selection Options]:[Selection Options]],","))),,U$11),"")</f>
        <v/>
      </c>
      <c r="V24" s="29" t="str" cm="1">
        <f t="array" ref="V24">IFERROR(INDEX(_xlfn.UNIQUE(TRIM(_xlfn.TEXTSPLIT(Table2614256789111213[[#This Row],[Selection Options]:[Selection Options]],","))),,V$11),"")</f>
        <v/>
      </c>
      <c r="W24" s="29" t="str" cm="1">
        <f t="array" ref="W24">IFERROR(INDEX(_xlfn.UNIQUE(TRIM(_xlfn.TEXTSPLIT(Table2614256789111213[[#This Row],[Selection Options]:[Selection Options]],","))),,W$11),"")</f>
        <v/>
      </c>
      <c r="X24" s="29" t="str" cm="1">
        <f t="array" ref="X24">IFERROR(INDEX(_xlfn.UNIQUE(TRIM(_xlfn.TEXTSPLIT(Table2614256789111213[[#This Row],[Selection Options]:[Selection Options]],","))),,X$11),"")</f>
        <v/>
      </c>
      <c r="Y24" s="30" cm="1">
        <f t="array" ref="Y24">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4" s="30" cm="1">
        <f t="array" ref="Z24">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4" s="30" t="str" cm="1">
        <f t="array" ref="AA24">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4" s="30" t="str" cm="1">
        <f t="array" ref="AB24">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4" s="30" t="str" cm="1">
        <f t="array" ref="AC24">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4" s="30" t="str" cm="1">
        <f t="array" ref="AD24">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4" s="30" t="str" cm="1">
        <f t="array" ref="AE24">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4" s="30" t="str" cm="1">
        <f t="array" ref="AF24">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4" s="30" t="str" cm="1">
        <f t="array" ref="AG24">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4" s="30" t="str" cm="1">
        <f t="array" ref="AH24">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4" s="30" t="str" cm="1">
        <f t="array" ref="AI24">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5" spans="1:35" ht="61.7" customHeight="1" x14ac:dyDescent="0.2">
      <c r="A25" s="20">
        <v>13</v>
      </c>
      <c r="B25" s="21" t="s">
        <v>627</v>
      </c>
      <c r="C25" s="158" t="s">
        <v>616</v>
      </c>
      <c r="D25" s="31"/>
      <c r="E25" s="31"/>
      <c r="F25" s="159" t="s">
        <v>188</v>
      </c>
      <c r="G25" s="155" cm="1">
        <f t="array" ref="G25">_xlfn.IFS(F25="","",F25="No interest",0,F25="Nice to have",1,F25="Useful",2,F25="Important",3,F25="Very important",4,F25="Critical",5,F25="Show stopper",6)</f>
        <v>5</v>
      </c>
      <c r="H25" s="156">
        <f t="shared" si="1"/>
        <v>2.3148148148148147E-3</v>
      </c>
      <c r="I25" s="154" t="s">
        <v>621</v>
      </c>
      <c r="J25" s="35" t="str" cm="1">
        <f t="array" ref="J25">_xlfn.TEXTJOIN(","&amp;CHAR(10),,TEXT(Table2614256789111213[[#This Row],[12]:[22]],"0,00%"))</f>
        <v>0,00%,
0,00%</v>
      </c>
      <c r="K25" s="26"/>
      <c r="L25" s="27" t="e">
        <f>H25-(H25*((MATCH(Table2614256789111213[[#This Row],[Evaluators Response (SELECT)]],Table2614256789111213[[#This Row],[1]:[11]],0)-1)/(COUNTA(Table2614256789111213[[#This Row],[1]:[11]])-COUNTBLANK(Table2614256789111213[[#This Row],[1]:[11]])-1)))</f>
        <v>#N/A</v>
      </c>
      <c r="M25" s="28"/>
      <c r="N25" s="29" t="str" cm="1">
        <f t="array" ref="N25">IFERROR(INDEX(_xlfn.UNIQUE(TRIM(_xlfn.TEXTSPLIT(Table2614256789111213[[#This Row],[Selection Options]:[Selection Options]],","))),,N$11),"")</f>
        <v>100%: Yes</v>
      </c>
      <c r="O25" s="29" t="str" cm="1">
        <f t="array" ref="O25">IFERROR(INDEX(_xlfn.UNIQUE(TRIM(_xlfn.TEXTSPLIT(Table2614256789111213[[#This Row],[Selection Options]:[Selection Options]],","))),,O$11),"")</f>
        <v xml:space="preserve">
0%: No</v>
      </c>
      <c r="P25" s="29" t="str" cm="1">
        <f t="array" ref="P25">IFERROR(INDEX(_xlfn.UNIQUE(TRIM(_xlfn.TEXTSPLIT(Table2614256789111213[[#This Row],[Selection Options]:[Selection Options]],","))),,P$11),"")</f>
        <v/>
      </c>
      <c r="Q25" s="29" t="str" cm="1">
        <f t="array" ref="Q25">IFERROR(INDEX(_xlfn.UNIQUE(TRIM(_xlfn.TEXTSPLIT(Table2614256789111213[[#This Row],[Selection Options]:[Selection Options]],","))),,Q$11),"")</f>
        <v/>
      </c>
      <c r="R25" s="29" t="str" cm="1">
        <f t="array" ref="R25">IFERROR(INDEX(_xlfn.UNIQUE(TRIM(_xlfn.TEXTSPLIT(Table2614256789111213[[#This Row],[Selection Options]:[Selection Options]],","))),,R$11),"")</f>
        <v/>
      </c>
      <c r="S25" s="29" t="str" cm="1">
        <f t="array" ref="S25">IFERROR(INDEX(_xlfn.UNIQUE(TRIM(_xlfn.TEXTSPLIT(Table2614256789111213[[#This Row],[Selection Options]:[Selection Options]],","))),,S$11),"")</f>
        <v/>
      </c>
      <c r="T25" s="29" t="str" cm="1">
        <f t="array" ref="T25">IFERROR(INDEX(_xlfn.UNIQUE(TRIM(_xlfn.TEXTSPLIT(Table2614256789111213[[#This Row],[Selection Options]:[Selection Options]],","))),,T$11),"")</f>
        <v/>
      </c>
      <c r="U25" s="29" t="str" cm="1">
        <f t="array" ref="U25">IFERROR(INDEX(_xlfn.UNIQUE(TRIM(_xlfn.TEXTSPLIT(Table2614256789111213[[#This Row],[Selection Options]:[Selection Options]],","))),,U$11),"")</f>
        <v/>
      </c>
      <c r="V25" s="29" t="str" cm="1">
        <f t="array" ref="V25">IFERROR(INDEX(_xlfn.UNIQUE(TRIM(_xlfn.TEXTSPLIT(Table2614256789111213[[#This Row],[Selection Options]:[Selection Options]],","))),,V$11),"")</f>
        <v/>
      </c>
      <c r="W25" s="29" t="str" cm="1">
        <f t="array" ref="W25">IFERROR(INDEX(_xlfn.UNIQUE(TRIM(_xlfn.TEXTSPLIT(Table2614256789111213[[#This Row],[Selection Options]:[Selection Options]],","))),,W$11),"")</f>
        <v/>
      </c>
      <c r="X25" s="29" t="str" cm="1">
        <f t="array" ref="X25">IFERROR(INDEX(_xlfn.UNIQUE(TRIM(_xlfn.TEXTSPLIT(Table2614256789111213[[#This Row],[Selection Options]:[Selection Options]],","))),,X$11),"")</f>
        <v/>
      </c>
      <c r="Y25" s="30" cm="1">
        <f t="array" ref="Y25">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5" s="30" cm="1">
        <f t="array" ref="Z25">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5" s="30" t="str" cm="1">
        <f t="array" ref="AA25">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5" s="30" t="str" cm="1">
        <f t="array" ref="AB25">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5" s="30" t="str" cm="1">
        <f t="array" ref="AC25">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5" s="30" t="str" cm="1">
        <f t="array" ref="AD25">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5" s="30" t="str" cm="1">
        <f t="array" ref="AE25">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5" s="30" t="str" cm="1">
        <f t="array" ref="AF25">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5" s="30" t="str" cm="1">
        <f t="array" ref="AG25">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5" s="30" t="str" cm="1">
        <f t="array" ref="AH25">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5" s="30" t="str" cm="1">
        <f t="array" ref="AI25">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6" spans="1:35" ht="50.45" customHeight="1" x14ac:dyDescent="0.2">
      <c r="A26" s="20">
        <v>14</v>
      </c>
      <c r="B26" s="21" t="s">
        <v>628</v>
      </c>
      <c r="C26" s="158" t="s">
        <v>616</v>
      </c>
      <c r="D26" s="31"/>
      <c r="E26" s="31"/>
      <c r="F26" s="159" t="s">
        <v>188</v>
      </c>
      <c r="G26" s="155" cm="1">
        <f t="array" ref="G26">_xlfn.IFS(F26="","",F26="No interest",0,F26="Nice to have",1,F26="Useful",2,F26="Important",3,F26="Very important",4,F26="Critical",5,F26="Show stopper",6)</f>
        <v>5</v>
      </c>
      <c r="H26" s="156">
        <f t="shared" si="1"/>
        <v>2.3148148148148147E-3</v>
      </c>
      <c r="I26" s="154" t="s">
        <v>621</v>
      </c>
      <c r="J26" s="35" t="str" cm="1">
        <f t="array" ref="J26">_xlfn.TEXTJOIN(","&amp;CHAR(10),,TEXT(Table2614256789111213[[#This Row],[12]:[22]],"0,00%"))</f>
        <v>0,00%,
0,00%</v>
      </c>
      <c r="K26" s="26"/>
      <c r="L26" s="27" t="e">
        <f>H26-(H26*((MATCH(Table2614256789111213[[#This Row],[Evaluators Response (SELECT)]],Table2614256789111213[[#This Row],[1]:[11]],0)-1)/(COUNTA(Table2614256789111213[[#This Row],[1]:[11]])-COUNTBLANK(Table2614256789111213[[#This Row],[1]:[11]])-1)))</f>
        <v>#N/A</v>
      </c>
      <c r="M26" s="28"/>
      <c r="N26" s="29" t="str" cm="1">
        <f t="array" ref="N26">IFERROR(INDEX(_xlfn.UNIQUE(TRIM(_xlfn.TEXTSPLIT(Table2614256789111213[[#This Row],[Selection Options]:[Selection Options]],","))),,N$11),"")</f>
        <v>100%: Yes</v>
      </c>
      <c r="O26" s="29" t="str" cm="1">
        <f t="array" ref="O26">IFERROR(INDEX(_xlfn.UNIQUE(TRIM(_xlfn.TEXTSPLIT(Table2614256789111213[[#This Row],[Selection Options]:[Selection Options]],","))),,O$11),"")</f>
        <v xml:space="preserve">
0%: No</v>
      </c>
      <c r="P26" s="29" t="str" cm="1">
        <f t="array" ref="P26">IFERROR(INDEX(_xlfn.UNIQUE(TRIM(_xlfn.TEXTSPLIT(Table2614256789111213[[#This Row],[Selection Options]:[Selection Options]],","))),,P$11),"")</f>
        <v/>
      </c>
      <c r="Q26" s="29" t="str" cm="1">
        <f t="array" ref="Q26">IFERROR(INDEX(_xlfn.UNIQUE(TRIM(_xlfn.TEXTSPLIT(Table2614256789111213[[#This Row],[Selection Options]:[Selection Options]],","))),,Q$11),"")</f>
        <v/>
      </c>
      <c r="R26" s="29" t="str" cm="1">
        <f t="array" ref="R26">IFERROR(INDEX(_xlfn.UNIQUE(TRIM(_xlfn.TEXTSPLIT(Table2614256789111213[[#This Row],[Selection Options]:[Selection Options]],","))),,R$11),"")</f>
        <v/>
      </c>
      <c r="S26" s="29" t="str" cm="1">
        <f t="array" ref="S26">IFERROR(INDEX(_xlfn.UNIQUE(TRIM(_xlfn.TEXTSPLIT(Table2614256789111213[[#This Row],[Selection Options]:[Selection Options]],","))),,S$11),"")</f>
        <v/>
      </c>
      <c r="T26" s="29" t="str" cm="1">
        <f t="array" ref="T26">IFERROR(INDEX(_xlfn.UNIQUE(TRIM(_xlfn.TEXTSPLIT(Table2614256789111213[[#This Row],[Selection Options]:[Selection Options]],","))),,T$11),"")</f>
        <v/>
      </c>
      <c r="U26" s="29" t="str" cm="1">
        <f t="array" ref="U26">IFERROR(INDEX(_xlfn.UNIQUE(TRIM(_xlfn.TEXTSPLIT(Table2614256789111213[[#This Row],[Selection Options]:[Selection Options]],","))),,U$11),"")</f>
        <v/>
      </c>
      <c r="V26" s="29" t="str" cm="1">
        <f t="array" ref="V26">IFERROR(INDEX(_xlfn.UNIQUE(TRIM(_xlfn.TEXTSPLIT(Table2614256789111213[[#This Row],[Selection Options]:[Selection Options]],","))),,V$11),"")</f>
        <v/>
      </c>
      <c r="W26" s="29" t="str" cm="1">
        <f t="array" ref="W26">IFERROR(INDEX(_xlfn.UNIQUE(TRIM(_xlfn.TEXTSPLIT(Table2614256789111213[[#This Row],[Selection Options]:[Selection Options]],","))),,W$11),"")</f>
        <v/>
      </c>
      <c r="X26" s="29" t="str" cm="1">
        <f t="array" ref="X26">IFERROR(INDEX(_xlfn.UNIQUE(TRIM(_xlfn.TEXTSPLIT(Table2614256789111213[[#This Row],[Selection Options]:[Selection Options]],","))),,X$11),"")</f>
        <v/>
      </c>
      <c r="Y26" s="30" cm="1">
        <f t="array" ref="Y26">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6" s="30" cm="1">
        <f t="array" ref="Z26">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6" s="30" t="str" cm="1">
        <f t="array" ref="AA26">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6" s="30" t="str" cm="1">
        <f t="array" ref="AB26">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6" s="30" t="str" cm="1">
        <f t="array" ref="AC26">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6" s="30" t="str" cm="1">
        <f t="array" ref="AD26">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6" s="30" t="str" cm="1">
        <f t="array" ref="AE26">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6" s="30" t="str" cm="1">
        <f t="array" ref="AF26">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6" s="30" t="str" cm="1">
        <f t="array" ref="AG26">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6" s="30" t="str" cm="1">
        <f t="array" ref="AH26">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6" s="30" t="str" cm="1">
        <f t="array" ref="AI26">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7" spans="1:35" ht="61.7" customHeight="1" x14ac:dyDescent="0.2">
      <c r="A27" s="20">
        <v>15</v>
      </c>
      <c r="B27" s="21" t="s">
        <v>629</v>
      </c>
      <c r="C27" s="158" t="s">
        <v>616</v>
      </c>
      <c r="D27" s="28"/>
      <c r="E27" s="28"/>
      <c r="F27" s="159" t="s">
        <v>188</v>
      </c>
      <c r="G27" s="155" cm="1">
        <f t="array" ref="G27">_xlfn.IFS(F27="","",F27="No interest",0,F27="Nice to have",1,F27="Useful",2,F27="Important",3,F27="Very important",4,F27="Critical",5,F27="Show stopper",6)</f>
        <v>5</v>
      </c>
      <c r="H27" s="156">
        <f t="shared" si="1"/>
        <v>2.3148148148148147E-3</v>
      </c>
      <c r="I27" s="154" t="s">
        <v>621</v>
      </c>
      <c r="J27" s="35" t="str" cm="1">
        <f t="array" ref="J27">_xlfn.TEXTJOIN(","&amp;CHAR(10),,TEXT(Table2614256789111213[[#This Row],[12]:[22]],"0,00%"))</f>
        <v>0,00%,
0,00%</v>
      </c>
      <c r="K27" s="26"/>
      <c r="L27" s="27" t="e">
        <f>H27-(H27*((MATCH(Table2614256789111213[[#This Row],[Evaluators Response (SELECT)]],Table2614256789111213[[#This Row],[1]:[11]],0)-1)/(COUNTA(Table2614256789111213[[#This Row],[1]:[11]])-COUNTBLANK(Table2614256789111213[[#This Row],[1]:[11]])-1)))</f>
        <v>#N/A</v>
      </c>
      <c r="M27" s="28"/>
      <c r="N27" s="29" t="str" cm="1">
        <f t="array" ref="N27">IFERROR(INDEX(_xlfn.UNIQUE(TRIM(_xlfn.TEXTSPLIT(Table2614256789111213[[#This Row],[Selection Options]:[Selection Options]],","))),,N$11),"")</f>
        <v>100%: Yes</v>
      </c>
      <c r="O27" s="29" t="str" cm="1">
        <f t="array" ref="O27">IFERROR(INDEX(_xlfn.UNIQUE(TRIM(_xlfn.TEXTSPLIT(Table2614256789111213[[#This Row],[Selection Options]:[Selection Options]],","))),,O$11),"")</f>
        <v xml:space="preserve">
0%: No</v>
      </c>
      <c r="P27" s="29" t="str" cm="1">
        <f t="array" ref="P27">IFERROR(INDEX(_xlfn.UNIQUE(TRIM(_xlfn.TEXTSPLIT(Table2614256789111213[[#This Row],[Selection Options]:[Selection Options]],","))),,P$11),"")</f>
        <v/>
      </c>
      <c r="Q27" s="29" t="str" cm="1">
        <f t="array" ref="Q27">IFERROR(INDEX(_xlfn.UNIQUE(TRIM(_xlfn.TEXTSPLIT(Table2614256789111213[[#This Row],[Selection Options]:[Selection Options]],","))),,Q$11),"")</f>
        <v/>
      </c>
      <c r="R27" s="29" t="str" cm="1">
        <f t="array" ref="R27">IFERROR(INDEX(_xlfn.UNIQUE(TRIM(_xlfn.TEXTSPLIT(Table2614256789111213[[#This Row],[Selection Options]:[Selection Options]],","))),,R$11),"")</f>
        <v/>
      </c>
      <c r="S27" s="29" t="str" cm="1">
        <f t="array" ref="S27">IFERROR(INDEX(_xlfn.UNIQUE(TRIM(_xlfn.TEXTSPLIT(Table2614256789111213[[#This Row],[Selection Options]:[Selection Options]],","))),,S$11),"")</f>
        <v/>
      </c>
      <c r="T27" s="29" t="str" cm="1">
        <f t="array" ref="T27">IFERROR(INDEX(_xlfn.UNIQUE(TRIM(_xlfn.TEXTSPLIT(Table2614256789111213[[#This Row],[Selection Options]:[Selection Options]],","))),,T$11),"")</f>
        <v/>
      </c>
      <c r="U27" s="29" t="str" cm="1">
        <f t="array" ref="U27">IFERROR(INDEX(_xlfn.UNIQUE(TRIM(_xlfn.TEXTSPLIT(Table2614256789111213[[#This Row],[Selection Options]:[Selection Options]],","))),,U$11),"")</f>
        <v/>
      </c>
      <c r="V27" s="29" t="str" cm="1">
        <f t="array" ref="V27">IFERROR(INDEX(_xlfn.UNIQUE(TRIM(_xlfn.TEXTSPLIT(Table2614256789111213[[#This Row],[Selection Options]:[Selection Options]],","))),,V$11),"")</f>
        <v/>
      </c>
      <c r="W27" s="29" t="str" cm="1">
        <f t="array" ref="W27">IFERROR(INDEX(_xlfn.UNIQUE(TRIM(_xlfn.TEXTSPLIT(Table2614256789111213[[#This Row],[Selection Options]:[Selection Options]],","))),,W$11),"")</f>
        <v/>
      </c>
      <c r="X27" s="29" t="str" cm="1">
        <f t="array" ref="X27">IFERROR(INDEX(_xlfn.UNIQUE(TRIM(_xlfn.TEXTSPLIT(Table2614256789111213[[#This Row],[Selection Options]:[Selection Options]],","))),,X$11),"")</f>
        <v/>
      </c>
      <c r="Y27" s="30" cm="1">
        <f t="array" ref="Y27">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7" s="30" cm="1">
        <f t="array" ref="Z27">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7" s="30" t="str" cm="1">
        <f t="array" ref="AA27">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7" s="30" t="str" cm="1">
        <f t="array" ref="AB27">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7" s="30" t="str" cm="1">
        <f t="array" ref="AC27">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7" s="30" t="str" cm="1">
        <f t="array" ref="AD27">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7" s="30" t="str" cm="1">
        <f t="array" ref="AE27">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7" s="30" t="str" cm="1">
        <f t="array" ref="AF27">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7" s="30" t="str" cm="1">
        <f t="array" ref="AG27">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7" s="30" t="str" cm="1">
        <f t="array" ref="AH27">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7" s="30" t="str" cm="1">
        <f t="array" ref="AI27">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8" spans="1:35" ht="58.35" customHeight="1" x14ac:dyDescent="0.2">
      <c r="A28" s="20">
        <v>16</v>
      </c>
      <c r="B28" s="241" t="s">
        <v>630</v>
      </c>
      <c r="C28" s="158" t="s">
        <v>616</v>
      </c>
      <c r="D28" s="28"/>
      <c r="E28" s="28"/>
      <c r="F28" s="159" t="s">
        <v>60</v>
      </c>
      <c r="G28" s="155" cm="1">
        <f t="array" ref="G28">_xlfn.IFS(F28="","",F28="No interest",0,F28="Nice to have",1,F28="Useful",2,F28="Important",3,F28="Very important",4,F28="Critical",5,F28="Show stopper",6)</f>
        <v>6</v>
      </c>
      <c r="H28" s="156">
        <f t="shared" si="1"/>
        <v>2.7777777777777775E-3</v>
      </c>
      <c r="I28" s="154" t="s">
        <v>631</v>
      </c>
      <c r="J28" s="35" t="str" cm="1">
        <f t="array" ref="J28">_xlfn.TEXTJOIN(","&amp;CHAR(10),,TEXT(Table2614256789111213[[#This Row],[12]:[22]],"0,00%"))</f>
        <v>0,00%,
0,00%,
0,00%</v>
      </c>
      <c r="K28" s="26"/>
      <c r="L28" s="27" t="e">
        <f>H28-(H28*((MATCH(Table2614256789111213[[#This Row],[Evaluators Response (SELECT)]],Table2614256789111213[[#This Row],[1]:[11]],0)-1)/(COUNTA(Table2614256789111213[[#This Row],[1]:[11]])-COUNTBLANK(Table2614256789111213[[#This Row],[1]:[11]])-1)))</f>
        <v>#N/A</v>
      </c>
      <c r="M28" s="28"/>
      <c r="N28" s="29" t="str" cm="1">
        <f t="array" ref="N28">IFERROR(INDEX(_xlfn.UNIQUE(TRIM(_xlfn.TEXTSPLIT(Table2614256789111213[[#This Row],[Selection Options]:[Selection Options]],","))),,N$11),"")</f>
        <v>100%: Dev; QA and production for each instance</v>
      </c>
      <c r="O28" s="29" t="str" cm="1">
        <f t="array" ref="O28">IFERROR(INDEX(_xlfn.UNIQUE(TRIM(_xlfn.TEXTSPLIT(Table2614256789111213[[#This Row],[Selection Options]:[Selection Options]],","))),,O$11),"")</f>
        <v xml:space="preserve">
50%: Production and QA</v>
      </c>
      <c r="P28" s="29" t="str" cm="1">
        <f t="array" ref="P28">IFERROR(INDEX(_xlfn.UNIQUE(TRIM(_xlfn.TEXTSPLIT(Table2614256789111213[[#This Row],[Selection Options]:[Selection Options]],","))),,P$11),"")</f>
        <v xml:space="preserve">
0%: Only production environment</v>
      </c>
      <c r="Q28" s="29" t="str" cm="1">
        <f t="array" ref="Q28">IFERROR(INDEX(_xlfn.UNIQUE(TRIM(_xlfn.TEXTSPLIT(Table2614256789111213[[#This Row],[Selection Options]:[Selection Options]],","))),,Q$11),"")</f>
        <v/>
      </c>
      <c r="R28" s="29" t="str" cm="1">
        <f t="array" ref="R28">IFERROR(INDEX(_xlfn.UNIQUE(TRIM(_xlfn.TEXTSPLIT(Table2614256789111213[[#This Row],[Selection Options]:[Selection Options]],","))),,R$11),"")</f>
        <v/>
      </c>
      <c r="S28" s="29" t="str" cm="1">
        <f t="array" ref="S28">IFERROR(INDEX(_xlfn.UNIQUE(TRIM(_xlfn.TEXTSPLIT(Table2614256789111213[[#This Row],[Selection Options]:[Selection Options]],","))),,S$11),"")</f>
        <v/>
      </c>
      <c r="T28" s="29" t="str" cm="1">
        <f t="array" ref="T28">IFERROR(INDEX(_xlfn.UNIQUE(TRIM(_xlfn.TEXTSPLIT(Table2614256789111213[[#This Row],[Selection Options]:[Selection Options]],","))),,T$11),"")</f>
        <v/>
      </c>
      <c r="U28" s="29" t="str" cm="1">
        <f t="array" ref="U28">IFERROR(INDEX(_xlfn.UNIQUE(TRIM(_xlfn.TEXTSPLIT(Table2614256789111213[[#This Row],[Selection Options]:[Selection Options]],","))),,U$11),"")</f>
        <v/>
      </c>
      <c r="V28" s="29" t="str" cm="1">
        <f t="array" ref="V28">IFERROR(INDEX(_xlfn.UNIQUE(TRIM(_xlfn.TEXTSPLIT(Table2614256789111213[[#This Row],[Selection Options]:[Selection Options]],","))),,V$11),"")</f>
        <v/>
      </c>
      <c r="W28" s="29" t="str" cm="1">
        <f t="array" ref="W28">IFERROR(INDEX(_xlfn.UNIQUE(TRIM(_xlfn.TEXTSPLIT(Table2614256789111213[[#This Row],[Selection Options]:[Selection Options]],","))),,W$11),"")</f>
        <v/>
      </c>
      <c r="X28" s="29" t="str" cm="1">
        <f t="array" ref="X28">IFERROR(INDEX(_xlfn.UNIQUE(TRIM(_xlfn.TEXTSPLIT(Table2614256789111213[[#This Row],[Selection Options]:[Selection Options]],","))),,X$11),"")</f>
        <v/>
      </c>
      <c r="Y28" s="30" cm="1">
        <f t="array" ref="Y28">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28" s="30" cm="1">
        <f t="array" ref="Z28">IF(Table2614256789111213[[#This Row],[2]]="","",Table2614256789111213[[#This Row],[Weight]:[Weight]]-(Table2614256789111213[[#This Row],[Weight]:[Weight]]*((_xlfn.XMATCH(Table2614256789111213[[#This Row],[2]],Table2614256789111213[[#This Row],[1]:[11]],0))-1)/(COUNTA(Table2614256789111213[[#This Row],[1]:[11]])-COUNTBLANK(Table2614256789111213[[#This Row],[1]:[11]])-1)))</f>
        <v>1.3888888888888887E-3</v>
      </c>
      <c r="AA28" s="30" cm="1">
        <f t="array" ref="AA28">IF(Table2614256789111213[[#This Row],[3]]="","",Table2614256789111213[[#This Row],[Weight]:[Weight]]-(Table2614256789111213[[#This Row],[Weight]:[Weight]]*((_xlfn.XMATCH(Table2614256789111213[[#This Row],[3]],Table2614256789111213[[#This Row],[1]:[11]],0))-1)/(COUNTA(Table2614256789111213[[#This Row],[1]:[11]])-COUNTBLANK(Table2614256789111213[[#This Row],[1]:[11]])-1)))</f>
        <v>0</v>
      </c>
      <c r="AB28" s="30" t="str" cm="1">
        <f t="array" ref="AB28">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8" s="30" t="str" cm="1">
        <f t="array" ref="AC28">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8" s="30" t="str" cm="1">
        <f t="array" ref="AD28">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8" s="30" t="str" cm="1">
        <f t="array" ref="AE28">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8" s="30" t="str" cm="1">
        <f t="array" ref="AF28">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8" s="30" t="str" cm="1">
        <f t="array" ref="AG28">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8" s="30" t="str" cm="1">
        <f t="array" ref="AH28">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8" s="30" t="str" cm="1">
        <f t="array" ref="AI28">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29" spans="1:35" ht="55.7" customHeight="1" x14ac:dyDescent="0.2">
      <c r="A29" s="20">
        <v>17</v>
      </c>
      <c r="B29" s="21" t="s">
        <v>632</v>
      </c>
      <c r="C29" s="158" t="s">
        <v>616</v>
      </c>
      <c r="D29" s="28"/>
      <c r="E29" s="28"/>
      <c r="F29" s="159" t="s">
        <v>188</v>
      </c>
      <c r="G29" s="155" cm="1">
        <f t="array" ref="G29">_xlfn.IFS(F29="","",F29="No interest",0,F29="Nice to have",1,F29="Useful",2,F29="Important",3,F29="Very important",4,F29="Critical",5,F29="Show stopper",6)</f>
        <v>5</v>
      </c>
      <c r="H29" s="156">
        <f t="shared" si="1"/>
        <v>2.3148148148148147E-3</v>
      </c>
      <c r="I29" s="154" t="s">
        <v>621</v>
      </c>
      <c r="J29" s="35" t="str" cm="1">
        <f t="array" ref="J29">_xlfn.TEXTJOIN(","&amp;CHAR(10),,TEXT(Table2614256789111213[[#This Row],[12]:[22]],"0,00%"))</f>
        <v>0,00%,
0,00%</v>
      </c>
      <c r="K29" s="26"/>
      <c r="L29" s="27" t="e">
        <f>H29-(H29*((MATCH(Table2614256789111213[[#This Row],[Evaluators Response (SELECT)]],Table2614256789111213[[#This Row],[1]:[11]],0)-1)/(COUNTA(Table2614256789111213[[#This Row],[1]:[11]])-COUNTBLANK(Table2614256789111213[[#This Row],[1]:[11]])-1)))</f>
        <v>#N/A</v>
      </c>
      <c r="M29" s="28"/>
      <c r="N29" s="29" t="str" cm="1">
        <f t="array" ref="N29">IFERROR(INDEX(_xlfn.UNIQUE(TRIM(_xlfn.TEXTSPLIT(Table2614256789111213[[#This Row],[Selection Options]:[Selection Options]],","))),,N$11),"")</f>
        <v>100%: Yes</v>
      </c>
      <c r="O29" s="29" t="str" cm="1">
        <f t="array" ref="O29">IFERROR(INDEX(_xlfn.UNIQUE(TRIM(_xlfn.TEXTSPLIT(Table2614256789111213[[#This Row],[Selection Options]:[Selection Options]],","))),,O$11),"")</f>
        <v xml:space="preserve">
0%: No</v>
      </c>
      <c r="P29" s="29" t="str" cm="1">
        <f t="array" ref="P29">IFERROR(INDEX(_xlfn.UNIQUE(TRIM(_xlfn.TEXTSPLIT(Table2614256789111213[[#This Row],[Selection Options]:[Selection Options]],","))),,P$11),"")</f>
        <v/>
      </c>
      <c r="Q29" s="29" t="str" cm="1">
        <f t="array" ref="Q29">IFERROR(INDEX(_xlfn.UNIQUE(TRIM(_xlfn.TEXTSPLIT(Table2614256789111213[[#This Row],[Selection Options]:[Selection Options]],","))),,Q$11),"")</f>
        <v/>
      </c>
      <c r="R29" s="29" t="str" cm="1">
        <f t="array" ref="R29">IFERROR(INDEX(_xlfn.UNIQUE(TRIM(_xlfn.TEXTSPLIT(Table2614256789111213[[#This Row],[Selection Options]:[Selection Options]],","))),,R$11),"")</f>
        <v/>
      </c>
      <c r="S29" s="29" t="str" cm="1">
        <f t="array" ref="S29">IFERROR(INDEX(_xlfn.UNIQUE(TRIM(_xlfn.TEXTSPLIT(Table2614256789111213[[#This Row],[Selection Options]:[Selection Options]],","))),,S$11),"")</f>
        <v/>
      </c>
      <c r="T29" s="29" t="str" cm="1">
        <f t="array" ref="T29">IFERROR(INDEX(_xlfn.UNIQUE(TRIM(_xlfn.TEXTSPLIT(Table2614256789111213[[#This Row],[Selection Options]:[Selection Options]],","))),,T$11),"")</f>
        <v/>
      </c>
      <c r="U29" s="29" t="str" cm="1">
        <f t="array" ref="U29">IFERROR(INDEX(_xlfn.UNIQUE(TRIM(_xlfn.TEXTSPLIT(Table2614256789111213[[#This Row],[Selection Options]:[Selection Options]],","))),,U$11),"")</f>
        <v/>
      </c>
      <c r="V29" s="29" t="str" cm="1">
        <f t="array" ref="V29">IFERROR(INDEX(_xlfn.UNIQUE(TRIM(_xlfn.TEXTSPLIT(Table2614256789111213[[#This Row],[Selection Options]:[Selection Options]],","))),,V$11),"")</f>
        <v/>
      </c>
      <c r="W29" s="29" t="str" cm="1">
        <f t="array" ref="W29">IFERROR(INDEX(_xlfn.UNIQUE(TRIM(_xlfn.TEXTSPLIT(Table2614256789111213[[#This Row],[Selection Options]:[Selection Options]],","))),,W$11),"")</f>
        <v/>
      </c>
      <c r="X29" s="29" t="str" cm="1">
        <f t="array" ref="X29">IFERROR(INDEX(_xlfn.UNIQUE(TRIM(_xlfn.TEXTSPLIT(Table2614256789111213[[#This Row],[Selection Options]:[Selection Options]],","))),,X$11),"")</f>
        <v/>
      </c>
      <c r="Y29" s="30" cm="1">
        <f t="array" ref="Y29">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29" s="30" cm="1">
        <f t="array" ref="Z29">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29" s="30" t="str" cm="1">
        <f t="array" ref="AA29">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29" s="30" t="str" cm="1">
        <f t="array" ref="AB29">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29" s="30" t="str" cm="1">
        <f t="array" ref="AC29">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29" s="30" t="str" cm="1">
        <f t="array" ref="AD29">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29" s="30" t="str" cm="1">
        <f t="array" ref="AE29">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29" s="30" t="str" cm="1">
        <f t="array" ref="AF29">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29" s="30" t="str" cm="1">
        <f t="array" ref="AG29">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29" s="30" t="str" cm="1">
        <f t="array" ref="AH29">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29" s="30" t="str" cm="1">
        <f t="array" ref="AI29">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0" spans="1:35" ht="66" customHeight="1" x14ac:dyDescent="0.2">
      <c r="A30" s="20">
        <v>18</v>
      </c>
      <c r="B30" s="21" t="s">
        <v>633</v>
      </c>
      <c r="C30" s="158" t="s">
        <v>616</v>
      </c>
      <c r="D30" s="28"/>
      <c r="E30" s="28"/>
      <c r="F30" s="159" t="s">
        <v>188</v>
      </c>
      <c r="G30" s="155" cm="1">
        <f t="array" ref="G30">_xlfn.IFS(F30="","",F30="No interest",0,F30="Nice to have",1,F30="Useful",2,F30="Important",3,F30="Very important",4,F30="Critical",5,F30="Show stopper",6)</f>
        <v>5</v>
      </c>
      <c r="H30" s="156">
        <f t="shared" si="1"/>
        <v>2.3148148148148147E-3</v>
      </c>
      <c r="I30" s="154" t="s">
        <v>621</v>
      </c>
      <c r="J30" s="35" t="str" cm="1">
        <f t="array" ref="J30">_xlfn.TEXTJOIN(","&amp;CHAR(10),,TEXT(Table2614256789111213[[#This Row],[12]:[22]],"0,00%"))</f>
        <v>0,00%,
0,00%</v>
      </c>
      <c r="K30" s="26"/>
      <c r="L30" s="27" t="e">
        <f>H30-(H30*((MATCH(Table2614256789111213[[#This Row],[Evaluators Response (SELECT)]],Table2614256789111213[[#This Row],[1]:[11]],0)-1)/(COUNTA(Table2614256789111213[[#This Row],[1]:[11]])-COUNTBLANK(Table2614256789111213[[#This Row],[1]:[11]])-1)))</f>
        <v>#N/A</v>
      </c>
      <c r="M30" s="28"/>
      <c r="N30" s="29" t="str" cm="1">
        <f t="array" ref="N30">IFERROR(INDEX(_xlfn.UNIQUE(TRIM(_xlfn.TEXTSPLIT(Table2614256789111213[[#This Row],[Selection Options]:[Selection Options]],","))),,N$11),"")</f>
        <v>100%: Yes</v>
      </c>
      <c r="O30" s="29" t="str" cm="1">
        <f t="array" ref="O30">IFERROR(INDEX(_xlfn.UNIQUE(TRIM(_xlfn.TEXTSPLIT(Table2614256789111213[[#This Row],[Selection Options]:[Selection Options]],","))),,O$11),"")</f>
        <v xml:space="preserve">
0%: No</v>
      </c>
      <c r="P30" s="29" t="str" cm="1">
        <f t="array" ref="P30">IFERROR(INDEX(_xlfn.UNIQUE(TRIM(_xlfn.TEXTSPLIT(Table2614256789111213[[#This Row],[Selection Options]:[Selection Options]],","))),,P$11),"")</f>
        <v/>
      </c>
      <c r="Q30" s="29" t="str" cm="1">
        <f t="array" ref="Q30">IFERROR(INDEX(_xlfn.UNIQUE(TRIM(_xlfn.TEXTSPLIT(Table2614256789111213[[#This Row],[Selection Options]:[Selection Options]],","))),,Q$11),"")</f>
        <v/>
      </c>
      <c r="R30" s="29" t="str" cm="1">
        <f t="array" ref="R30">IFERROR(INDEX(_xlfn.UNIQUE(TRIM(_xlfn.TEXTSPLIT(Table2614256789111213[[#This Row],[Selection Options]:[Selection Options]],","))),,R$11),"")</f>
        <v/>
      </c>
      <c r="S30" s="29" t="str" cm="1">
        <f t="array" ref="S30">IFERROR(INDEX(_xlfn.UNIQUE(TRIM(_xlfn.TEXTSPLIT(Table2614256789111213[[#This Row],[Selection Options]:[Selection Options]],","))),,S$11),"")</f>
        <v/>
      </c>
      <c r="T30" s="29" t="str" cm="1">
        <f t="array" ref="T30">IFERROR(INDEX(_xlfn.UNIQUE(TRIM(_xlfn.TEXTSPLIT(Table2614256789111213[[#This Row],[Selection Options]:[Selection Options]],","))),,T$11),"")</f>
        <v/>
      </c>
      <c r="U30" s="29" t="str" cm="1">
        <f t="array" ref="U30">IFERROR(INDEX(_xlfn.UNIQUE(TRIM(_xlfn.TEXTSPLIT(Table2614256789111213[[#This Row],[Selection Options]:[Selection Options]],","))),,U$11),"")</f>
        <v/>
      </c>
      <c r="V30" s="29" t="str" cm="1">
        <f t="array" ref="V30">IFERROR(INDEX(_xlfn.UNIQUE(TRIM(_xlfn.TEXTSPLIT(Table2614256789111213[[#This Row],[Selection Options]:[Selection Options]],","))),,V$11),"")</f>
        <v/>
      </c>
      <c r="W30" s="29" t="str" cm="1">
        <f t="array" ref="W30">IFERROR(INDEX(_xlfn.UNIQUE(TRIM(_xlfn.TEXTSPLIT(Table2614256789111213[[#This Row],[Selection Options]:[Selection Options]],","))),,W$11),"")</f>
        <v/>
      </c>
      <c r="X30" s="29" t="str" cm="1">
        <f t="array" ref="X30">IFERROR(INDEX(_xlfn.UNIQUE(TRIM(_xlfn.TEXTSPLIT(Table2614256789111213[[#This Row],[Selection Options]:[Selection Options]],","))),,X$11),"")</f>
        <v/>
      </c>
      <c r="Y30" s="30" cm="1">
        <f t="array" ref="Y30">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0" s="30" cm="1">
        <f t="array" ref="Z30">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0" s="30" t="str" cm="1">
        <f t="array" ref="AA30">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0" s="30" t="str" cm="1">
        <f t="array" ref="AB30">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0" s="30" t="str" cm="1">
        <f t="array" ref="AC30">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0" s="30" t="str" cm="1">
        <f t="array" ref="AD30">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0" s="30" t="str" cm="1">
        <f t="array" ref="AE30">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0" s="30" t="str" cm="1">
        <f t="array" ref="AF30">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0" s="30" t="str" cm="1">
        <f t="array" ref="AG30">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0" s="30" t="str" cm="1">
        <f t="array" ref="AH30">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0" s="30" t="str" cm="1">
        <f t="array" ref="AI30">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1" spans="1:35" ht="52.7" customHeight="1" x14ac:dyDescent="0.2">
      <c r="A31" s="20">
        <v>19</v>
      </c>
      <c r="B31" s="21" t="s">
        <v>634</v>
      </c>
      <c r="C31" s="158" t="s">
        <v>616</v>
      </c>
      <c r="D31" s="28"/>
      <c r="E31" s="28"/>
      <c r="F31" s="159" t="s">
        <v>188</v>
      </c>
      <c r="G31" s="155" cm="1">
        <f t="array" ref="G31">_xlfn.IFS(F31="","",F31="No interest",0,F31="Nice to have",1,F31="Useful",2,F31="Important",3,F31="Very important",4,F31="Critical",5,F31="Show stopper",6)</f>
        <v>5</v>
      </c>
      <c r="H31" s="156">
        <f t="shared" si="1"/>
        <v>2.3148148148148147E-3</v>
      </c>
      <c r="I31" s="154" t="s">
        <v>621</v>
      </c>
      <c r="J31" s="35" t="str" cm="1">
        <f t="array" ref="J31">_xlfn.TEXTJOIN(","&amp;CHAR(10),,TEXT(Table2614256789111213[[#This Row],[12]:[22]],"0,00%"))</f>
        <v>0,00%,
0,00%</v>
      </c>
      <c r="K31" s="26"/>
      <c r="L31" s="27" t="e">
        <f>H31-(H31*((MATCH(Table2614256789111213[[#This Row],[Evaluators Response (SELECT)]],Table2614256789111213[[#This Row],[1]:[11]],0)-1)/(COUNTA(Table2614256789111213[[#This Row],[1]:[11]])-COUNTBLANK(Table2614256789111213[[#This Row],[1]:[11]])-1)))</f>
        <v>#N/A</v>
      </c>
      <c r="M31" s="28"/>
      <c r="N31" s="29" t="str" cm="1">
        <f t="array" ref="N31">IFERROR(INDEX(_xlfn.UNIQUE(TRIM(_xlfn.TEXTSPLIT(Table2614256789111213[[#This Row],[Selection Options]:[Selection Options]],","))),,N$11),"")</f>
        <v>100%: Yes</v>
      </c>
      <c r="O31" s="29" t="str" cm="1">
        <f t="array" ref="O31">IFERROR(INDEX(_xlfn.UNIQUE(TRIM(_xlfn.TEXTSPLIT(Table2614256789111213[[#This Row],[Selection Options]:[Selection Options]],","))),,O$11),"")</f>
        <v xml:space="preserve">
0%: No</v>
      </c>
      <c r="P31" s="29" t="str" cm="1">
        <f t="array" ref="P31">IFERROR(INDEX(_xlfn.UNIQUE(TRIM(_xlfn.TEXTSPLIT(Table2614256789111213[[#This Row],[Selection Options]:[Selection Options]],","))),,P$11),"")</f>
        <v/>
      </c>
      <c r="Q31" s="29" t="str" cm="1">
        <f t="array" ref="Q31">IFERROR(INDEX(_xlfn.UNIQUE(TRIM(_xlfn.TEXTSPLIT(Table2614256789111213[[#This Row],[Selection Options]:[Selection Options]],","))),,Q$11),"")</f>
        <v/>
      </c>
      <c r="R31" s="29" t="str" cm="1">
        <f t="array" ref="R31">IFERROR(INDEX(_xlfn.UNIQUE(TRIM(_xlfn.TEXTSPLIT(Table2614256789111213[[#This Row],[Selection Options]:[Selection Options]],","))),,R$11),"")</f>
        <v/>
      </c>
      <c r="S31" s="29" t="str" cm="1">
        <f t="array" ref="S31">IFERROR(INDEX(_xlfn.UNIQUE(TRIM(_xlfn.TEXTSPLIT(Table2614256789111213[[#This Row],[Selection Options]:[Selection Options]],","))),,S$11),"")</f>
        <v/>
      </c>
      <c r="T31" s="29" t="str" cm="1">
        <f t="array" ref="T31">IFERROR(INDEX(_xlfn.UNIQUE(TRIM(_xlfn.TEXTSPLIT(Table2614256789111213[[#This Row],[Selection Options]:[Selection Options]],","))),,T$11),"")</f>
        <v/>
      </c>
      <c r="U31" s="29" t="str" cm="1">
        <f t="array" ref="U31">IFERROR(INDEX(_xlfn.UNIQUE(TRIM(_xlfn.TEXTSPLIT(Table2614256789111213[[#This Row],[Selection Options]:[Selection Options]],","))),,U$11),"")</f>
        <v/>
      </c>
      <c r="V31" s="29" t="str" cm="1">
        <f t="array" ref="V31">IFERROR(INDEX(_xlfn.UNIQUE(TRIM(_xlfn.TEXTSPLIT(Table2614256789111213[[#This Row],[Selection Options]:[Selection Options]],","))),,V$11),"")</f>
        <v/>
      </c>
      <c r="W31" s="29" t="str" cm="1">
        <f t="array" ref="W31">IFERROR(INDEX(_xlfn.UNIQUE(TRIM(_xlfn.TEXTSPLIT(Table2614256789111213[[#This Row],[Selection Options]:[Selection Options]],","))),,W$11),"")</f>
        <v/>
      </c>
      <c r="X31" s="29" t="str" cm="1">
        <f t="array" ref="X31">IFERROR(INDEX(_xlfn.UNIQUE(TRIM(_xlfn.TEXTSPLIT(Table2614256789111213[[#This Row],[Selection Options]:[Selection Options]],","))),,X$11),"")</f>
        <v/>
      </c>
      <c r="Y31" s="30" cm="1">
        <f t="array" ref="Y31">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1" s="30" cm="1">
        <f t="array" ref="Z31">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1" s="30" t="str" cm="1">
        <f t="array" ref="AA31">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1" s="30" t="str" cm="1">
        <f t="array" ref="AB31">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1" s="30" t="str" cm="1">
        <f t="array" ref="AC31">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1" s="30" t="str" cm="1">
        <f t="array" ref="AD31">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1" s="30" t="str" cm="1">
        <f t="array" ref="AE31">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1" s="30" t="str" cm="1">
        <f t="array" ref="AF31">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1" s="30" t="str" cm="1">
        <f t="array" ref="AG31">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1" s="30" t="str" cm="1">
        <f t="array" ref="AH31">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1" s="30" t="str" cm="1">
        <f t="array" ref="AI31">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2" spans="1:35" ht="60.6" customHeight="1" x14ac:dyDescent="0.2">
      <c r="A32" s="20">
        <v>20</v>
      </c>
      <c r="B32" s="241" t="s">
        <v>635</v>
      </c>
      <c r="C32" s="158" t="s">
        <v>616</v>
      </c>
      <c r="D32" s="28"/>
      <c r="E32" s="28"/>
      <c r="F32" s="159" t="s">
        <v>188</v>
      </c>
      <c r="G32" s="155" cm="1">
        <f t="array" ref="G32">_xlfn.IFS(F32="","",F32="No interest",0,F32="Nice to have",1,F32="Useful",2,F32="Important",3,F32="Very important",4,F32="Critical",5,F32="Show stopper",6)</f>
        <v>5</v>
      </c>
      <c r="H32" s="156">
        <f t="shared" si="1"/>
        <v>2.3148148148148147E-3</v>
      </c>
      <c r="I32" s="154" t="s">
        <v>621</v>
      </c>
      <c r="J32" s="35" t="str" cm="1">
        <f t="array" ref="J32">_xlfn.TEXTJOIN(","&amp;CHAR(10),,TEXT(Table2614256789111213[[#This Row],[12]:[22]],"0,00%"))</f>
        <v>0,00%,
0,00%</v>
      </c>
      <c r="K32" s="26"/>
      <c r="L32" s="27" t="e">
        <f>H32-(H32*((MATCH(Table2614256789111213[[#This Row],[Evaluators Response (SELECT)]],Table2614256789111213[[#This Row],[1]:[11]],0)-1)/(COUNTA(Table2614256789111213[[#This Row],[1]:[11]])-COUNTBLANK(Table2614256789111213[[#This Row],[1]:[11]])-1)))</f>
        <v>#N/A</v>
      </c>
      <c r="M32" s="28"/>
      <c r="N32" s="29" t="str" cm="1">
        <f t="array" ref="N32">IFERROR(INDEX(_xlfn.UNIQUE(TRIM(_xlfn.TEXTSPLIT(Table2614256789111213[[#This Row],[Selection Options]:[Selection Options]],","))),,N$11),"")</f>
        <v>100%: Yes</v>
      </c>
      <c r="O32" s="29" t="str" cm="1">
        <f t="array" ref="O32">IFERROR(INDEX(_xlfn.UNIQUE(TRIM(_xlfn.TEXTSPLIT(Table2614256789111213[[#This Row],[Selection Options]:[Selection Options]],","))),,O$11),"")</f>
        <v xml:space="preserve">
0%: No</v>
      </c>
      <c r="P32" s="29" t="str" cm="1">
        <f t="array" ref="P32">IFERROR(INDEX(_xlfn.UNIQUE(TRIM(_xlfn.TEXTSPLIT(Table2614256789111213[[#This Row],[Selection Options]:[Selection Options]],","))),,P$11),"")</f>
        <v/>
      </c>
      <c r="Q32" s="29" t="str" cm="1">
        <f t="array" ref="Q32">IFERROR(INDEX(_xlfn.UNIQUE(TRIM(_xlfn.TEXTSPLIT(Table2614256789111213[[#This Row],[Selection Options]:[Selection Options]],","))),,Q$11),"")</f>
        <v/>
      </c>
      <c r="R32" s="29" t="str" cm="1">
        <f t="array" ref="R32">IFERROR(INDEX(_xlfn.UNIQUE(TRIM(_xlfn.TEXTSPLIT(Table2614256789111213[[#This Row],[Selection Options]:[Selection Options]],","))),,R$11),"")</f>
        <v/>
      </c>
      <c r="S32" s="29" t="str" cm="1">
        <f t="array" ref="S32">IFERROR(INDEX(_xlfn.UNIQUE(TRIM(_xlfn.TEXTSPLIT(Table2614256789111213[[#This Row],[Selection Options]:[Selection Options]],","))),,S$11),"")</f>
        <v/>
      </c>
      <c r="T32" s="29" t="str" cm="1">
        <f t="array" ref="T32">IFERROR(INDEX(_xlfn.UNIQUE(TRIM(_xlfn.TEXTSPLIT(Table2614256789111213[[#This Row],[Selection Options]:[Selection Options]],","))),,T$11),"")</f>
        <v/>
      </c>
      <c r="U32" s="29" t="str" cm="1">
        <f t="array" ref="U32">IFERROR(INDEX(_xlfn.UNIQUE(TRIM(_xlfn.TEXTSPLIT(Table2614256789111213[[#This Row],[Selection Options]:[Selection Options]],","))),,U$11),"")</f>
        <v/>
      </c>
      <c r="V32" s="29" t="str" cm="1">
        <f t="array" ref="V32">IFERROR(INDEX(_xlfn.UNIQUE(TRIM(_xlfn.TEXTSPLIT(Table2614256789111213[[#This Row],[Selection Options]:[Selection Options]],","))),,V$11),"")</f>
        <v/>
      </c>
      <c r="W32" s="29" t="str" cm="1">
        <f t="array" ref="W32">IFERROR(INDEX(_xlfn.UNIQUE(TRIM(_xlfn.TEXTSPLIT(Table2614256789111213[[#This Row],[Selection Options]:[Selection Options]],","))),,W$11),"")</f>
        <v/>
      </c>
      <c r="X32" s="29" t="str" cm="1">
        <f t="array" ref="X32">IFERROR(INDEX(_xlfn.UNIQUE(TRIM(_xlfn.TEXTSPLIT(Table2614256789111213[[#This Row],[Selection Options]:[Selection Options]],","))),,X$11),"")</f>
        <v/>
      </c>
      <c r="Y32" s="30" cm="1">
        <f t="array" ref="Y32">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2" s="30" cm="1">
        <f t="array" ref="Z32">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2" s="30" t="str" cm="1">
        <f t="array" ref="AA32">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2" s="30" t="str" cm="1">
        <f t="array" ref="AB32">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2" s="30" t="str" cm="1">
        <f t="array" ref="AC32">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2" s="30" t="str" cm="1">
        <f t="array" ref="AD32">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2" s="30" t="str" cm="1">
        <f t="array" ref="AE32">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2" s="30" t="str" cm="1">
        <f t="array" ref="AF32">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2" s="30" t="str" cm="1">
        <f t="array" ref="AG32">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2" s="30" t="str" cm="1">
        <f t="array" ref="AH32">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2" s="30" t="str" cm="1">
        <f t="array" ref="AI32">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3" spans="1:35" ht="49.35" customHeight="1" x14ac:dyDescent="0.2">
      <c r="A33" s="20">
        <v>21</v>
      </c>
      <c r="B33" s="21" t="s">
        <v>636</v>
      </c>
      <c r="C33" s="21" t="s">
        <v>637</v>
      </c>
      <c r="D33" s="28"/>
      <c r="E33" s="28"/>
      <c r="F33" s="159" t="s">
        <v>60</v>
      </c>
      <c r="G33" s="155" cm="1">
        <f t="array" ref="G33">_xlfn.IFS(F33="","",F33="No interest",0,F33="Nice to have",1,F33="Useful",2,F33="Important",3,F33="Very important",4,F33="Critical",5,F33="Show stopper",6)</f>
        <v>6</v>
      </c>
      <c r="H33" s="156">
        <f t="shared" si="1"/>
        <v>2.7777777777777775E-3</v>
      </c>
      <c r="I33" s="154" t="s">
        <v>621</v>
      </c>
      <c r="J33" s="35" t="str" cm="1">
        <f t="array" ref="J33">_xlfn.TEXTJOIN(","&amp;CHAR(10),,TEXT(Table2614256789111213[[#This Row],[12]:[22]],"0,00%"))</f>
        <v>0,00%,
0,00%</v>
      </c>
      <c r="K33" s="26"/>
      <c r="L33" s="27" t="e">
        <f>H33-(H33*((MATCH(Table2614256789111213[[#This Row],[Evaluators Response (SELECT)]],Table2614256789111213[[#This Row],[1]:[11]],0)-1)/(COUNTA(Table2614256789111213[[#This Row],[1]:[11]])-COUNTBLANK(Table2614256789111213[[#This Row],[1]:[11]])-1)))</f>
        <v>#N/A</v>
      </c>
      <c r="M33" s="28"/>
      <c r="N33" s="29" t="str" cm="1">
        <f t="array" ref="N33">IFERROR(INDEX(_xlfn.UNIQUE(TRIM(_xlfn.TEXTSPLIT(Table2614256789111213[[#This Row],[Selection Options]:[Selection Options]],","))),,N$11),"")</f>
        <v>100%: Yes</v>
      </c>
      <c r="O33" s="29" t="str" cm="1">
        <f t="array" ref="O33">IFERROR(INDEX(_xlfn.UNIQUE(TRIM(_xlfn.TEXTSPLIT(Table2614256789111213[[#This Row],[Selection Options]:[Selection Options]],","))),,O$11),"")</f>
        <v xml:space="preserve">
0%: No</v>
      </c>
      <c r="P33" s="29" t="str" cm="1">
        <f t="array" ref="P33">IFERROR(INDEX(_xlfn.UNIQUE(TRIM(_xlfn.TEXTSPLIT(Table2614256789111213[[#This Row],[Selection Options]:[Selection Options]],","))),,P$11),"")</f>
        <v/>
      </c>
      <c r="Q33" s="29" t="str" cm="1">
        <f t="array" ref="Q33">IFERROR(INDEX(_xlfn.UNIQUE(TRIM(_xlfn.TEXTSPLIT(Table2614256789111213[[#This Row],[Selection Options]:[Selection Options]],","))),,Q$11),"")</f>
        <v/>
      </c>
      <c r="R33" s="29" t="str" cm="1">
        <f t="array" ref="R33">IFERROR(INDEX(_xlfn.UNIQUE(TRIM(_xlfn.TEXTSPLIT(Table2614256789111213[[#This Row],[Selection Options]:[Selection Options]],","))),,R$11),"")</f>
        <v/>
      </c>
      <c r="S33" s="29" t="str" cm="1">
        <f t="array" ref="S33">IFERROR(INDEX(_xlfn.UNIQUE(TRIM(_xlfn.TEXTSPLIT(Table2614256789111213[[#This Row],[Selection Options]:[Selection Options]],","))),,S$11),"")</f>
        <v/>
      </c>
      <c r="T33" s="29" t="str" cm="1">
        <f t="array" ref="T33">IFERROR(INDEX(_xlfn.UNIQUE(TRIM(_xlfn.TEXTSPLIT(Table2614256789111213[[#This Row],[Selection Options]:[Selection Options]],","))),,T$11),"")</f>
        <v/>
      </c>
      <c r="U33" s="29" t="str" cm="1">
        <f t="array" ref="U33">IFERROR(INDEX(_xlfn.UNIQUE(TRIM(_xlfn.TEXTSPLIT(Table2614256789111213[[#This Row],[Selection Options]:[Selection Options]],","))),,U$11),"")</f>
        <v/>
      </c>
      <c r="V33" s="29" t="str" cm="1">
        <f t="array" ref="V33">IFERROR(INDEX(_xlfn.UNIQUE(TRIM(_xlfn.TEXTSPLIT(Table2614256789111213[[#This Row],[Selection Options]:[Selection Options]],","))),,V$11),"")</f>
        <v/>
      </c>
      <c r="W33" s="29" t="str" cm="1">
        <f t="array" ref="W33">IFERROR(INDEX(_xlfn.UNIQUE(TRIM(_xlfn.TEXTSPLIT(Table2614256789111213[[#This Row],[Selection Options]:[Selection Options]],","))),,W$11),"")</f>
        <v/>
      </c>
      <c r="X33" s="29" t="str" cm="1">
        <f t="array" ref="X33">IFERROR(INDEX(_xlfn.UNIQUE(TRIM(_xlfn.TEXTSPLIT(Table2614256789111213[[#This Row],[Selection Options]:[Selection Options]],","))),,X$11),"")</f>
        <v/>
      </c>
      <c r="Y33" s="30" cm="1">
        <f t="array" ref="Y33">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33" s="30" cm="1">
        <f t="array" ref="Z33">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3" s="30" t="str" cm="1">
        <f t="array" ref="AA33">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3" s="30" t="str" cm="1">
        <f t="array" ref="AB33">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3" s="30" t="str" cm="1">
        <f t="array" ref="AC33">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3" s="30" t="str" cm="1">
        <f t="array" ref="AD33">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3" s="30" t="str" cm="1">
        <f t="array" ref="AE33">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3" s="30" t="str" cm="1">
        <f t="array" ref="AF33">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3" s="30" t="str" cm="1">
        <f t="array" ref="AG33">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3" s="30" t="str" cm="1">
        <f t="array" ref="AH33">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3" s="30" t="str" cm="1">
        <f t="array" ref="AI33">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4" spans="1:35" ht="60" x14ac:dyDescent="0.2">
      <c r="A34" s="20">
        <v>22</v>
      </c>
      <c r="B34" s="241" t="s">
        <v>638</v>
      </c>
      <c r="C34" s="242" t="s">
        <v>616</v>
      </c>
      <c r="D34" s="28"/>
      <c r="E34" s="28"/>
      <c r="F34" s="159" t="s">
        <v>60</v>
      </c>
      <c r="G34" s="155" cm="1">
        <f t="array" ref="G34">_xlfn.IFS(F34="","",F34="No interest",0,F34="Nice to have",1,F34="Useful",2,F34="Important",3,F34="Very important",4,F34="Critical",5,F34="Show stopper",6)</f>
        <v>6</v>
      </c>
      <c r="H34" s="156">
        <f t="shared" si="1"/>
        <v>2.7777777777777775E-3</v>
      </c>
      <c r="I34" s="154" t="s">
        <v>639</v>
      </c>
      <c r="J34" s="35" t="str" cm="1">
        <f t="array" ref="J34">_xlfn.TEXTJOIN(","&amp;CHAR(10),,TEXT(Table2614256789111213[[#This Row],[12]:[22]],"0,00%"))</f>
        <v>0,00%,
0,00%,
0,00%</v>
      </c>
      <c r="K34" s="26"/>
      <c r="L34" s="27" t="e">
        <f>H34-(H34*((MATCH(Table2614256789111213[[#This Row],[Evaluators Response (SELECT)]],Table2614256789111213[[#This Row],[1]:[11]],0)-1)/(COUNTA(Table2614256789111213[[#This Row],[1]:[11]])-COUNTBLANK(Table2614256789111213[[#This Row],[1]:[11]])-1)))</f>
        <v>#N/A</v>
      </c>
      <c r="M34" s="28"/>
      <c r="N34" s="29" t="str" cm="1">
        <f t="array" ref="N34">IFERROR(INDEX(_xlfn.UNIQUE(TRIM(_xlfn.TEXTSPLIT(Table2614256789111213[[#This Row],[Selection Options]:[Selection Options]],","))),,N$11),"")</f>
        <v>100%: RTO and RPO defined and in line with Eskom's requirement</v>
      </c>
      <c r="O34" s="29" t="str" cm="1">
        <f t="array" ref="O34">IFERROR(INDEX(_xlfn.UNIQUE(TRIM(_xlfn.TEXTSPLIT(Table2614256789111213[[#This Row],[Selection Options]:[Selection Options]],","))),,O$11),"")</f>
        <v xml:space="preserve">
50%: Either RPO/RTO defined</v>
      </c>
      <c r="P34" s="29" t="str" cm="1">
        <f t="array" ref="P34">IFERROR(INDEX(_xlfn.UNIQUE(TRIM(_xlfn.TEXTSPLIT(Table2614256789111213[[#This Row],[Selection Options]:[Selection Options]],","))),,P$11),"")</f>
        <v xml:space="preserve">
0%: Not defined</v>
      </c>
      <c r="Q34" s="29" t="str" cm="1">
        <f t="array" ref="Q34">IFERROR(INDEX(_xlfn.UNIQUE(TRIM(_xlfn.TEXTSPLIT(Table2614256789111213[[#This Row],[Selection Options]:[Selection Options]],","))),,Q$11),"")</f>
        <v/>
      </c>
      <c r="R34" s="29" t="str" cm="1">
        <f t="array" ref="R34">IFERROR(INDEX(_xlfn.UNIQUE(TRIM(_xlfn.TEXTSPLIT(Table2614256789111213[[#This Row],[Selection Options]:[Selection Options]],","))),,R$11),"")</f>
        <v/>
      </c>
      <c r="S34" s="29" t="str" cm="1">
        <f t="array" ref="S34">IFERROR(INDEX(_xlfn.UNIQUE(TRIM(_xlfn.TEXTSPLIT(Table2614256789111213[[#This Row],[Selection Options]:[Selection Options]],","))),,S$11),"")</f>
        <v/>
      </c>
      <c r="T34" s="29" t="str" cm="1">
        <f t="array" ref="T34">IFERROR(INDEX(_xlfn.UNIQUE(TRIM(_xlfn.TEXTSPLIT(Table2614256789111213[[#This Row],[Selection Options]:[Selection Options]],","))),,T$11),"")</f>
        <v/>
      </c>
      <c r="U34" s="29" t="str" cm="1">
        <f t="array" ref="U34">IFERROR(INDEX(_xlfn.UNIQUE(TRIM(_xlfn.TEXTSPLIT(Table2614256789111213[[#This Row],[Selection Options]:[Selection Options]],","))),,U$11),"")</f>
        <v/>
      </c>
      <c r="V34" s="29" t="str" cm="1">
        <f t="array" ref="V34">IFERROR(INDEX(_xlfn.UNIQUE(TRIM(_xlfn.TEXTSPLIT(Table2614256789111213[[#This Row],[Selection Options]:[Selection Options]],","))),,V$11),"")</f>
        <v/>
      </c>
      <c r="W34" s="29" t="str" cm="1">
        <f t="array" ref="W34">IFERROR(INDEX(_xlfn.UNIQUE(TRIM(_xlfn.TEXTSPLIT(Table2614256789111213[[#This Row],[Selection Options]:[Selection Options]],","))),,W$11),"")</f>
        <v/>
      </c>
      <c r="X34" s="29" t="str" cm="1">
        <f t="array" ref="X34">IFERROR(INDEX(_xlfn.UNIQUE(TRIM(_xlfn.TEXTSPLIT(Table2614256789111213[[#This Row],[Selection Options]:[Selection Options]],","))),,X$11),"")</f>
        <v/>
      </c>
      <c r="Y34" s="30" cm="1">
        <f t="array" ref="Y34">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34" s="30" cm="1">
        <f t="array" ref="Z34">IF(Table2614256789111213[[#This Row],[2]]="","",Table2614256789111213[[#This Row],[Weight]:[Weight]]-(Table2614256789111213[[#This Row],[Weight]:[Weight]]*((_xlfn.XMATCH(Table2614256789111213[[#This Row],[2]],Table2614256789111213[[#This Row],[1]:[11]],0))-1)/(COUNTA(Table2614256789111213[[#This Row],[1]:[11]])-COUNTBLANK(Table2614256789111213[[#This Row],[1]:[11]])-1)))</f>
        <v>1.3888888888888887E-3</v>
      </c>
      <c r="AA34" s="30" cm="1">
        <f t="array" ref="AA34">IF(Table2614256789111213[[#This Row],[3]]="","",Table2614256789111213[[#This Row],[Weight]:[Weight]]-(Table2614256789111213[[#This Row],[Weight]:[Weight]]*((_xlfn.XMATCH(Table2614256789111213[[#This Row],[3]],Table2614256789111213[[#This Row],[1]:[11]],0))-1)/(COUNTA(Table2614256789111213[[#This Row],[1]:[11]])-COUNTBLANK(Table2614256789111213[[#This Row],[1]:[11]])-1)))</f>
        <v>0</v>
      </c>
      <c r="AB34" s="30" t="str" cm="1">
        <f t="array" ref="AB34">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4" s="30" t="str" cm="1">
        <f t="array" ref="AC34">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4" s="30" t="str" cm="1">
        <f t="array" ref="AD34">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4" s="30" t="str" cm="1">
        <f t="array" ref="AE34">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4" s="30" t="str" cm="1">
        <f t="array" ref="AF34">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4" s="30" t="str" cm="1">
        <f t="array" ref="AG34">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4" s="30" t="str" cm="1">
        <f t="array" ref="AH34">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4" s="30" t="str" cm="1">
        <f t="array" ref="AI34">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5" spans="1:35" ht="54.6" customHeight="1" x14ac:dyDescent="0.2">
      <c r="A35" s="20">
        <v>23</v>
      </c>
      <c r="B35" s="21" t="s">
        <v>640</v>
      </c>
      <c r="C35" s="21" t="s">
        <v>641</v>
      </c>
      <c r="D35" s="28"/>
      <c r="E35" s="28"/>
      <c r="F35" s="159" t="s">
        <v>60</v>
      </c>
      <c r="G35" s="155" cm="1">
        <f t="array" ref="G35">_xlfn.IFS(F35="","",F35="No interest",0,F35="Nice to have",1,F35="Useful",2,F35="Important",3,F35="Very important",4,F35="Critical",5,F35="Show stopper",6)</f>
        <v>6</v>
      </c>
      <c r="H35" s="156">
        <f t="shared" si="1"/>
        <v>2.7777777777777775E-3</v>
      </c>
      <c r="I35" s="154" t="s">
        <v>621</v>
      </c>
      <c r="J35" s="35" t="str" cm="1">
        <f t="array" ref="J35">_xlfn.TEXTJOIN(","&amp;CHAR(10),,TEXT(Table2614256789111213[[#This Row],[12]:[22]],"0,00%"))</f>
        <v>0,00%,
0,00%</v>
      </c>
      <c r="K35" s="26"/>
      <c r="L35" s="27" t="e">
        <f>H35-(H35*((MATCH(Table2614256789111213[[#This Row],[Evaluators Response (SELECT)]],Table2614256789111213[[#This Row],[1]:[11]],0)-1)/(COUNTA(Table2614256789111213[[#This Row],[1]:[11]])-COUNTBLANK(Table2614256789111213[[#This Row],[1]:[11]])-1)))</f>
        <v>#N/A</v>
      </c>
      <c r="M35" s="28"/>
      <c r="N35" s="29" t="str" cm="1">
        <f t="array" ref="N35">IFERROR(INDEX(_xlfn.UNIQUE(TRIM(_xlfn.TEXTSPLIT(Table2614256789111213[[#This Row],[Selection Options]:[Selection Options]],","))),,N$11),"")</f>
        <v>100%: Yes</v>
      </c>
      <c r="O35" s="29" t="str" cm="1">
        <f t="array" ref="O35">IFERROR(INDEX(_xlfn.UNIQUE(TRIM(_xlfn.TEXTSPLIT(Table2614256789111213[[#This Row],[Selection Options]:[Selection Options]],","))),,O$11),"")</f>
        <v xml:space="preserve">
0%: No</v>
      </c>
      <c r="P35" s="29" t="str" cm="1">
        <f t="array" ref="P35">IFERROR(INDEX(_xlfn.UNIQUE(TRIM(_xlfn.TEXTSPLIT(Table2614256789111213[[#This Row],[Selection Options]:[Selection Options]],","))),,P$11),"")</f>
        <v/>
      </c>
      <c r="Q35" s="29" t="str" cm="1">
        <f t="array" ref="Q35">IFERROR(INDEX(_xlfn.UNIQUE(TRIM(_xlfn.TEXTSPLIT(Table2614256789111213[[#This Row],[Selection Options]:[Selection Options]],","))),,Q$11),"")</f>
        <v/>
      </c>
      <c r="R35" s="29" t="str" cm="1">
        <f t="array" ref="R35">IFERROR(INDEX(_xlfn.UNIQUE(TRIM(_xlfn.TEXTSPLIT(Table2614256789111213[[#This Row],[Selection Options]:[Selection Options]],","))),,R$11),"")</f>
        <v/>
      </c>
      <c r="S35" s="29" t="str" cm="1">
        <f t="array" ref="S35">IFERROR(INDEX(_xlfn.UNIQUE(TRIM(_xlfn.TEXTSPLIT(Table2614256789111213[[#This Row],[Selection Options]:[Selection Options]],","))),,S$11),"")</f>
        <v/>
      </c>
      <c r="T35" s="29" t="str" cm="1">
        <f t="array" ref="T35">IFERROR(INDEX(_xlfn.UNIQUE(TRIM(_xlfn.TEXTSPLIT(Table2614256789111213[[#This Row],[Selection Options]:[Selection Options]],","))),,T$11),"")</f>
        <v/>
      </c>
      <c r="U35" s="29" t="str" cm="1">
        <f t="array" ref="U35">IFERROR(INDEX(_xlfn.UNIQUE(TRIM(_xlfn.TEXTSPLIT(Table2614256789111213[[#This Row],[Selection Options]:[Selection Options]],","))),,U$11),"")</f>
        <v/>
      </c>
      <c r="V35" s="29" t="str" cm="1">
        <f t="array" ref="V35">IFERROR(INDEX(_xlfn.UNIQUE(TRIM(_xlfn.TEXTSPLIT(Table2614256789111213[[#This Row],[Selection Options]:[Selection Options]],","))),,V$11),"")</f>
        <v/>
      </c>
      <c r="W35" s="29" t="str" cm="1">
        <f t="array" ref="W35">IFERROR(INDEX(_xlfn.UNIQUE(TRIM(_xlfn.TEXTSPLIT(Table2614256789111213[[#This Row],[Selection Options]:[Selection Options]],","))),,W$11),"")</f>
        <v/>
      </c>
      <c r="X35" s="29" t="str" cm="1">
        <f t="array" ref="X35">IFERROR(INDEX(_xlfn.UNIQUE(TRIM(_xlfn.TEXTSPLIT(Table2614256789111213[[#This Row],[Selection Options]:[Selection Options]],","))),,X$11),"")</f>
        <v/>
      </c>
      <c r="Y35" s="30" cm="1">
        <f t="array" ref="Y35">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35" s="30" cm="1">
        <f t="array" ref="Z35">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5" s="30" t="str" cm="1">
        <f t="array" ref="AA35">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5" s="30" t="str" cm="1">
        <f t="array" ref="AB35">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5" s="30" t="str" cm="1">
        <f t="array" ref="AC35">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5" s="30" t="str" cm="1">
        <f t="array" ref="AD35">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5" s="30" t="str" cm="1">
        <f t="array" ref="AE35">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5" s="30" t="str" cm="1">
        <f t="array" ref="AF35">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5" s="30" t="str" cm="1">
        <f t="array" ref="AG35">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5" s="30" t="str" cm="1">
        <f t="array" ref="AH35">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5" s="30" t="str" cm="1">
        <f t="array" ref="AI35">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6" spans="1:35" ht="67.349999999999994" customHeight="1" x14ac:dyDescent="0.2">
      <c r="A36" s="20">
        <v>24</v>
      </c>
      <c r="B36" s="21" t="s">
        <v>642</v>
      </c>
      <c r="C36" s="158" t="s">
        <v>643</v>
      </c>
      <c r="D36" s="28"/>
      <c r="E36" s="28"/>
      <c r="F36" s="159" t="s">
        <v>188</v>
      </c>
      <c r="G36" s="155" cm="1">
        <f t="array" ref="G36">_xlfn.IFS(F36="","",F36="No interest",0,F36="Nice to have",1,F36="Useful",2,F36="Important",3,F36="Very important",4,F36="Critical",5,F36="Show stopper",6)</f>
        <v>5</v>
      </c>
      <c r="H36" s="156">
        <f t="shared" si="1"/>
        <v>2.3148148148148147E-3</v>
      </c>
      <c r="I36" s="154" t="s">
        <v>621</v>
      </c>
      <c r="J36" s="35" t="str" cm="1">
        <f t="array" ref="J36">_xlfn.TEXTJOIN(","&amp;CHAR(10),,TEXT(Table2614256789111213[[#This Row],[12]:[22]],"0,00%"))</f>
        <v>0,00%,
0,00%</v>
      </c>
      <c r="K36" s="26"/>
      <c r="L36" s="27" t="e">
        <f>H36-(H36*((MATCH(Table2614256789111213[[#This Row],[Evaluators Response (SELECT)]],Table2614256789111213[[#This Row],[1]:[11]],0)-1)/(COUNTA(Table2614256789111213[[#This Row],[1]:[11]])-COUNTBLANK(Table2614256789111213[[#This Row],[1]:[11]])-1)))</f>
        <v>#N/A</v>
      </c>
      <c r="M36" s="28"/>
      <c r="N36" s="29" t="str" cm="1">
        <f t="array" ref="N36">IFERROR(INDEX(_xlfn.UNIQUE(TRIM(_xlfn.TEXTSPLIT(Table2614256789111213[[#This Row],[Selection Options]:[Selection Options]],","))),,N$11),"")</f>
        <v>100%: Yes</v>
      </c>
      <c r="O36" s="29" t="str" cm="1">
        <f t="array" ref="O36">IFERROR(INDEX(_xlfn.UNIQUE(TRIM(_xlfn.TEXTSPLIT(Table2614256789111213[[#This Row],[Selection Options]:[Selection Options]],","))),,O$11),"")</f>
        <v xml:space="preserve">
0%: No</v>
      </c>
      <c r="P36" s="29" t="str" cm="1">
        <f t="array" ref="P36">IFERROR(INDEX(_xlfn.UNIQUE(TRIM(_xlfn.TEXTSPLIT(Table2614256789111213[[#This Row],[Selection Options]:[Selection Options]],","))),,P$11),"")</f>
        <v/>
      </c>
      <c r="Q36" s="29" t="str" cm="1">
        <f t="array" ref="Q36">IFERROR(INDEX(_xlfn.UNIQUE(TRIM(_xlfn.TEXTSPLIT(Table2614256789111213[[#This Row],[Selection Options]:[Selection Options]],","))),,Q$11),"")</f>
        <v/>
      </c>
      <c r="R36" s="29" t="str" cm="1">
        <f t="array" ref="R36">IFERROR(INDEX(_xlfn.UNIQUE(TRIM(_xlfn.TEXTSPLIT(Table2614256789111213[[#This Row],[Selection Options]:[Selection Options]],","))),,R$11),"")</f>
        <v/>
      </c>
      <c r="S36" s="29" t="str" cm="1">
        <f t="array" ref="S36">IFERROR(INDEX(_xlfn.UNIQUE(TRIM(_xlfn.TEXTSPLIT(Table2614256789111213[[#This Row],[Selection Options]:[Selection Options]],","))),,S$11),"")</f>
        <v/>
      </c>
      <c r="T36" s="29" t="str" cm="1">
        <f t="array" ref="T36">IFERROR(INDEX(_xlfn.UNIQUE(TRIM(_xlfn.TEXTSPLIT(Table2614256789111213[[#This Row],[Selection Options]:[Selection Options]],","))),,T$11),"")</f>
        <v/>
      </c>
      <c r="U36" s="29" t="str" cm="1">
        <f t="array" ref="U36">IFERROR(INDEX(_xlfn.UNIQUE(TRIM(_xlfn.TEXTSPLIT(Table2614256789111213[[#This Row],[Selection Options]:[Selection Options]],","))),,U$11),"")</f>
        <v/>
      </c>
      <c r="V36" s="29" t="str" cm="1">
        <f t="array" ref="V36">IFERROR(INDEX(_xlfn.UNIQUE(TRIM(_xlfn.TEXTSPLIT(Table2614256789111213[[#This Row],[Selection Options]:[Selection Options]],","))),,V$11),"")</f>
        <v/>
      </c>
      <c r="W36" s="29" t="str" cm="1">
        <f t="array" ref="W36">IFERROR(INDEX(_xlfn.UNIQUE(TRIM(_xlfn.TEXTSPLIT(Table2614256789111213[[#This Row],[Selection Options]:[Selection Options]],","))),,W$11),"")</f>
        <v/>
      </c>
      <c r="X36" s="29" t="str" cm="1">
        <f t="array" ref="X36">IFERROR(INDEX(_xlfn.UNIQUE(TRIM(_xlfn.TEXTSPLIT(Table2614256789111213[[#This Row],[Selection Options]:[Selection Options]],","))),,X$11),"")</f>
        <v/>
      </c>
      <c r="Y36" s="30" cm="1">
        <f t="array" ref="Y36">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6" s="30" cm="1">
        <f t="array" ref="Z36">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6" s="30" t="str" cm="1">
        <f t="array" ref="AA36">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6" s="30" t="str" cm="1">
        <f t="array" ref="AB36">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6" s="30" t="str" cm="1">
        <f t="array" ref="AC36">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6" s="30" t="str" cm="1">
        <f t="array" ref="AD36">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6" s="30" t="str" cm="1">
        <f t="array" ref="AE36">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6" s="30" t="str" cm="1">
        <f t="array" ref="AF36">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6" s="30" t="str" cm="1">
        <f t="array" ref="AG36">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6" s="30" t="str" cm="1">
        <f t="array" ref="AH36">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6" s="30" t="str" cm="1">
        <f t="array" ref="AI36">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7" spans="1:35" ht="54.6" customHeight="1" x14ac:dyDescent="0.2">
      <c r="A37" s="20">
        <v>25</v>
      </c>
      <c r="B37" s="21" t="s">
        <v>644</v>
      </c>
      <c r="C37" s="158" t="s">
        <v>616</v>
      </c>
      <c r="D37" s="28"/>
      <c r="E37" s="28"/>
      <c r="F37" s="159" t="s">
        <v>188</v>
      </c>
      <c r="G37" s="155" cm="1">
        <f t="array" ref="G37">_xlfn.IFS(F37="","",F37="No interest",0,F37="Nice to have",1,F37="Useful",2,F37="Important",3,F37="Very important",4,F37="Critical",5,F37="Show stopper",6)</f>
        <v>5</v>
      </c>
      <c r="H37" s="156">
        <f t="shared" si="1"/>
        <v>2.3148148148148147E-3</v>
      </c>
      <c r="I37" s="154" t="s">
        <v>621</v>
      </c>
      <c r="J37" s="35" t="str" cm="1">
        <f t="array" ref="J37">_xlfn.TEXTJOIN(","&amp;CHAR(10),,TEXT(Table2614256789111213[[#This Row],[12]:[22]],"0,00%"))</f>
        <v>0,00%,
0,00%</v>
      </c>
      <c r="K37" s="26"/>
      <c r="L37" s="27" t="e">
        <f>H37-(H37*((MATCH(Table2614256789111213[[#This Row],[Evaluators Response (SELECT)]],Table2614256789111213[[#This Row],[1]:[11]],0)-1)/(COUNTA(Table2614256789111213[[#This Row],[1]:[11]])-COUNTBLANK(Table2614256789111213[[#This Row],[1]:[11]])-1)))</f>
        <v>#N/A</v>
      </c>
      <c r="M37" s="28"/>
      <c r="N37" s="29" t="str" cm="1">
        <f t="array" ref="N37">IFERROR(INDEX(_xlfn.UNIQUE(TRIM(_xlfn.TEXTSPLIT(Table2614256789111213[[#This Row],[Selection Options]:[Selection Options]],","))),,N$11),"")</f>
        <v>100%: Yes</v>
      </c>
      <c r="O37" s="29" t="str" cm="1">
        <f t="array" ref="O37">IFERROR(INDEX(_xlfn.UNIQUE(TRIM(_xlfn.TEXTSPLIT(Table2614256789111213[[#This Row],[Selection Options]:[Selection Options]],","))),,O$11),"")</f>
        <v xml:space="preserve">
0%: No</v>
      </c>
      <c r="P37" s="29" t="str" cm="1">
        <f t="array" ref="P37">IFERROR(INDEX(_xlfn.UNIQUE(TRIM(_xlfn.TEXTSPLIT(Table2614256789111213[[#This Row],[Selection Options]:[Selection Options]],","))),,P$11),"")</f>
        <v/>
      </c>
      <c r="Q37" s="29" t="str" cm="1">
        <f t="array" ref="Q37">IFERROR(INDEX(_xlfn.UNIQUE(TRIM(_xlfn.TEXTSPLIT(Table2614256789111213[[#This Row],[Selection Options]:[Selection Options]],","))),,Q$11),"")</f>
        <v/>
      </c>
      <c r="R37" s="29" t="str" cm="1">
        <f t="array" ref="R37">IFERROR(INDEX(_xlfn.UNIQUE(TRIM(_xlfn.TEXTSPLIT(Table2614256789111213[[#This Row],[Selection Options]:[Selection Options]],","))),,R$11),"")</f>
        <v/>
      </c>
      <c r="S37" s="29" t="str" cm="1">
        <f t="array" ref="S37">IFERROR(INDEX(_xlfn.UNIQUE(TRIM(_xlfn.TEXTSPLIT(Table2614256789111213[[#This Row],[Selection Options]:[Selection Options]],","))),,S$11),"")</f>
        <v/>
      </c>
      <c r="T37" s="29" t="str" cm="1">
        <f t="array" ref="T37">IFERROR(INDEX(_xlfn.UNIQUE(TRIM(_xlfn.TEXTSPLIT(Table2614256789111213[[#This Row],[Selection Options]:[Selection Options]],","))),,T$11),"")</f>
        <v/>
      </c>
      <c r="U37" s="29" t="str" cm="1">
        <f t="array" ref="U37">IFERROR(INDEX(_xlfn.UNIQUE(TRIM(_xlfn.TEXTSPLIT(Table2614256789111213[[#This Row],[Selection Options]:[Selection Options]],","))),,U$11),"")</f>
        <v/>
      </c>
      <c r="V37" s="29" t="str" cm="1">
        <f t="array" ref="V37">IFERROR(INDEX(_xlfn.UNIQUE(TRIM(_xlfn.TEXTSPLIT(Table2614256789111213[[#This Row],[Selection Options]:[Selection Options]],","))),,V$11),"")</f>
        <v/>
      </c>
      <c r="W37" s="29" t="str" cm="1">
        <f t="array" ref="W37">IFERROR(INDEX(_xlfn.UNIQUE(TRIM(_xlfn.TEXTSPLIT(Table2614256789111213[[#This Row],[Selection Options]:[Selection Options]],","))),,W$11),"")</f>
        <v/>
      </c>
      <c r="X37" s="29" t="str" cm="1">
        <f t="array" ref="X37">IFERROR(INDEX(_xlfn.UNIQUE(TRIM(_xlfn.TEXTSPLIT(Table2614256789111213[[#This Row],[Selection Options]:[Selection Options]],","))),,X$11),"")</f>
        <v/>
      </c>
      <c r="Y37" s="30" cm="1">
        <f t="array" ref="Y37">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7" s="30" cm="1">
        <f t="array" ref="Z37">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7" s="30" t="str" cm="1">
        <f t="array" ref="AA37">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7" s="30" t="str" cm="1">
        <f t="array" ref="AB37">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7" s="30" t="str" cm="1">
        <f t="array" ref="AC37">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7" s="30" t="str" cm="1">
        <f t="array" ref="AD37">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7" s="30" t="str" cm="1">
        <f t="array" ref="AE37">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7" s="30" t="str" cm="1">
        <f t="array" ref="AF37">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7" s="30" t="str" cm="1">
        <f t="array" ref="AG37">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7" s="30" t="str" cm="1">
        <f t="array" ref="AH37">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7" s="30" t="str" cm="1">
        <f t="array" ref="AI37">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8" spans="1:35" ht="168" x14ac:dyDescent="0.2">
      <c r="A38" s="20">
        <v>26</v>
      </c>
      <c r="B38" s="21" t="s">
        <v>645</v>
      </c>
      <c r="C38" s="21" t="s">
        <v>646</v>
      </c>
      <c r="D38" s="28"/>
      <c r="E38" s="28"/>
      <c r="F38" s="159" t="s">
        <v>60</v>
      </c>
      <c r="G38" s="155" cm="1">
        <f t="array" ref="G38">_xlfn.IFS(F38="","",F38="No interest",0,F38="Nice to have",1,F38="Useful",2,F38="Important",3,F38="Very important",4,F38="Critical",5,F38="Show stopper",6)</f>
        <v>6</v>
      </c>
      <c r="H38" s="156">
        <f t="shared" si="1"/>
        <v>2.7777777777777775E-3</v>
      </c>
      <c r="I38" s="154" t="s">
        <v>647</v>
      </c>
      <c r="J38" s="35" t="str" cm="1">
        <f t="array" ref="J38">_xlfn.TEXTJOIN(","&amp;CHAR(10),,TEXT(Table2614256789111213[[#This Row],[12]:[22]],"0,00%"))</f>
        <v>0,00%,
0,00%,
0,00%</v>
      </c>
      <c r="K38" s="26"/>
      <c r="L38" s="27" t="e">
        <f>H38-(H38*((MATCH(Table2614256789111213[[#This Row],[Evaluators Response (SELECT)]],Table2614256789111213[[#This Row],[1]:[11]],0)-1)/(COUNTA(Table2614256789111213[[#This Row],[1]:[11]])-COUNTBLANK(Table2614256789111213[[#This Row],[1]:[11]])-1)))</f>
        <v>#N/A</v>
      </c>
      <c r="M38" s="28"/>
      <c r="N38" s="29" t="str" cm="1">
        <f t="array" ref="N38">IFERROR(INDEX(_xlfn.UNIQUE(TRIM(_xlfn.TEXTSPLIT(Table2614256789111213[[#This Row],[Selection Options]:[Selection Options]],","))),,N$11),"")</f>
        <v>100%: Submitted data demonstrates SLA performance compliant with Eskom's requirements</v>
      </c>
      <c r="O38" s="29" t="str" cm="1">
        <f t="array" ref="O38">IFERROR(INDEX(_xlfn.UNIQUE(TRIM(_xlfn.TEXTSPLIT(Table2614256789111213[[#This Row],[Selection Options]:[Selection Options]],","))),,O$11),"")</f>
        <v xml:space="preserve">
50%: Submitted data demonstrates some missed SLA performance with remedial actions listed to bring Sla in line</v>
      </c>
      <c r="P38" s="29" t="str" cm="1">
        <f t="array" ref="P38">IFERROR(INDEX(_xlfn.UNIQUE(TRIM(_xlfn.TEXTSPLIT(Table2614256789111213[[#This Row],[Selection Options]:[Selection Options]],","))),,P$11),"")</f>
        <v xml:space="preserve">
0%: Submitted data demonstrates missed SLA performance not compliant with SLA requirements or no data was submitted</v>
      </c>
      <c r="Q38" s="29" t="str" cm="1">
        <f t="array" ref="Q38">IFERROR(INDEX(_xlfn.UNIQUE(TRIM(_xlfn.TEXTSPLIT(Table2614256789111213[[#This Row],[Selection Options]:[Selection Options]],","))),,Q$11),"")</f>
        <v/>
      </c>
      <c r="R38" s="29" t="str" cm="1">
        <f t="array" ref="R38">IFERROR(INDEX(_xlfn.UNIQUE(TRIM(_xlfn.TEXTSPLIT(Table2614256789111213[[#This Row],[Selection Options]:[Selection Options]],","))),,R$11),"")</f>
        <v/>
      </c>
      <c r="S38" s="29" t="str" cm="1">
        <f t="array" ref="S38">IFERROR(INDEX(_xlfn.UNIQUE(TRIM(_xlfn.TEXTSPLIT(Table2614256789111213[[#This Row],[Selection Options]:[Selection Options]],","))),,S$11),"")</f>
        <v/>
      </c>
      <c r="T38" s="29" t="str" cm="1">
        <f t="array" ref="T38">IFERROR(INDEX(_xlfn.UNIQUE(TRIM(_xlfn.TEXTSPLIT(Table2614256789111213[[#This Row],[Selection Options]:[Selection Options]],","))),,T$11),"")</f>
        <v/>
      </c>
      <c r="U38" s="29" t="str" cm="1">
        <f t="array" ref="U38">IFERROR(INDEX(_xlfn.UNIQUE(TRIM(_xlfn.TEXTSPLIT(Table2614256789111213[[#This Row],[Selection Options]:[Selection Options]],","))),,U$11),"")</f>
        <v/>
      </c>
      <c r="V38" s="29" t="str" cm="1">
        <f t="array" ref="V38">IFERROR(INDEX(_xlfn.UNIQUE(TRIM(_xlfn.TEXTSPLIT(Table2614256789111213[[#This Row],[Selection Options]:[Selection Options]],","))),,V$11),"")</f>
        <v/>
      </c>
      <c r="W38" s="29" t="str" cm="1">
        <f t="array" ref="W38">IFERROR(INDEX(_xlfn.UNIQUE(TRIM(_xlfn.TEXTSPLIT(Table2614256789111213[[#This Row],[Selection Options]:[Selection Options]],","))),,W$11),"")</f>
        <v/>
      </c>
      <c r="X38" s="29" t="str" cm="1">
        <f t="array" ref="X38">IFERROR(INDEX(_xlfn.UNIQUE(TRIM(_xlfn.TEXTSPLIT(Table2614256789111213[[#This Row],[Selection Options]:[Selection Options]],","))),,X$11),"")</f>
        <v/>
      </c>
      <c r="Y38" s="30" cm="1">
        <f t="array" ref="Y38">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38" s="30" cm="1">
        <f t="array" ref="Z38">IF(Table2614256789111213[[#This Row],[2]]="","",Table2614256789111213[[#This Row],[Weight]:[Weight]]-(Table2614256789111213[[#This Row],[Weight]:[Weight]]*((_xlfn.XMATCH(Table2614256789111213[[#This Row],[2]],Table2614256789111213[[#This Row],[1]:[11]],0))-1)/(COUNTA(Table2614256789111213[[#This Row],[1]:[11]])-COUNTBLANK(Table2614256789111213[[#This Row],[1]:[11]])-1)))</f>
        <v>1.3888888888888887E-3</v>
      </c>
      <c r="AA38" s="30" cm="1">
        <f t="array" ref="AA38">IF(Table2614256789111213[[#This Row],[3]]="","",Table2614256789111213[[#This Row],[Weight]:[Weight]]-(Table2614256789111213[[#This Row],[Weight]:[Weight]]*((_xlfn.XMATCH(Table2614256789111213[[#This Row],[3]],Table2614256789111213[[#This Row],[1]:[11]],0))-1)/(COUNTA(Table2614256789111213[[#This Row],[1]:[11]])-COUNTBLANK(Table2614256789111213[[#This Row],[1]:[11]])-1)))</f>
        <v>0</v>
      </c>
      <c r="AB38" s="30" t="str" cm="1">
        <f t="array" ref="AB38">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8" s="30" t="str" cm="1">
        <f t="array" ref="AC38">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8" s="30" t="str" cm="1">
        <f t="array" ref="AD38">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8" s="30" t="str" cm="1">
        <f t="array" ref="AE38">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8" s="30" t="str" cm="1">
        <f t="array" ref="AF38">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8" s="30" t="str" cm="1">
        <f t="array" ref="AG38">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8" s="30" t="str" cm="1">
        <f t="array" ref="AH38">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8" s="30" t="str" cm="1">
        <f t="array" ref="AI38">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39" spans="1:35" ht="57" customHeight="1" x14ac:dyDescent="0.2">
      <c r="A39" s="20">
        <v>27</v>
      </c>
      <c r="B39" s="21" t="s">
        <v>648</v>
      </c>
      <c r="C39" s="158" t="s">
        <v>616</v>
      </c>
      <c r="D39" s="28"/>
      <c r="E39" s="28"/>
      <c r="F39" s="159" t="s">
        <v>188</v>
      </c>
      <c r="G39" s="155" cm="1">
        <f t="array" ref="G39">_xlfn.IFS(F39="","",F39="No interest",0,F39="Nice to have",1,F39="Useful",2,F39="Important",3,F39="Very important",4,F39="Critical",5,F39="Show stopper",6)</f>
        <v>5</v>
      </c>
      <c r="H39" s="156">
        <f t="shared" si="1"/>
        <v>2.3148148148148147E-3</v>
      </c>
      <c r="I39" s="154" t="s">
        <v>621</v>
      </c>
      <c r="J39" s="35" t="str" cm="1">
        <f t="array" ref="J39">_xlfn.TEXTJOIN(","&amp;CHAR(10),,TEXT(Table2614256789111213[[#This Row],[12]:[22]],"0,00%"))</f>
        <v>0,00%,
0,00%</v>
      </c>
      <c r="K39" s="26"/>
      <c r="L39" s="27" t="e">
        <f>H39-(H39*((MATCH(Table2614256789111213[[#This Row],[Evaluators Response (SELECT)]],Table2614256789111213[[#This Row],[1]:[11]],0)-1)/(COUNTA(Table2614256789111213[[#This Row],[1]:[11]])-COUNTBLANK(Table2614256789111213[[#This Row],[1]:[11]])-1)))</f>
        <v>#N/A</v>
      </c>
      <c r="M39" s="28"/>
      <c r="N39" s="29" t="str" cm="1">
        <f t="array" ref="N39">IFERROR(INDEX(_xlfn.UNIQUE(TRIM(_xlfn.TEXTSPLIT(Table2614256789111213[[#This Row],[Selection Options]:[Selection Options]],","))),,N$11),"")</f>
        <v>100%: Yes</v>
      </c>
      <c r="O39" s="29" t="str" cm="1">
        <f t="array" ref="O39">IFERROR(INDEX(_xlfn.UNIQUE(TRIM(_xlfn.TEXTSPLIT(Table2614256789111213[[#This Row],[Selection Options]:[Selection Options]],","))),,O$11),"")</f>
        <v xml:space="preserve">
0%: No</v>
      </c>
      <c r="P39" s="29" t="str" cm="1">
        <f t="array" ref="P39">IFERROR(INDEX(_xlfn.UNIQUE(TRIM(_xlfn.TEXTSPLIT(Table2614256789111213[[#This Row],[Selection Options]:[Selection Options]],","))),,P$11),"")</f>
        <v/>
      </c>
      <c r="Q39" s="29" t="str" cm="1">
        <f t="array" ref="Q39">IFERROR(INDEX(_xlfn.UNIQUE(TRIM(_xlfn.TEXTSPLIT(Table2614256789111213[[#This Row],[Selection Options]:[Selection Options]],","))),,Q$11),"")</f>
        <v/>
      </c>
      <c r="R39" s="29" t="str" cm="1">
        <f t="array" ref="R39">IFERROR(INDEX(_xlfn.UNIQUE(TRIM(_xlfn.TEXTSPLIT(Table2614256789111213[[#This Row],[Selection Options]:[Selection Options]],","))),,R$11),"")</f>
        <v/>
      </c>
      <c r="S39" s="29" t="str" cm="1">
        <f t="array" ref="S39">IFERROR(INDEX(_xlfn.UNIQUE(TRIM(_xlfn.TEXTSPLIT(Table2614256789111213[[#This Row],[Selection Options]:[Selection Options]],","))),,S$11),"")</f>
        <v/>
      </c>
      <c r="T39" s="29" t="str" cm="1">
        <f t="array" ref="T39">IFERROR(INDEX(_xlfn.UNIQUE(TRIM(_xlfn.TEXTSPLIT(Table2614256789111213[[#This Row],[Selection Options]:[Selection Options]],","))),,T$11),"")</f>
        <v/>
      </c>
      <c r="U39" s="29" t="str" cm="1">
        <f t="array" ref="U39">IFERROR(INDEX(_xlfn.UNIQUE(TRIM(_xlfn.TEXTSPLIT(Table2614256789111213[[#This Row],[Selection Options]:[Selection Options]],","))),,U$11),"")</f>
        <v/>
      </c>
      <c r="V39" s="29" t="str" cm="1">
        <f t="array" ref="V39">IFERROR(INDEX(_xlfn.UNIQUE(TRIM(_xlfn.TEXTSPLIT(Table2614256789111213[[#This Row],[Selection Options]:[Selection Options]],","))),,V$11),"")</f>
        <v/>
      </c>
      <c r="W39" s="29" t="str" cm="1">
        <f t="array" ref="W39">IFERROR(INDEX(_xlfn.UNIQUE(TRIM(_xlfn.TEXTSPLIT(Table2614256789111213[[#This Row],[Selection Options]:[Selection Options]],","))),,W$11),"")</f>
        <v/>
      </c>
      <c r="X39" s="29" t="str" cm="1">
        <f t="array" ref="X39">IFERROR(INDEX(_xlfn.UNIQUE(TRIM(_xlfn.TEXTSPLIT(Table2614256789111213[[#This Row],[Selection Options]:[Selection Options]],","))),,X$11),"")</f>
        <v/>
      </c>
      <c r="Y39" s="30" cm="1">
        <f t="array" ref="Y39">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39" s="30" cm="1">
        <f t="array" ref="Z39">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39" s="30" t="str" cm="1">
        <f t="array" ref="AA39">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39" s="30" t="str" cm="1">
        <f t="array" ref="AB39">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39" s="30" t="str" cm="1">
        <f t="array" ref="AC39">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39" s="30" t="str" cm="1">
        <f t="array" ref="AD39">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39" s="30" t="str" cm="1">
        <f t="array" ref="AE39">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39" s="30" t="str" cm="1">
        <f t="array" ref="AF39">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39" s="30" t="str" cm="1">
        <f t="array" ref="AG39">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39" s="30" t="str" cm="1">
        <f t="array" ref="AH39">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39" s="30" t="str" cm="1">
        <f t="array" ref="AI39">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0" spans="1:35" ht="54" customHeight="1" x14ac:dyDescent="0.2">
      <c r="A40" s="20">
        <v>28</v>
      </c>
      <c r="B40" s="21" t="s">
        <v>649</v>
      </c>
      <c r="C40" s="158" t="s">
        <v>616</v>
      </c>
      <c r="D40" s="28"/>
      <c r="E40" s="28"/>
      <c r="F40" s="159" t="s">
        <v>188</v>
      </c>
      <c r="G40" s="155" cm="1">
        <f t="array" ref="G40">_xlfn.IFS(F40="","",F40="No interest",0,F40="Nice to have",1,F40="Useful",2,F40="Important",3,F40="Very important",4,F40="Critical",5,F40="Show stopper",6)</f>
        <v>5</v>
      </c>
      <c r="H40" s="156">
        <f t="shared" si="1"/>
        <v>2.3148148148148147E-3</v>
      </c>
      <c r="I40" s="154" t="s">
        <v>621</v>
      </c>
      <c r="J40" s="35" t="str" cm="1">
        <f t="array" ref="J40">_xlfn.TEXTJOIN(","&amp;CHAR(10),,TEXT(Table2614256789111213[[#This Row],[12]:[22]],"0,00%"))</f>
        <v>0,00%,
0,00%</v>
      </c>
      <c r="K40" s="26"/>
      <c r="L40" s="27" t="e">
        <f>H40-(H40*((MATCH(Table2614256789111213[[#This Row],[Evaluators Response (SELECT)]],Table2614256789111213[[#This Row],[1]:[11]],0)-1)/(COUNTA(Table2614256789111213[[#This Row],[1]:[11]])-COUNTBLANK(Table2614256789111213[[#This Row],[1]:[11]])-1)))</f>
        <v>#N/A</v>
      </c>
      <c r="M40" s="28"/>
      <c r="N40" s="29" t="str" cm="1">
        <f t="array" ref="N40">IFERROR(INDEX(_xlfn.UNIQUE(TRIM(_xlfn.TEXTSPLIT(Table2614256789111213[[#This Row],[Selection Options]:[Selection Options]],","))),,N$11),"")</f>
        <v>100%: Yes</v>
      </c>
      <c r="O40" s="29" t="str" cm="1">
        <f t="array" ref="O40">IFERROR(INDEX(_xlfn.UNIQUE(TRIM(_xlfn.TEXTSPLIT(Table2614256789111213[[#This Row],[Selection Options]:[Selection Options]],","))),,O$11),"")</f>
        <v xml:space="preserve">
0%: No</v>
      </c>
      <c r="P40" s="29" t="str" cm="1">
        <f t="array" ref="P40">IFERROR(INDEX(_xlfn.UNIQUE(TRIM(_xlfn.TEXTSPLIT(Table2614256789111213[[#This Row],[Selection Options]:[Selection Options]],","))),,P$11),"")</f>
        <v/>
      </c>
      <c r="Q40" s="29" t="str" cm="1">
        <f t="array" ref="Q40">IFERROR(INDEX(_xlfn.UNIQUE(TRIM(_xlfn.TEXTSPLIT(Table2614256789111213[[#This Row],[Selection Options]:[Selection Options]],","))),,Q$11),"")</f>
        <v/>
      </c>
      <c r="R40" s="29" t="str" cm="1">
        <f t="array" ref="R40">IFERROR(INDEX(_xlfn.UNIQUE(TRIM(_xlfn.TEXTSPLIT(Table2614256789111213[[#This Row],[Selection Options]:[Selection Options]],","))),,R$11),"")</f>
        <v/>
      </c>
      <c r="S40" s="29" t="str" cm="1">
        <f t="array" ref="S40">IFERROR(INDEX(_xlfn.UNIQUE(TRIM(_xlfn.TEXTSPLIT(Table2614256789111213[[#This Row],[Selection Options]:[Selection Options]],","))),,S$11),"")</f>
        <v/>
      </c>
      <c r="T40" s="29" t="str" cm="1">
        <f t="array" ref="T40">IFERROR(INDEX(_xlfn.UNIQUE(TRIM(_xlfn.TEXTSPLIT(Table2614256789111213[[#This Row],[Selection Options]:[Selection Options]],","))),,T$11),"")</f>
        <v/>
      </c>
      <c r="U40" s="29" t="str" cm="1">
        <f t="array" ref="U40">IFERROR(INDEX(_xlfn.UNIQUE(TRIM(_xlfn.TEXTSPLIT(Table2614256789111213[[#This Row],[Selection Options]:[Selection Options]],","))),,U$11),"")</f>
        <v/>
      </c>
      <c r="V40" s="29" t="str" cm="1">
        <f t="array" ref="V40">IFERROR(INDEX(_xlfn.UNIQUE(TRIM(_xlfn.TEXTSPLIT(Table2614256789111213[[#This Row],[Selection Options]:[Selection Options]],","))),,V$11),"")</f>
        <v/>
      </c>
      <c r="W40" s="29" t="str" cm="1">
        <f t="array" ref="W40">IFERROR(INDEX(_xlfn.UNIQUE(TRIM(_xlfn.TEXTSPLIT(Table2614256789111213[[#This Row],[Selection Options]:[Selection Options]],","))),,W$11),"")</f>
        <v/>
      </c>
      <c r="X40" s="29" t="str" cm="1">
        <f t="array" ref="X40">IFERROR(INDEX(_xlfn.UNIQUE(TRIM(_xlfn.TEXTSPLIT(Table2614256789111213[[#This Row],[Selection Options]:[Selection Options]],","))),,X$11),"")</f>
        <v/>
      </c>
      <c r="Y40" s="30" cm="1">
        <f t="array" ref="Y40">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0" s="30" cm="1">
        <f t="array" ref="Z40">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0" s="30" t="str" cm="1">
        <f t="array" ref="AA40">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0" s="30" t="str" cm="1">
        <f t="array" ref="AB40">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0" s="30" t="str" cm="1">
        <f t="array" ref="AC40">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0" s="30" t="str" cm="1">
        <f t="array" ref="AD40">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0" s="30" t="str" cm="1">
        <f t="array" ref="AE40">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0" s="30" t="str" cm="1">
        <f t="array" ref="AF40">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0" s="30" t="str" cm="1">
        <f t="array" ref="AG40">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0" s="30" t="str" cm="1">
        <f t="array" ref="AH40">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0" s="30" t="str" cm="1">
        <f t="array" ref="AI40">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1" spans="1:35" ht="48.6" customHeight="1" x14ac:dyDescent="0.2">
      <c r="A41" s="20">
        <v>29</v>
      </c>
      <c r="B41" s="21" t="s">
        <v>650</v>
      </c>
      <c r="C41" s="158" t="s">
        <v>616</v>
      </c>
      <c r="D41" s="28"/>
      <c r="E41" s="28"/>
      <c r="F41" s="159" t="s">
        <v>56</v>
      </c>
      <c r="G41" s="155" cm="1">
        <f t="array" ref="G41">_xlfn.IFS(F41="","",F41="No interest",0,F41="Nice to have",1,F41="Useful",2,F41="Important",3,F41="Very important",4,F41="Critical",5,F41="Show stopper",6)</f>
        <v>3</v>
      </c>
      <c r="H41" s="156">
        <f t="shared" si="1"/>
        <v>1.3888888888888887E-3</v>
      </c>
      <c r="I41" s="154" t="s">
        <v>621</v>
      </c>
      <c r="J41" s="35" t="str" cm="1">
        <f t="array" ref="J41">_xlfn.TEXTJOIN(","&amp;CHAR(10),,TEXT(Table2614256789111213[[#This Row],[12]:[22]],"0,00%"))</f>
        <v>0,00%,
0,00%</v>
      </c>
      <c r="K41" s="26"/>
      <c r="L41" s="27" t="e">
        <f>H41-(H41*((MATCH(Table2614256789111213[[#This Row],[Evaluators Response (SELECT)]],Table2614256789111213[[#This Row],[1]:[11]],0)-1)/(COUNTA(Table2614256789111213[[#This Row],[1]:[11]])-COUNTBLANK(Table2614256789111213[[#This Row],[1]:[11]])-1)))</f>
        <v>#N/A</v>
      </c>
      <c r="M41" s="28"/>
      <c r="N41" s="29" t="str" cm="1">
        <f t="array" ref="N41">IFERROR(INDEX(_xlfn.UNIQUE(TRIM(_xlfn.TEXTSPLIT(Table2614256789111213[[#This Row],[Selection Options]:[Selection Options]],","))),,N$11),"")</f>
        <v>100%: Yes</v>
      </c>
      <c r="O41" s="29" t="str" cm="1">
        <f t="array" ref="O41">IFERROR(INDEX(_xlfn.UNIQUE(TRIM(_xlfn.TEXTSPLIT(Table2614256789111213[[#This Row],[Selection Options]:[Selection Options]],","))),,O$11),"")</f>
        <v xml:space="preserve">
0%: No</v>
      </c>
      <c r="P41" s="29" t="str" cm="1">
        <f t="array" ref="P41">IFERROR(INDEX(_xlfn.UNIQUE(TRIM(_xlfn.TEXTSPLIT(Table2614256789111213[[#This Row],[Selection Options]:[Selection Options]],","))),,P$11),"")</f>
        <v/>
      </c>
      <c r="Q41" s="29" t="str" cm="1">
        <f t="array" ref="Q41">IFERROR(INDEX(_xlfn.UNIQUE(TRIM(_xlfn.TEXTSPLIT(Table2614256789111213[[#This Row],[Selection Options]:[Selection Options]],","))),,Q$11),"")</f>
        <v/>
      </c>
      <c r="R41" s="29" t="str" cm="1">
        <f t="array" ref="R41">IFERROR(INDEX(_xlfn.UNIQUE(TRIM(_xlfn.TEXTSPLIT(Table2614256789111213[[#This Row],[Selection Options]:[Selection Options]],","))),,R$11),"")</f>
        <v/>
      </c>
      <c r="S41" s="29" t="str" cm="1">
        <f t="array" ref="S41">IFERROR(INDEX(_xlfn.UNIQUE(TRIM(_xlfn.TEXTSPLIT(Table2614256789111213[[#This Row],[Selection Options]:[Selection Options]],","))),,S$11),"")</f>
        <v/>
      </c>
      <c r="T41" s="29" t="str" cm="1">
        <f t="array" ref="T41">IFERROR(INDEX(_xlfn.UNIQUE(TRIM(_xlfn.TEXTSPLIT(Table2614256789111213[[#This Row],[Selection Options]:[Selection Options]],","))),,T$11),"")</f>
        <v/>
      </c>
      <c r="U41" s="29" t="str" cm="1">
        <f t="array" ref="U41">IFERROR(INDEX(_xlfn.UNIQUE(TRIM(_xlfn.TEXTSPLIT(Table2614256789111213[[#This Row],[Selection Options]:[Selection Options]],","))),,U$11),"")</f>
        <v/>
      </c>
      <c r="V41" s="29" t="str" cm="1">
        <f t="array" ref="V41">IFERROR(INDEX(_xlfn.UNIQUE(TRIM(_xlfn.TEXTSPLIT(Table2614256789111213[[#This Row],[Selection Options]:[Selection Options]],","))),,V$11),"")</f>
        <v/>
      </c>
      <c r="W41" s="29" t="str" cm="1">
        <f t="array" ref="W41">IFERROR(INDEX(_xlfn.UNIQUE(TRIM(_xlfn.TEXTSPLIT(Table2614256789111213[[#This Row],[Selection Options]:[Selection Options]],","))),,W$11),"")</f>
        <v/>
      </c>
      <c r="X41" s="29" t="str" cm="1">
        <f t="array" ref="X41">IFERROR(INDEX(_xlfn.UNIQUE(TRIM(_xlfn.TEXTSPLIT(Table2614256789111213[[#This Row],[Selection Options]:[Selection Options]],","))),,X$11),"")</f>
        <v/>
      </c>
      <c r="Y41" s="30" cm="1">
        <f t="array" ref="Y41">IF(Table2614256789111213[[#This Row],[1]]="","",Table2614256789111213[[#This Row],[Weight]:[Weight]]-(Table2614256789111213[[#This Row],[Weight]:[Weight]]*((_xlfn.XMATCH(Table2614256789111213[[#This Row],[1]],Table2614256789111213[[#This Row],[1]:[11]],0))-1)/(COUNTA(Table2614256789111213[[#This Row],[1]:[11]])-COUNTBLANK(Table2614256789111213[[#This Row],[1]:[11]])-1)))</f>
        <v>1.3888888888888887E-3</v>
      </c>
      <c r="Z41" s="30" cm="1">
        <f t="array" ref="Z41">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1" s="30" t="str" cm="1">
        <f t="array" ref="AA41">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1" s="30" t="str" cm="1">
        <f t="array" ref="AB41">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1" s="30" t="str" cm="1">
        <f t="array" ref="AC41">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1" s="30" t="str" cm="1">
        <f t="array" ref="AD41">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1" s="30" t="str" cm="1">
        <f t="array" ref="AE41">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1" s="30" t="str" cm="1">
        <f t="array" ref="AF41">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1" s="30" t="str" cm="1">
        <f t="array" ref="AG41">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1" s="30" t="str" cm="1">
        <f t="array" ref="AH41">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1" s="30" t="str" cm="1">
        <f t="array" ref="AI41">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2" spans="1:35" ht="50.45" customHeight="1" x14ac:dyDescent="0.2">
      <c r="A42" s="20">
        <v>30</v>
      </c>
      <c r="B42" s="21" t="s">
        <v>651</v>
      </c>
      <c r="C42" s="158" t="s">
        <v>616</v>
      </c>
      <c r="D42" s="28"/>
      <c r="E42" s="28"/>
      <c r="F42" s="159" t="s">
        <v>188</v>
      </c>
      <c r="G42" s="155" cm="1">
        <f t="array" ref="G42">_xlfn.IFS(F42="","",F42="No interest",0,F42="Nice to have",1,F42="Useful",2,F42="Important",3,F42="Very important",4,F42="Critical",5,F42="Show stopper",6)</f>
        <v>5</v>
      </c>
      <c r="H42" s="156">
        <f t="shared" si="1"/>
        <v>2.3148148148148147E-3</v>
      </c>
      <c r="I42" s="154" t="s">
        <v>621</v>
      </c>
      <c r="J42" s="35" t="str" cm="1">
        <f t="array" ref="J42">_xlfn.TEXTJOIN(","&amp;CHAR(10),,TEXT(Table2614256789111213[[#This Row],[12]:[22]],"0,00%"))</f>
        <v>0,00%,
0,00%</v>
      </c>
      <c r="K42" s="26"/>
      <c r="L42" s="27" t="e">
        <f>H42-(H42*((MATCH(Table2614256789111213[[#This Row],[Evaluators Response (SELECT)]],Table2614256789111213[[#This Row],[1]:[11]],0)-1)/(COUNTA(Table2614256789111213[[#This Row],[1]:[11]])-COUNTBLANK(Table2614256789111213[[#This Row],[1]:[11]])-1)))</f>
        <v>#N/A</v>
      </c>
      <c r="M42" s="28"/>
      <c r="N42" s="29" t="str" cm="1">
        <f t="array" ref="N42">IFERROR(INDEX(_xlfn.UNIQUE(TRIM(_xlfn.TEXTSPLIT(Table2614256789111213[[#This Row],[Selection Options]:[Selection Options]],","))),,N$11),"")</f>
        <v>100%: Yes</v>
      </c>
      <c r="O42" s="29" t="str" cm="1">
        <f t="array" ref="O42">IFERROR(INDEX(_xlfn.UNIQUE(TRIM(_xlfn.TEXTSPLIT(Table2614256789111213[[#This Row],[Selection Options]:[Selection Options]],","))),,O$11),"")</f>
        <v xml:space="preserve">
0%: No</v>
      </c>
      <c r="P42" s="29" t="str" cm="1">
        <f t="array" ref="P42">IFERROR(INDEX(_xlfn.UNIQUE(TRIM(_xlfn.TEXTSPLIT(Table2614256789111213[[#This Row],[Selection Options]:[Selection Options]],","))),,P$11),"")</f>
        <v/>
      </c>
      <c r="Q42" s="29" t="str" cm="1">
        <f t="array" ref="Q42">IFERROR(INDEX(_xlfn.UNIQUE(TRIM(_xlfn.TEXTSPLIT(Table2614256789111213[[#This Row],[Selection Options]:[Selection Options]],","))),,Q$11),"")</f>
        <v/>
      </c>
      <c r="R42" s="29" t="str" cm="1">
        <f t="array" ref="R42">IFERROR(INDEX(_xlfn.UNIQUE(TRIM(_xlfn.TEXTSPLIT(Table2614256789111213[[#This Row],[Selection Options]:[Selection Options]],","))),,R$11),"")</f>
        <v/>
      </c>
      <c r="S42" s="29" t="str" cm="1">
        <f t="array" ref="S42">IFERROR(INDEX(_xlfn.UNIQUE(TRIM(_xlfn.TEXTSPLIT(Table2614256789111213[[#This Row],[Selection Options]:[Selection Options]],","))),,S$11),"")</f>
        <v/>
      </c>
      <c r="T42" s="29" t="str" cm="1">
        <f t="array" ref="T42">IFERROR(INDEX(_xlfn.UNIQUE(TRIM(_xlfn.TEXTSPLIT(Table2614256789111213[[#This Row],[Selection Options]:[Selection Options]],","))),,T$11),"")</f>
        <v/>
      </c>
      <c r="U42" s="29" t="str" cm="1">
        <f t="array" ref="U42">IFERROR(INDEX(_xlfn.UNIQUE(TRIM(_xlfn.TEXTSPLIT(Table2614256789111213[[#This Row],[Selection Options]:[Selection Options]],","))),,U$11),"")</f>
        <v/>
      </c>
      <c r="V42" s="29" t="str" cm="1">
        <f t="array" ref="V42">IFERROR(INDEX(_xlfn.UNIQUE(TRIM(_xlfn.TEXTSPLIT(Table2614256789111213[[#This Row],[Selection Options]:[Selection Options]],","))),,V$11),"")</f>
        <v/>
      </c>
      <c r="W42" s="29" t="str" cm="1">
        <f t="array" ref="W42">IFERROR(INDEX(_xlfn.UNIQUE(TRIM(_xlfn.TEXTSPLIT(Table2614256789111213[[#This Row],[Selection Options]:[Selection Options]],","))),,W$11),"")</f>
        <v/>
      </c>
      <c r="X42" s="29" t="str" cm="1">
        <f t="array" ref="X42">IFERROR(INDEX(_xlfn.UNIQUE(TRIM(_xlfn.TEXTSPLIT(Table2614256789111213[[#This Row],[Selection Options]:[Selection Options]],","))),,X$11),"")</f>
        <v/>
      </c>
      <c r="Y42" s="30" cm="1">
        <f t="array" ref="Y42">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2" s="30" cm="1">
        <f t="array" ref="Z42">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2" s="30" t="str" cm="1">
        <f t="array" ref="AA42">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2" s="30" t="str" cm="1">
        <f t="array" ref="AB42">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2" s="30" t="str" cm="1">
        <f t="array" ref="AC42">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2" s="30" t="str" cm="1">
        <f t="array" ref="AD42">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2" s="30" t="str" cm="1">
        <f t="array" ref="AE42">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2" s="30" t="str" cm="1">
        <f t="array" ref="AF42">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2" s="30" t="str" cm="1">
        <f t="array" ref="AG42">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2" s="30" t="str" cm="1">
        <f t="array" ref="AH42">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2" s="30" t="str" cm="1">
        <f t="array" ref="AI42">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3" spans="1:35" ht="50.45" customHeight="1" x14ac:dyDescent="0.2">
      <c r="A43" s="20">
        <v>31</v>
      </c>
      <c r="B43" s="21" t="s">
        <v>652</v>
      </c>
      <c r="C43" s="158" t="s">
        <v>616</v>
      </c>
      <c r="D43" s="28"/>
      <c r="E43" s="28"/>
      <c r="F43" s="159" t="s">
        <v>188</v>
      </c>
      <c r="G43" s="155" cm="1">
        <f t="array" ref="G43">_xlfn.IFS(F43="","",F43="No interest",0,F43="Nice to have",1,F43="Useful",2,F43="Important",3,F43="Very important",4,F43="Critical",5,F43="Show stopper",6)</f>
        <v>5</v>
      </c>
      <c r="H43" s="156">
        <f t="shared" si="1"/>
        <v>2.3148148148148147E-3</v>
      </c>
      <c r="I43" s="154" t="s">
        <v>621</v>
      </c>
      <c r="J43" s="35" t="str" cm="1">
        <f t="array" ref="J43">_xlfn.TEXTJOIN(","&amp;CHAR(10),,TEXT(Table2614256789111213[[#This Row],[12]:[22]],"0,00%"))</f>
        <v>0,00%,
0,00%</v>
      </c>
      <c r="K43" s="26"/>
      <c r="L43" s="27" t="e">
        <f>H43-(H43*((MATCH(Table2614256789111213[[#This Row],[Evaluators Response (SELECT)]],Table2614256789111213[[#This Row],[1]:[11]],0)-1)/(COUNTA(Table2614256789111213[[#This Row],[1]:[11]])-COUNTBLANK(Table2614256789111213[[#This Row],[1]:[11]])-1)))</f>
        <v>#N/A</v>
      </c>
      <c r="M43" s="28"/>
      <c r="N43" s="29" t="str" cm="1">
        <f t="array" ref="N43">IFERROR(INDEX(_xlfn.UNIQUE(TRIM(_xlfn.TEXTSPLIT(Table2614256789111213[[#This Row],[Selection Options]:[Selection Options]],","))),,N$11),"")</f>
        <v>100%: Yes</v>
      </c>
      <c r="O43" s="29" t="str" cm="1">
        <f t="array" ref="O43">IFERROR(INDEX(_xlfn.UNIQUE(TRIM(_xlfn.TEXTSPLIT(Table2614256789111213[[#This Row],[Selection Options]:[Selection Options]],","))),,O$11),"")</f>
        <v xml:space="preserve">
0%: No</v>
      </c>
      <c r="P43" s="29" t="str" cm="1">
        <f t="array" ref="P43">IFERROR(INDEX(_xlfn.UNIQUE(TRIM(_xlfn.TEXTSPLIT(Table2614256789111213[[#This Row],[Selection Options]:[Selection Options]],","))),,P$11),"")</f>
        <v/>
      </c>
      <c r="Q43" s="29" t="str" cm="1">
        <f t="array" ref="Q43">IFERROR(INDEX(_xlfn.UNIQUE(TRIM(_xlfn.TEXTSPLIT(Table2614256789111213[[#This Row],[Selection Options]:[Selection Options]],","))),,Q$11),"")</f>
        <v/>
      </c>
      <c r="R43" s="29" t="str" cm="1">
        <f t="array" ref="R43">IFERROR(INDEX(_xlfn.UNIQUE(TRIM(_xlfn.TEXTSPLIT(Table2614256789111213[[#This Row],[Selection Options]:[Selection Options]],","))),,R$11),"")</f>
        <v/>
      </c>
      <c r="S43" s="29" t="str" cm="1">
        <f t="array" ref="S43">IFERROR(INDEX(_xlfn.UNIQUE(TRIM(_xlfn.TEXTSPLIT(Table2614256789111213[[#This Row],[Selection Options]:[Selection Options]],","))),,S$11),"")</f>
        <v/>
      </c>
      <c r="T43" s="29" t="str" cm="1">
        <f t="array" ref="T43">IFERROR(INDEX(_xlfn.UNIQUE(TRIM(_xlfn.TEXTSPLIT(Table2614256789111213[[#This Row],[Selection Options]:[Selection Options]],","))),,T$11),"")</f>
        <v/>
      </c>
      <c r="U43" s="29" t="str" cm="1">
        <f t="array" ref="U43">IFERROR(INDEX(_xlfn.UNIQUE(TRIM(_xlfn.TEXTSPLIT(Table2614256789111213[[#This Row],[Selection Options]:[Selection Options]],","))),,U$11),"")</f>
        <v/>
      </c>
      <c r="V43" s="29" t="str" cm="1">
        <f t="array" ref="V43">IFERROR(INDEX(_xlfn.UNIQUE(TRIM(_xlfn.TEXTSPLIT(Table2614256789111213[[#This Row],[Selection Options]:[Selection Options]],","))),,V$11),"")</f>
        <v/>
      </c>
      <c r="W43" s="29" t="str" cm="1">
        <f t="array" ref="W43">IFERROR(INDEX(_xlfn.UNIQUE(TRIM(_xlfn.TEXTSPLIT(Table2614256789111213[[#This Row],[Selection Options]:[Selection Options]],","))),,W$11),"")</f>
        <v/>
      </c>
      <c r="X43" s="29" t="str" cm="1">
        <f t="array" ref="X43">IFERROR(INDEX(_xlfn.UNIQUE(TRIM(_xlfn.TEXTSPLIT(Table2614256789111213[[#This Row],[Selection Options]:[Selection Options]],","))),,X$11),"")</f>
        <v/>
      </c>
      <c r="Y43" s="30" cm="1">
        <f t="array" ref="Y43">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3" s="30" cm="1">
        <f t="array" ref="Z43">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3" s="30" t="str" cm="1">
        <f t="array" ref="AA43">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3" s="30" t="str" cm="1">
        <f t="array" ref="AB43">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3" s="30" t="str" cm="1">
        <f t="array" ref="AC43">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3" s="30" t="str" cm="1">
        <f t="array" ref="AD43">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3" s="30" t="str" cm="1">
        <f t="array" ref="AE43">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3" s="30" t="str" cm="1">
        <f t="array" ref="AF43">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3" s="30" t="str" cm="1">
        <f t="array" ref="AG43">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3" s="30" t="str" cm="1">
        <f t="array" ref="AH43">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3" s="30" t="str" cm="1">
        <f t="array" ref="AI43">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4" spans="1:35" ht="64.7" customHeight="1" x14ac:dyDescent="0.2">
      <c r="A44" s="20">
        <v>32</v>
      </c>
      <c r="B44" s="21" t="s">
        <v>653</v>
      </c>
      <c r="C44" s="158" t="s">
        <v>616</v>
      </c>
      <c r="D44" s="28"/>
      <c r="E44" s="28"/>
      <c r="F44" s="159" t="s">
        <v>188</v>
      </c>
      <c r="G44" s="155" cm="1">
        <f t="array" ref="G44">_xlfn.IFS(F44="","",F44="No interest",0,F44="Nice to have",1,F44="Useful",2,F44="Important",3,F44="Very important",4,F44="Critical",5,F44="Show stopper",6)</f>
        <v>5</v>
      </c>
      <c r="H44" s="156">
        <f t="shared" si="1"/>
        <v>2.3148148148148147E-3</v>
      </c>
      <c r="I44" s="154" t="s">
        <v>654</v>
      </c>
      <c r="J44" s="35" t="str" cm="1">
        <f t="array" ref="J44">_xlfn.TEXTJOIN(","&amp;CHAR(10),,TEXT(Table2614256789111213[[#This Row],[12]:[22]],"0,00%"))</f>
        <v>0,00%,
0,00%</v>
      </c>
      <c r="K44" s="26"/>
      <c r="L44" s="27" t="e">
        <f>H44-(H44*((MATCH(Table2614256789111213[[#This Row],[Evaluators Response (SELECT)]],Table2614256789111213[[#This Row],[1]:[11]],0)-1)/(COUNTA(Table2614256789111213[[#This Row],[1]:[11]])-COUNTBLANK(Table2614256789111213[[#This Row],[1]:[11]])-1)))</f>
        <v>#N/A</v>
      </c>
      <c r="M44" s="28"/>
      <c r="N44" s="29" t="str" cm="1">
        <f t="array" ref="N44">IFERROR(INDEX(_xlfn.UNIQUE(TRIM(_xlfn.TEXTSPLIT(Table2614256789111213[[#This Row],[Selection Options]:[Selection Options]],","))),,N$11),"")</f>
        <v>100%: Flexible timelines</v>
      </c>
      <c r="O44" s="29" t="str" cm="1">
        <f t="array" ref="O44">IFERROR(INDEX(_xlfn.UNIQUE(TRIM(_xlfn.TEXTSPLIT(Table2614256789111213[[#This Row],[Selection Options]:[Selection Options]],","))),,O$11),"")</f>
        <v xml:space="preserve">
0%: Strict timelines</v>
      </c>
      <c r="P44" s="29" t="str" cm="1">
        <f t="array" ref="P44">IFERROR(INDEX(_xlfn.UNIQUE(TRIM(_xlfn.TEXTSPLIT(Table2614256789111213[[#This Row],[Selection Options]:[Selection Options]],","))),,P$11),"")</f>
        <v/>
      </c>
      <c r="Q44" s="29" t="str" cm="1">
        <f t="array" ref="Q44">IFERROR(INDEX(_xlfn.UNIQUE(TRIM(_xlfn.TEXTSPLIT(Table2614256789111213[[#This Row],[Selection Options]:[Selection Options]],","))),,Q$11),"")</f>
        <v/>
      </c>
      <c r="R44" s="29" t="str" cm="1">
        <f t="array" ref="R44">IFERROR(INDEX(_xlfn.UNIQUE(TRIM(_xlfn.TEXTSPLIT(Table2614256789111213[[#This Row],[Selection Options]:[Selection Options]],","))),,R$11),"")</f>
        <v/>
      </c>
      <c r="S44" s="29" t="str" cm="1">
        <f t="array" ref="S44">IFERROR(INDEX(_xlfn.UNIQUE(TRIM(_xlfn.TEXTSPLIT(Table2614256789111213[[#This Row],[Selection Options]:[Selection Options]],","))),,S$11),"")</f>
        <v/>
      </c>
      <c r="T44" s="29" t="str" cm="1">
        <f t="array" ref="T44">IFERROR(INDEX(_xlfn.UNIQUE(TRIM(_xlfn.TEXTSPLIT(Table2614256789111213[[#This Row],[Selection Options]:[Selection Options]],","))),,T$11),"")</f>
        <v/>
      </c>
      <c r="U44" s="29" t="str" cm="1">
        <f t="array" ref="U44">IFERROR(INDEX(_xlfn.UNIQUE(TRIM(_xlfn.TEXTSPLIT(Table2614256789111213[[#This Row],[Selection Options]:[Selection Options]],","))),,U$11),"")</f>
        <v/>
      </c>
      <c r="V44" s="29" t="str" cm="1">
        <f t="array" ref="V44">IFERROR(INDEX(_xlfn.UNIQUE(TRIM(_xlfn.TEXTSPLIT(Table2614256789111213[[#This Row],[Selection Options]:[Selection Options]],","))),,V$11),"")</f>
        <v/>
      </c>
      <c r="W44" s="29" t="str" cm="1">
        <f t="array" ref="W44">IFERROR(INDEX(_xlfn.UNIQUE(TRIM(_xlfn.TEXTSPLIT(Table2614256789111213[[#This Row],[Selection Options]:[Selection Options]],","))),,W$11),"")</f>
        <v/>
      </c>
      <c r="X44" s="29" t="str" cm="1">
        <f t="array" ref="X44">IFERROR(INDEX(_xlfn.UNIQUE(TRIM(_xlfn.TEXTSPLIT(Table2614256789111213[[#This Row],[Selection Options]:[Selection Options]],","))),,X$11),"")</f>
        <v/>
      </c>
      <c r="Y44" s="30" cm="1">
        <f t="array" ref="Y44">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4" s="30" cm="1">
        <f t="array" ref="Z44">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4" s="30" t="str" cm="1">
        <f t="array" ref="AA44">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4" s="30" t="str" cm="1">
        <f t="array" ref="AB44">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4" s="30" t="str" cm="1">
        <f t="array" ref="AC44">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4" s="30" t="str" cm="1">
        <f t="array" ref="AD44">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4" s="30" t="str" cm="1">
        <f t="array" ref="AE44">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4" s="30" t="str" cm="1">
        <f t="array" ref="AF44">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4" s="30" t="str" cm="1">
        <f t="array" ref="AG44">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4" s="30" t="str" cm="1">
        <f t="array" ref="AH44">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4" s="30" t="str" cm="1">
        <f t="array" ref="AI44">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5" spans="1:35" ht="64.7" customHeight="1" x14ac:dyDescent="0.2">
      <c r="A45" s="20">
        <v>33</v>
      </c>
      <c r="B45" s="21" t="s">
        <v>655</v>
      </c>
      <c r="C45" s="158" t="s">
        <v>616</v>
      </c>
      <c r="D45" s="28"/>
      <c r="E45" s="28"/>
      <c r="F45" s="159" t="s">
        <v>188</v>
      </c>
      <c r="G45" s="155" cm="1">
        <f t="array" ref="G45">_xlfn.IFS(F45="","",F45="No interest",0,F45="Nice to have",1,F45="Useful",2,F45="Important",3,F45="Very important",4,F45="Critical",5,F45="Show stopper",6)</f>
        <v>5</v>
      </c>
      <c r="H45" s="156">
        <f t="shared" si="1"/>
        <v>2.3148148148148147E-3</v>
      </c>
      <c r="I45" s="154" t="s">
        <v>654</v>
      </c>
      <c r="J45" s="35" t="str" cm="1">
        <f t="array" ref="J45">_xlfn.TEXTJOIN(","&amp;CHAR(10),,TEXT(Table2614256789111213[[#This Row],[12]:[22]],"0,00%"))</f>
        <v>0,00%,
0,00%</v>
      </c>
      <c r="K45" s="26"/>
      <c r="L45" s="27" t="e">
        <f>H45-(H45*((MATCH(Table2614256789111213[[#This Row],[Evaluators Response (SELECT)]],Table2614256789111213[[#This Row],[1]:[11]],0)-1)/(COUNTA(Table2614256789111213[[#This Row],[1]:[11]])-COUNTBLANK(Table2614256789111213[[#This Row],[1]:[11]])-1)))</f>
        <v>#N/A</v>
      </c>
      <c r="M45" s="28"/>
      <c r="N45" s="29" t="str" cm="1">
        <f t="array" ref="N45">IFERROR(INDEX(_xlfn.UNIQUE(TRIM(_xlfn.TEXTSPLIT(Table2614256789111213[[#This Row],[Selection Options]:[Selection Options]],","))),,N$11),"")</f>
        <v>100%: Flexible timelines</v>
      </c>
      <c r="O45" s="29" t="str" cm="1">
        <f t="array" ref="O45">IFERROR(INDEX(_xlfn.UNIQUE(TRIM(_xlfn.TEXTSPLIT(Table2614256789111213[[#This Row],[Selection Options]:[Selection Options]],","))),,O$11),"")</f>
        <v xml:space="preserve">
0%: Strict timelines</v>
      </c>
      <c r="P45" s="29" t="str" cm="1">
        <f t="array" ref="P45">IFERROR(INDEX(_xlfn.UNIQUE(TRIM(_xlfn.TEXTSPLIT(Table2614256789111213[[#This Row],[Selection Options]:[Selection Options]],","))),,P$11),"")</f>
        <v/>
      </c>
      <c r="Q45" s="29" t="str" cm="1">
        <f t="array" ref="Q45">IFERROR(INDEX(_xlfn.UNIQUE(TRIM(_xlfn.TEXTSPLIT(Table2614256789111213[[#This Row],[Selection Options]:[Selection Options]],","))),,Q$11),"")</f>
        <v/>
      </c>
      <c r="R45" s="29" t="str" cm="1">
        <f t="array" ref="R45">IFERROR(INDEX(_xlfn.UNIQUE(TRIM(_xlfn.TEXTSPLIT(Table2614256789111213[[#This Row],[Selection Options]:[Selection Options]],","))),,R$11),"")</f>
        <v/>
      </c>
      <c r="S45" s="29" t="str" cm="1">
        <f t="array" ref="S45">IFERROR(INDEX(_xlfn.UNIQUE(TRIM(_xlfn.TEXTSPLIT(Table2614256789111213[[#This Row],[Selection Options]:[Selection Options]],","))),,S$11),"")</f>
        <v/>
      </c>
      <c r="T45" s="29" t="str" cm="1">
        <f t="array" ref="T45">IFERROR(INDEX(_xlfn.UNIQUE(TRIM(_xlfn.TEXTSPLIT(Table2614256789111213[[#This Row],[Selection Options]:[Selection Options]],","))),,T$11),"")</f>
        <v/>
      </c>
      <c r="U45" s="29" t="str" cm="1">
        <f t="array" ref="U45">IFERROR(INDEX(_xlfn.UNIQUE(TRIM(_xlfn.TEXTSPLIT(Table2614256789111213[[#This Row],[Selection Options]:[Selection Options]],","))),,U$11),"")</f>
        <v/>
      </c>
      <c r="V45" s="29" t="str" cm="1">
        <f t="array" ref="V45">IFERROR(INDEX(_xlfn.UNIQUE(TRIM(_xlfn.TEXTSPLIT(Table2614256789111213[[#This Row],[Selection Options]:[Selection Options]],","))),,V$11),"")</f>
        <v/>
      </c>
      <c r="W45" s="29" t="str" cm="1">
        <f t="array" ref="W45">IFERROR(INDEX(_xlfn.UNIQUE(TRIM(_xlfn.TEXTSPLIT(Table2614256789111213[[#This Row],[Selection Options]:[Selection Options]],","))),,W$11),"")</f>
        <v/>
      </c>
      <c r="X45" s="29" t="str" cm="1">
        <f t="array" ref="X45">IFERROR(INDEX(_xlfn.UNIQUE(TRIM(_xlfn.TEXTSPLIT(Table2614256789111213[[#This Row],[Selection Options]:[Selection Options]],","))),,X$11),"")</f>
        <v/>
      </c>
      <c r="Y45" s="30" cm="1">
        <f t="array" ref="Y45">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5" s="30" cm="1">
        <f t="array" ref="Z45">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5" s="30" t="str" cm="1">
        <f t="array" ref="AA45">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5" s="30" t="str" cm="1">
        <f t="array" ref="AB45">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5" s="30" t="str" cm="1">
        <f t="array" ref="AC45">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5" s="30" t="str" cm="1">
        <f t="array" ref="AD45">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5" s="30" t="str" cm="1">
        <f t="array" ref="AE45">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5" s="30" t="str" cm="1">
        <f t="array" ref="AF45">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5" s="30" t="str" cm="1">
        <f t="array" ref="AG45">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5" s="30" t="str" cm="1">
        <f t="array" ref="AH45">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5" s="30" t="str" cm="1">
        <f t="array" ref="AI45">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6" spans="1:35" ht="57.6" customHeight="1" x14ac:dyDescent="0.2">
      <c r="A46" s="20">
        <v>34</v>
      </c>
      <c r="B46" s="21" t="s">
        <v>656</v>
      </c>
      <c r="C46" s="158" t="s">
        <v>616</v>
      </c>
      <c r="D46" s="28"/>
      <c r="E46" s="28"/>
      <c r="F46" s="159" t="s">
        <v>188</v>
      </c>
      <c r="G46" s="155" cm="1">
        <f t="array" ref="G46">_xlfn.IFS(F46="","",F46="No interest",0,F46="Nice to have",1,F46="Useful",2,F46="Important",3,F46="Very important",4,F46="Critical",5,F46="Show stopper",6)</f>
        <v>5</v>
      </c>
      <c r="H46" s="156">
        <f t="shared" si="1"/>
        <v>2.3148148148148147E-3</v>
      </c>
      <c r="I46" s="154" t="s">
        <v>621</v>
      </c>
      <c r="J46" s="35" t="str" cm="1">
        <f t="array" ref="J46">_xlfn.TEXTJOIN(","&amp;CHAR(10),,TEXT(Table2614256789111213[[#This Row],[12]:[22]],"0,00%"))</f>
        <v>0,00%,
0,00%</v>
      </c>
      <c r="K46" s="26"/>
      <c r="L46" s="27" t="e">
        <f>H46-(H46*((MATCH(Table2614256789111213[[#This Row],[Evaluators Response (SELECT)]],Table2614256789111213[[#This Row],[1]:[11]],0)-1)/(COUNTA(Table2614256789111213[[#This Row],[1]:[11]])-COUNTBLANK(Table2614256789111213[[#This Row],[1]:[11]])-1)))</f>
        <v>#N/A</v>
      </c>
      <c r="M46" s="28"/>
      <c r="N46" s="29" t="str" cm="1">
        <f t="array" ref="N46">IFERROR(INDEX(_xlfn.UNIQUE(TRIM(_xlfn.TEXTSPLIT(Table2614256789111213[[#This Row],[Selection Options]:[Selection Options]],","))),,N$11),"")</f>
        <v>100%: Yes</v>
      </c>
      <c r="O46" s="29" t="str" cm="1">
        <f t="array" ref="O46">IFERROR(INDEX(_xlfn.UNIQUE(TRIM(_xlfn.TEXTSPLIT(Table2614256789111213[[#This Row],[Selection Options]:[Selection Options]],","))),,O$11),"")</f>
        <v xml:space="preserve">
0%: No</v>
      </c>
      <c r="P46" s="29" t="str" cm="1">
        <f t="array" ref="P46">IFERROR(INDEX(_xlfn.UNIQUE(TRIM(_xlfn.TEXTSPLIT(Table2614256789111213[[#This Row],[Selection Options]:[Selection Options]],","))),,P$11),"")</f>
        <v/>
      </c>
      <c r="Q46" s="29" t="str" cm="1">
        <f t="array" ref="Q46">IFERROR(INDEX(_xlfn.UNIQUE(TRIM(_xlfn.TEXTSPLIT(Table2614256789111213[[#This Row],[Selection Options]:[Selection Options]],","))),,Q$11),"")</f>
        <v/>
      </c>
      <c r="R46" s="29" t="str" cm="1">
        <f t="array" ref="R46">IFERROR(INDEX(_xlfn.UNIQUE(TRIM(_xlfn.TEXTSPLIT(Table2614256789111213[[#This Row],[Selection Options]:[Selection Options]],","))),,R$11),"")</f>
        <v/>
      </c>
      <c r="S46" s="29" t="str" cm="1">
        <f t="array" ref="S46">IFERROR(INDEX(_xlfn.UNIQUE(TRIM(_xlfn.TEXTSPLIT(Table2614256789111213[[#This Row],[Selection Options]:[Selection Options]],","))),,S$11),"")</f>
        <v/>
      </c>
      <c r="T46" s="29" t="str" cm="1">
        <f t="array" ref="T46">IFERROR(INDEX(_xlfn.UNIQUE(TRIM(_xlfn.TEXTSPLIT(Table2614256789111213[[#This Row],[Selection Options]:[Selection Options]],","))),,T$11),"")</f>
        <v/>
      </c>
      <c r="U46" s="29" t="str" cm="1">
        <f t="array" ref="U46">IFERROR(INDEX(_xlfn.UNIQUE(TRIM(_xlfn.TEXTSPLIT(Table2614256789111213[[#This Row],[Selection Options]:[Selection Options]],","))),,U$11),"")</f>
        <v/>
      </c>
      <c r="V46" s="29" t="str" cm="1">
        <f t="array" ref="V46">IFERROR(INDEX(_xlfn.UNIQUE(TRIM(_xlfn.TEXTSPLIT(Table2614256789111213[[#This Row],[Selection Options]:[Selection Options]],","))),,V$11),"")</f>
        <v/>
      </c>
      <c r="W46" s="29" t="str" cm="1">
        <f t="array" ref="W46">IFERROR(INDEX(_xlfn.UNIQUE(TRIM(_xlfn.TEXTSPLIT(Table2614256789111213[[#This Row],[Selection Options]:[Selection Options]],","))),,W$11),"")</f>
        <v/>
      </c>
      <c r="X46" s="29" t="str" cm="1">
        <f t="array" ref="X46">IFERROR(INDEX(_xlfn.UNIQUE(TRIM(_xlfn.TEXTSPLIT(Table2614256789111213[[#This Row],[Selection Options]:[Selection Options]],","))),,X$11),"")</f>
        <v/>
      </c>
      <c r="Y46" s="30" cm="1">
        <f t="array" ref="Y46">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6" s="30" cm="1">
        <f t="array" ref="Z46">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6" s="30" t="str" cm="1">
        <f t="array" ref="AA46">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6" s="30" t="str" cm="1">
        <f t="array" ref="AB46">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6" s="30" t="str" cm="1">
        <f t="array" ref="AC46">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6" s="30" t="str" cm="1">
        <f t="array" ref="AD46">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6" s="30" t="str" cm="1">
        <f t="array" ref="AE46">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6" s="30" t="str" cm="1">
        <f t="array" ref="AF46">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6" s="30" t="str" cm="1">
        <f t="array" ref="AG46">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6" s="30" t="str" cm="1">
        <f t="array" ref="AH46">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6" s="30" t="str" cm="1">
        <f t="array" ref="AI46">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7" spans="1:35" ht="67.349999999999994" customHeight="1" x14ac:dyDescent="0.2">
      <c r="A47" s="20">
        <v>35</v>
      </c>
      <c r="B47" s="21" t="s">
        <v>657</v>
      </c>
      <c r="C47" s="158" t="s">
        <v>616</v>
      </c>
      <c r="D47" s="28"/>
      <c r="E47" s="28"/>
      <c r="F47" s="159" t="s">
        <v>60</v>
      </c>
      <c r="G47" s="155" cm="1">
        <f t="array" ref="G47">_xlfn.IFS(F47="","",F47="No interest",0,F47="Nice to have",1,F47="Useful",2,F47="Important",3,F47="Very important",4,F47="Critical",5,F47="Show stopper",6)</f>
        <v>6</v>
      </c>
      <c r="H47" s="156">
        <f t="shared" si="1"/>
        <v>2.7777777777777775E-3</v>
      </c>
      <c r="I47" s="154" t="s">
        <v>621</v>
      </c>
      <c r="J47" s="35" t="str" cm="1">
        <f t="array" ref="J47">_xlfn.TEXTJOIN(","&amp;CHAR(10),,TEXT(Table2614256789111213[[#This Row],[12]:[22]],"0,00%"))</f>
        <v>0,00%,
0,00%</v>
      </c>
      <c r="K47" s="26"/>
      <c r="L47" s="27" t="e">
        <f>H47-(H47*((MATCH(Table2614256789111213[[#This Row],[Evaluators Response (SELECT)]],Table2614256789111213[[#This Row],[1]:[11]],0)-1)/(COUNTA(Table2614256789111213[[#This Row],[1]:[11]])-COUNTBLANK(Table2614256789111213[[#This Row],[1]:[11]])-1)))</f>
        <v>#N/A</v>
      </c>
      <c r="M47" s="28"/>
      <c r="N47" s="29" t="str" cm="1">
        <f t="array" ref="N47">IFERROR(INDEX(_xlfn.UNIQUE(TRIM(_xlfn.TEXTSPLIT(Table2614256789111213[[#This Row],[Selection Options]:[Selection Options]],","))),,N$11),"")</f>
        <v>100%: Yes</v>
      </c>
      <c r="O47" s="29" t="str" cm="1">
        <f t="array" ref="O47">IFERROR(INDEX(_xlfn.UNIQUE(TRIM(_xlfn.TEXTSPLIT(Table2614256789111213[[#This Row],[Selection Options]:[Selection Options]],","))),,O$11),"")</f>
        <v xml:space="preserve">
0%: No</v>
      </c>
      <c r="P47" s="29" t="str" cm="1">
        <f t="array" ref="P47">IFERROR(INDEX(_xlfn.UNIQUE(TRIM(_xlfn.TEXTSPLIT(Table2614256789111213[[#This Row],[Selection Options]:[Selection Options]],","))),,P$11),"")</f>
        <v/>
      </c>
      <c r="Q47" s="29" t="str" cm="1">
        <f t="array" ref="Q47">IFERROR(INDEX(_xlfn.UNIQUE(TRIM(_xlfn.TEXTSPLIT(Table2614256789111213[[#This Row],[Selection Options]:[Selection Options]],","))),,Q$11),"")</f>
        <v/>
      </c>
      <c r="R47" s="29" t="str" cm="1">
        <f t="array" ref="R47">IFERROR(INDEX(_xlfn.UNIQUE(TRIM(_xlfn.TEXTSPLIT(Table2614256789111213[[#This Row],[Selection Options]:[Selection Options]],","))),,R$11),"")</f>
        <v/>
      </c>
      <c r="S47" s="29" t="str" cm="1">
        <f t="array" ref="S47">IFERROR(INDEX(_xlfn.UNIQUE(TRIM(_xlfn.TEXTSPLIT(Table2614256789111213[[#This Row],[Selection Options]:[Selection Options]],","))),,S$11),"")</f>
        <v/>
      </c>
      <c r="T47" s="29" t="str" cm="1">
        <f t="array" ref="T47">IFERROR(INDEX(_xlfn.UNIQUE(TRIM(_xlfn.TEXTSPLIT(Table2614256789111213[[#This Row],[Selection Options]:[Selection Options]],","))),,T$11),"")</f>
        <v/>
      </c>
      <c r="U47" s="29" t="str" cm="1">
        <f t="array" ref="U47">IFERROR(INDEX(_xlfn.UNIQUE(TRIM(_xlfn.TEXTSPLIT(Table2614256789111213[[#This Row],[Selection Options]:[Selection Options]],","))),,U$11),"")</f>
        <v/>
      </c>
      <c r="V47" s="29" t="str" cm="1">
        <f t="array" ref="V47">IFERROR(INDEX(_xlfn.UNIQUE(TRIM(_xlfn.TEXTSPLIT(Table2614256789111213[[#This Row],[Selection Options]:[Selection Options]],","))),,V$11),"")</f>
        <v/>
      </c>
      <c r="W47" s="29" t="str" cm="1">
        <f t="array" ref="W47">IFERROR(INDEX(_xlfn.UNIQUE(TRIM(_xlfn.TEXTSPLIT(Table2614256789111213[[#This Row],[Selection Options]:[Selection Options]],","))),,W$11),"")</f>
        <v/>
      </c>
      <c r="X47" s="29" t="str" cm="1">
        <f t="array" ref="X47">IFERROR(INDEX(_xlfn.UNIQUE(TRIM(_xlfn.TEXTSPLIT(Table2614256789111213[[#This Row],[Selection Options]:[Selection Options]],","))),,X$11),"")</f>
        <v/>
      </c>
      <c r="Y47" s="30" cm="1">
        <f t="array" ref="Y47">IF(Table2614256789111213[[#This Row],[1]]="","",Table2614256789111213[[#This Row],[Weight]:[Weight]]-(Table2614256789111213[[#This Row],[Weight]:[Weight]]*((_xlfn.XMATCH(Table2614256789111213[[#This Row],[1]],Table2614256789111213[[#This Row],[1]:[11]],0))-1)/(COUNTA(Table2614256789111213[[#This Row],[1]:[11]])-COUNTBLANK(Table2614256789111213[[#This Row],[1]:[11]])-1)))</f>
        <v>2.7777777777777775E-3</v>
      </c>
      <c r="Z47" s="30" cm="1">
        <f t="array" ref="Z47">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7" s="30" t="str" cm="1">
        <f t="array" ref="AA47">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7" s="30" t="str" cm="1">
        <f t="array" ref="AB47">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7" s="30" t="str" cm="1">
        <f t="array" ref="AC47">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7" s="30" t="str" cm="1">
        <f t="array" ref="AD47">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7" s="30" t="str" cm="1">
        <f t="array" ref="AE47">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7" s="30" t="str" cm="1">
        <f t="array" ref="AF47">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7" s="30" t="str" cm="1">
        <f t="array" ref="AG47">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7" s="30" t="str" cm="1">
        <f t="array" ref="AH47">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7" s="30" t="str" cm="1">
        <f t="array" ref="AI47">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row r="48" spans="1:35" ht="55.35" customHeight="1" x14ac:dyDescent="0.2">
      <c r="A48" s="20">
        <v>36</v>
      </c>
      <c r="B48" s="21" t="s">
        <v>658</v>
      </c>
      <c r="C48" s="158" t="s">
        <v>616</v>
      </c>
      <c r="D48" s="28"/>
      <c r="E48" s="28"/>
      <c r="F48" s="159" t="s">
        <v>188</v>
      </c>
      <c r="G48" s="155" cm="1">
        <f t="array" ref="G48">_xlfn.IFS(F48="","",F48="No interest",0,F48="Nice to have",1,F48="Useful",2,F48="Important",3,F48="Very important",4,F48="Critical",5,F48="Show stopper",6)</f>
        <v>5</v>
      </c>
      <c r="H48" s="156">
        <f t="shared" si="1"/>
        <v>2.3148148148148147E-3</v>
      </c>
      <c r="I48" s="154" t="s">
        <v>621</v>
      </c>
      <c r="J48" s="35" t="str" cm="1">
        <f t="array" ref="J48">_xlfn.TEXTJOIN(","&amp;CHAR(10),,TEXT(Table2614256789111213[[#This Row],[12]:[22]],"0,00%"))</f>
        <v>0,00%,
0,00%</v>
      </c>
      <c r="K48" s="26"/>
      <c r="L48" s="27" t="e">
        <f>H48-(H48*((MATCH(Table2614256789111213[[#This Row],[Evaluators Response (SELECT)]],Table2614256789111213[[#This Row],[1]:[11]],0)-1)/(COUNTA(Table2614256789111213[[#This Row],[1]:[11]])-COUNTBLANK(Table2614256789111213[[#This Row],[1]:[11]])-1)))</f>
        <v>#N/A</v>
      </c>
      <c r="M48" s="28"/>
      <c r="N48" s="29" t="str" cm="1">
        <f t="array" ref="N48">IFERROR(INDEX(_xlfn.UNIQUE(TRIM(_xlfn.TEXTSPLIT(Table2614256789111213[[#This Row],[Selection Options]:[Selection Options]],","))),,N$11),"")</f>
        <v>100%: Yes</v>
      </c>
      <c r="O48" s="29" t="str" cm="1">
        <f t="array" ref="O48">IFERROR(INDEX(_xlfn.UNIQUE(TRIM(_xlfn.TEXTSPLIT(Table2614256789111213[[#This Row],[Selection Options]:[Selection Options]],","))),,O$11),"")</f>
        <v xml:space="preserve">
0%: No</v>
      </c>
      <c r="P48" s="29" t="str" cm="1">
        <f t="array" ref="P48">IFERROR(INDEX(_xlfn.UNIQUE(TRIM(_xlfn.TEXTSPLIT(Table2614256789111213[[#This Row],[Selection Options]:[Selection Options]],","))),,P$11),"")</f>
        <v/>
      </c>
      <c r="Q48" s="29" t="str" cm="1">
        <f t="array" ref="Q48">IFERROR(INDEX(_xlfn.UNIQUE(TRIM(_xlfn.TEXTSPLIT(Table2614256789111213[[#This Row],[Selection Options]:[Selection Options]],","))),,Q$11),"")</f>
        <v/>
      </c>
      <c r="R48" s="29" t="str" cm="1">
        <f t="array" ref="R48">IFERROR(INDEX(_xlfn.UNIQUE(TRIM(_xlfn.TEXTSPLIT(Table2614256789111213[[#This Row],[Selection Options]:[Selection Options]],","))),,R$11),"")</f>
        <v/>
      </c>
      <c r="S48" s="29" t="str" cm="1">
        <f t="array" ref="S48">IFERROR(INDEX(_xlfn.UNIQUE(TRIM(_xlfn.TEXTSPLIT(Table2614256789111213[[#This Row],[Selection Options]:[Selection Options]],","))),,S$11),"")</f>
        <v/>
      </c>
      <c r="T48" s="29" t="str" cm="1">
        <f t="array" ref="T48">IFERROR(INDEX(_xlfn.UNIQUE(TRIM(_xlfn.TEXTSPLIT(Table2614256789111213[[#This Row],[Selection Options]:[Selection Options]],","))),,T$11),"")</f>
        <v/>
      </c>
      <c r="U48" s="29" t="str" cm="1">
        <f t="array" ref="U48">IFERROR(INDEX(_xlfn.UNIQUE(TRIM(_xlfn.TEXTSPLIT(Table2614256789111213[[#This Row],[Selection Options]:[Selection Options]],","))),,U$11),"")</f>
        <v/>
      </c>
      <c r="V48" s="29" t="str" cm="1">
        <f t="array" ref="V48">IFERROR(INDEX(_xlfn.UNIQUE(TRIM(_xlfn.TEXTSPLIT(Table2614256789111213[[#This Row],[Selection Options]:[Selection Options]],","))),,V$11),"")</f>
        <v/>
      </c>
      <c r="W48" s="29" t="str" cm="1">
        <f t="array" ref="W48">IFERROR(INDEX(_xlfn.UNIQUE(TRIM(_xlfn.TEXTSPLIT(Table2614256789111213[[#This Row],[Selection Options]:[Selection Options]],","))),,W$11),"")</f>
        <v/>
      </c>
      <c r="X48" s="29" t="str" cm="1">
        <f t="array" ref="X48">IFERROR(INDEX(_xlfn.UNIQUE(TRIM(_xlfn.TEXTSPLIT(Table2614256789111213[[#This Row],[Selection Options]:[Selection Options]],","))),,X$11),"")</f>
        <v/>
      </c>
      <c r="Y48" s="30" cm="1">
        <f t="array" ref="Y48">IF(Table2614256789111213[[#This Row],[1]]="","",Table2614256789111213[[#This Row],[Weight]:[Weight]]-(Table2614256789111213[[#This Row],[Weight]:[Weight]]*((_xlfn.XMATCH(Table2614256789111213[[#This Row],[1]],Table2614256789111213[[#This Row],[1]:[11]],0))-1)/(COUNTA(Table2614256789111213[[#This Row],[1]:[11]])-COUNTBLANK(Table2614256789111213[[#This Row],[1]:[11]])-1)))</f>
        <v>2.3148148148148147E-3</v>
      </c>
      <c r="Z48" s="30" cm="1">
        <f t="array" ref="Z48">IF(Table2614256789111213[[#This Row],[2]]="","",Table2614256789111213[[#This Row],[Weight]:[Weight]]-(Table2614256789111213[[#This Row],[Weight]:[Weight]]*((_xlfn.XMATCH(Table2614256789111213[[#This Row],[2]],Table2614256789111213[[#This Row],[1]:[11]],0))-1)/(COUNTA(Table2614256789111213[[#This Row],[1]:[11]])-COUNTBLANK(Table2614256789111213[[#This Row],[1]:[11]])-1)))</f>
        <v>0</v>
      </c>
      <c r="AA48" s="30" t="str" cm="1">
        <f t="array" ref="AA48">IF(Table2614256789111213[[#This Row],[3]]="","",Table2614256789111213[[#This Row],[Weight]:[Weight]]-(Table2614256789111213[[#This Row],[Weight]:[Weight]]*((_xlfn.XMATCH(Table2614256789111213[[#This Row],[3]],Table2614256789111213[[#This Row],[1]:[11]],0))-1)/(COUNTA(Table2614256789111213[[#This Row],[1]:[11]])-COUNTBLANK(Table2614256789111213[[#This Row],[1]:[11]])-1)))</f>
        <v/>
      </c>
      <c r="AB48" s="30" t="str" cm="1">
        <f t="array" ref="AB48">IF(Table2614256789111213[[#This Row],[4]]="","",Table2614256789111213[[#This Row],[Weight]:[Weight]]-(Table2614256789111213[[#This Row],[Weight]:[Weight]]*((_xlfn.XMATCH(Table2614256789111213[[#This Row],[4]],Table2614256789111213[[#This Row],[1]:[11]],0))-1)/(COUNTA(Table2614256789111213[[#This Row],[1]:[11]])-COUNTBLANK(Table2614256789111213[[#This Row],[1]:[11]])-1)))</f>
        <v/>
      </c>
      <c r="AC48" s="30" t="str" cm="1">
        <f t="array" ref="AC48">IF(Table2614256789111213[[#This Row],[5]]="","",Table2614256789111213[[#This Row],[Weight]:[Weight]]-(Table2614256789111213[[#This Row],[Weight]:[Weight]]*((_xlfn.XMATCH(Table2614256789111213[[#This Row],[5]],Table2614256789111213[[#This Row],[1]:[11]],0))-1)/(COUNTA(Table2614256789111213[[#This Row],[1]:[11]])-COUNTBLANK(Table2614256789111213[[#This Row],[1]:[11]])-1)))</f>
        <v/>
      </c>
      <c r="AD48" s="30" t="str" cm="1">
        <f t="array" ref="AD48">IF(Table2614256789111213[[#This Row],[6]]="","",Table2614256789111213[[#This Row],[Weight]:[Weight]]-(Table2614256789111213[[#This Row],[Weight]:[Weight]]*((_xlfn.XMATCH(Table2614256789111213[[#This Row],[6]],Table2614256789111213[[#This Row],[1]:[11]],0))-1)/(COUNTA(Table2614256789111213[[#This Row],[1]:[11]])-COUNTBLANK(Table2614256789111213[[#This Row],[1]:[11]])-1)))</f>
        <v/>
      </c>
      <c r="AE48" s="30" t="str" cm="1">
        <f t="array" ref="AE48">IF(Table2614256789111213[[#This Row],[7]]="","",Table2614256789111213[[#This Row],[Weight]:[Weight]]-(Table2614256789111213[[#This Row],[Weight]:[Weight]]*((_xlfn.XMATCH(Table2614256789111213[[#This Row],[7]],Table2614256789111213[[#This Row],[1]:[11]],0))-1)/(COUNTA(Table2614256789111213[[#This Row],[1]:[11]])-COUNTBLANK(Table2614256789111213[[#This Row],[1]:[11]])-1)))</f>
        <v/>
      </c>
      <c r="AF48" s="30" t="str" cm="1">
        <f t="array" ref="AF48">IF(Table2614256789111213[[#This Row],[8]]="","",Table2614256789111213[[#This Row],[Weight]:[Weight]]-(Table2614256789111213[[#This Row],[Weight]:[Weight]]*((_xlfn.XMATCH(Table2614256789111213[[#This Row],[8]],Table2614256789111213[[#This Row],[1]:[11]],0))-1)/(COUNTA(Table2614256789111213[[#This Row],[1]:[11]])-COUNTBLANK(Table2614256789111213[[#This Row],[1]:[11]])-1)))</f>
        <v/>
      </c>
      <c r="AG48" s="30" t="str" cm="1">
        <f t="array" ref="AG48">IF(Table2614256789111213[[#This Row],[9]]="","",Table2614256789111213[[#This Row],[Weight]:[Weight]]-(Table2614256789111213[[#This Row],[Weight]:[Weight]]*((_xlfn.XMATCH(Table2614256789111213[[#This Row],[9]],Table2614256789111213[[#This Row],[1]:[11]],0))-1)/(COUNTA(Table2614256789111213[[#This Row],[1]:[11]])-COUNTBLANK(Table2614256789111213[[#This Row],[1]:[11]])-1)))</f>
        <v/>
      </c>
      <c r="AH48" s="30" t="str" cm="1">
        <f t="array" ref="AH48">IF(Table2614256789111213[[#This Row],[10]]="","",Table2614256789111213[[#This Row],[Weight]:[Weight]]-(Table2614256789111213[[#This Row],[Weight]:[Weight]]*((_xlfn.XMATCH(Table2614256789111213[[#This Row],[10]],Table2614256789111213[[#This Row],[1]:[11]],0))-1)/(COUNTA(Table2614256789111213[[#This Row],[1]:[11]])-COUNTBLANK(Table2614256789111213[[#This Row],[1]:[11]])-1)))</f>
        <v/>
      </c>
      <c r="AI48" s="30" t="str" cm="1">
        <f t="array" ref="AI48">IF(Table2614256789111213[[#This Row],[11]]="","",Table2614256789111213[[#This Row],[Weight]:[Weight]]-(Table2614256789111213[[#This Row],[Weight]:[Weight]]*((_xlfn.XMATCH(Table2614256789111213[[#This Row],[11]],Table2614256789111213[[#This Row],[1]:[11]],0))-1)/(COUNTA(Table2614256789111213[[#This Row],[1]:[11]])-COUNTBLANK(Table2614256789111213[[#This Row],[1]:[11]])-1)))</f>
        <v/>
      </c>
    </row>
  </sheetData>
  <sheetProtection insertRows="0" insertHyperlinks="0" deleteRows="0" autoFilter="0"/>
  <mergeCells count="4">
    <mergeCell ref="E2:F3"/>
    <mergeCell ref="A10:A11"/>
    <mergeCell ref="B10:C11"/>
    <mergeCell ref="D10:E11"/>
  </mergeCells>
  <conditionalFormatting sqref="K13:K48">
    <cfRule type="expression" dxfId="204" priority="1">
      <formula>COUNTIF(N13:X13,K13)&lt;&gt;1</formula>
    </cfRule>
  </conditionalFormatting>
  <dataValidations count="4">
    <dataValidation type="list" allowBlank="1" showInputMessage="1" showErrorMessage="1" sqref="F13:F48" xr:uid="{D2E1F5C3-5DC2-4C0D-BB1D-B8CFAFC7E5AC}">
      <formula1>"No interest,Nice to have,Useful,Important,Very important,Critical,Show stopper"</formula1>
    </dataValidation>
    <dataValidation type="list" allowBlank="1" showInputMessage="1" showErrorMessage="1" sqref="M14" xr:uid="{E40A743C-2352-49A8-B311-7758ACCB2BE6}">
      <formula1>_xlfn.UNIQUE(TRIM(_xlfn.TEXTSPLIT(#REF!,",")))</formula1>
    </dataValidation>
    <dataValidation type="list" allowBlank="1" showInputMessage="1" showErrorMessage="1" sqref="K13:K48" xr:uid="{22C38965-C0A9-41E7-B69D-3AB8DBDCC952}">
      <formula1>$N13:$X13</formula1>
    </dataValidation>
    <dataValidation type="list" allowBlank="1" showInputMessage="1" showErrorMessage="1" sqref="H13:H48" xr:uid="{1DF9D3DA-6B06-4588-A6B6-54EDD595D63D}">
      <formula1>N13:R13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592B9-4B2C-49B0-91B5-BEC8AF25B02C}">
  <sheetPr>
    <tabColor rgb="FF92D050"/>
    <pageSetUpPr fitToPage="1"/>
  </sheetPr>
  <dimension ref="A2:AI25"/>
  <sheetViews>
    <sheetView zoomScale="80" zoomScaleNormal="100" workbookViewId="0">
      <pane xSplit="1" ySplit="11" topLeftCell="B12" activePane="bottomRight" state="frozen"/>
      <selection pane="topRight" activeCell="D7" sqref="D7"/>
      <selection pane="bottomLeft" activeCell="D7" sqref="D7"/>
      <selection pane="bottomRight" activeCell="B12" sqref="B12"/>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19.42578125" style="6" bestFit="1"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Summary'!C24</f>
        <v>2.5000000000000001E-2</v>
      </c>
      <c r="G11" s="43">
        <f>SUM(Table261425678911121316[Priority])</f>
        <v>74</v>
      </c>
      <c r="H11" s="8">
        <f>SUM(Table261425678911121316[Weight])</f>
        <v>2.5000000000000001E-2</v>
      </c>
      <c r="I11" s="7"/>
      <c r="J11" s="7"/>
      <c r="K11" s="9" t="s">
        <v>17</v>
      </c>
      <c r="L11" s="8" t="e">
        <f>SUM(Table261425678911121316[Score])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59.45" customHeight="1" x14ac:dyDescent="0.2">
      <c r="A12" s="11" t="s">
        <v>178</v>
      </c>
      <c r="B12" s="12" t="s">
        <v>544</v>
      </c>
      <c r="C12" s="13" t="s">
        <v>545</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48" x14ac:dyDescent="0.2">
      <c r="A13" s="20">
        <v>1</v>
      </c>
      <c r="B13" s="21" t="s">
        <v>659</v>
      </c>
      <c r="C13" s="158" t="s">
        <v>215</v>
      </c>
      <c r="D13" s="21"/>
      <c r="E13" s="21" t="s">
        <v>55</v>
      </c>
      <c r="F13" s="87" t="s">
        <v>60</v>
      </c>
      <c r="G13" s="155" cm="1">
        <f t="array" ref="G13">_xlfn.IFS(F13="","",F13="No interest",0,F13="Nice to have",1,F13="Useful",2,F13="Important",3,F13="Very important",4,F13="Critical",5,F13="Show stopper",6)</f>
        <v>6</v>
      </c>
      <c r="H13" s="156">
        <f t="shared" ref="H13:H16" si="0">(G13/$G$11)*$F$11</f>
        <v>2.0270270270270271E-3</v>
      </c>
      <c r="I13" s="157" t="s">
        <v>660</v>
      </c>
      <c r="J13" s="25" t="str" cm="1">
        <f t="array" ref="J13">_xlfn.TEXTJOIN(","&amp;CHAR(10),,TEXT(Table261425678911121316[[#This Row],[12]:[22]],"0,00%"))</f>
        <v>0,00%,
0,00%</v>
      </c>
      <c r="K13" s="26"/>
      <c r="L13" s="27" t="e">
        <f>H13-(H13*((MATCH(Table261425678911121316[[#This Row],[Evaluators Response (SELECT)]],Table261425678911121316[[#This Row],[1]:[11]],0)-1)/(COUNTA(Table261425678911121316[[#This Row],[1]:[11]])-COUNTBLANK(Table261425678911121316[[#This Row],[1]:[11]])-1)))</f>
        <v>#N/A</v>
      </c>
      <c r="M13" s="28"/>
      <c r="N13" s="29" t="str" cm="1">
        <f t="array" ref="N13">IFERROR(INDEX(_xlfn.UNIQUE(TRIM(_xlfn.TEXTSPLIT(Table261425678911121316[[#This Row],[Selection Options]:[Selection Options]],","))),,N$11),"")</f>
        <v>100%: Yes</v>
      </c>
      <c r="O13" s="29" t="str" cm="1">
        <f t="array" ref="O13">IFERROR(INDEX(_xlfn.UNIQUE(TRIM(_xlfn.TEXTSPLIT(Table261425678911121316[[#This Row],[Selection Options]:[Selection Options]],","))),,O$11),"")</f>
        <v xml:space="preserve">
0%: No</v>
      </c>
      <c r="P13" s="29" t="str" cm="1">
        <f t="array" ref="P13">IFERROR(INDEX(_xlfn.UNIQUE(TRIM(_xlfn.TEXTSPLIT(Table261425678911121316[[#This Row],[Selection Options]:[Selection Options]],","))),,P$11),"")</f>
        <v/>
      </c>
      <c r="Q13" s="29" t="str" cm="1">
        <f t="array" ref="Q13">IFERROR(INDEX(_xlfn.UNIQUE(TRIM(_xlfn.TEXTSPLIT(Table261425678911121316[[#This Row],[Selection Options]:[Selection Options]],","))),,Q$11),"")</f>
        <v/>
      </c>
      <c r="R13" s="29" t="str" cm="1">
        <f t="array" ref="R13">IFERROR(INDEX(_xlfn.UNIQUE(TRIM(_xlfn.TEXTSPLIT(Table261425678911121316[[#This Row],[Selection Options]:[Selection Options]],","))),,R$11),"")</f>
        <v/>
      </c>
      <c r="S13" s="29" t="str" cm="1">
        <f t="array" ref="S13">IFERROR(INDEX(_xlfn.UNIQUE(TRIM(_xlfn.TEXTSPLIT(Table261425678911121316[[#This Row],[Selection Options]:[Selection Options]],","))),,S$11),"")</f>
        <v/>
      </c>
      <c r="T13" s="29" t="str" cm="1">
        <f t="array" ref="T13">IFERROR(INDEX(_xlfn.UNIQUE(TRIM(_xlfn.TEXTSPLIT(Table261425678911121316[[#This Row],[Selection Options]:[Selection Options]],","))),,T$11),"")</f>
        <v/>
      </c>
      <c r="U13" s="29" t="str" cm="1">
        <f t="array" ref="U13">IFERROR(INDEX(_xlfn.UNIQUE(TRIM(_xlfn.TEXTSPLIT(Table261425678911121316[[#This Row],[Selection Options]:[Selection Options]],","))),,U$11),"")</f>
        <v/>
      </c>
      <c r="V13" s="29" t="str" cm="1">
        <f t="array" ref="V13">IFERROR(INDEX(_xlfn.UNIQUE(TRIM(_xlfn.TEXTSPLIT(Table261425678911121316[[#This Row],[Selection Options]:[Selection Options]],","))),,V$11),"")</f>
        <v/>
      </c>
      <c r="W13" s="29" t="str" cm="1">
        <f t="array" ref="W13">IFERROR(INDEX(_xlfn.UNIQUE(TRIM(_xlfn.TEXTSPLIT(Table261425678911121316[[#This Row],[Selection Options]:[Selection Options]],","))),,W$11),"")</f>
        <v/>
      </c>
      <c r="X13" s="29" t="str" cm="1">
        <f t="array" ref="X13">IFERROR(INDEX(_xlfn.UNIQUE(TRIM(_xlfn.TEXTSPLIT(Table261425678911121316[[#This Row],[Selection Options]:[Selection Options]],","))),,X$11),"")</f>
        <v/>
      </c>
      <c r="Y13" s="30" cm="1">
        <f t="array" ref="Y13">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13" s="30" cm="1">
        <f t="array" ref="Z13">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13" s="30" t="str" cm="1">
        <f t="array" ref="AA13">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13" s="30" t="str" cm="1">
        <f t="array" ref="AB13">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3" s="30" t="str" cm="1">
        <f t="array" ref="AC13">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3" s="30" t="str" cm="1">
        <f t="array" ref="AD13">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3" s="30" t="str" cm="1">
        <f t="array" ref="AE13">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3" s="30" t="str" cm="1">
        <f t="array" ref="AF13">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3" s="30" t="str" cm="1">
        <f t="array" ref="AG13">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3" s="30" t="str" cm="1">
        <f t="array" ref="AH13">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3" s="30" t="str" cm="1">
        <f t="array" ref="AI13">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4" spans="1:35" ht="36" x14ac:dyDescent="0.2">
      <c r="A14" s="20">
        <v>2</v>
      </c>
      <c r="B14" s="21" t="s">
        <v>661</v>
      </c>
      <c r="C14" s="158" t="s">
        <v>215</v>
      </c>
      <c r="D14" s="31"/>
      <c r="E14" s="31"/>
      <c r="F14" s="87" t="s">
        <v>60</v>
      </c>
      <c r="G14" s="155" cm="1">
        <f t="array" ref="G14">_xlfn.IFS(F14="","",F14="No interest",0,F14="Nice to have",1,F14="Useful",2,F14="Important",3,F14="Very important",4,F14="Critical",5,F14="Show stopper",6)</f>
        <v>6</v>
      </c>
      <c r="H14" s="156">
        <f t="shared" si="0"/>
        <v>2.0270270270270271E-3</v>
      </c>
      <c r="I14" s="157" t="s">
        <v>660</v>
      </c>
      <c r="J14" s="25" t="str" cm="1">
        <f t="array" ref="J14">_xlfn.TEXTJOIN(","&amp;CHAR(10),,TEXT(Table261425678911121316[[#This Row],[12]:[22]],"0,00%"))</f>
        <v>0,00%,
0,00%</v>
      </c>
      <c r="K14" s="26"/>
      <c r="L14" s="27" t="e">
        <f>H14-(H14*((MATCH(Table261425678911121316[[#This Row],[Evaluators Response (SELECT)]],Table261425678911121316[[#This Row],[1]:[11]],0)-1)/(COUNTA(Table261425678911121316[[#This Row],[1]:[11]])-COUNTBLANK(Table261425678911121316[[#This Row],[1]:[11]])-1)))</f>
        <v>#N/A</v>
      </c>
      <c r="M14" s="28"/>
      <c r="N14" s="29" t="str" cm="1">
        <f t="array" ref="N14">IFERROR(INDEX(_xlfn.UNIQUE(TRIM(_xlfn.TEXTSPLIT(Table261425678911121316[[#This Row],[Selection Options]:[Selection Options]],","))),,N$11),"")</f>
        <v>100%: Yes</v>
      </c>
      <c r="O14" s="29" t="str" cm="1">
        <f t="array" ref="O14">IFERROR(INDEX(_xlfn.UNIQUE(TRIM(_xlfn.TEXTSPLIT(Table261425678911121316[[#This Row],[Selection Options]:[Selection Options]],","))),,O$11),"")</f>
        <v xml:space="preserve">
0%: No</v>
      </c>
      <c r="P14" s="29" t="str" cm="1">
        <f t="array" ref="P14">IFERROR(INDEX(_xlfn.UNIQUE(TRIM(_xlfn.TEXTSPLIT(Table261425678911121316[[#This Row],[Selection Options]:[Selection Options]],","))),,P$11),"")</f>
        <v/>
      </c>
      <c r="Q14" s="29" t="str" cm="1">
        <f t="array" ref="Q14">IFERROR(INDEX(_xlfn.UNIQUE(TRIM(_xlfn.TEXTSPLIT(Table261425678911121316[[#This Row],[Selection Options]:[Selection Options]],","))),,Q$11),"")</f>
        <v/>
      </c>
      <c r="R14" s="29" t="str" cm="1">
        <f t="array" ref="R14">IFERROR(INDEX(_xlfn.UNIQUE(TRIM(_xlfn.TEXTSPLIT(Table261425678911121316[[#This Row],[Selection Options]:[Selection Options]],","))),,R$11),"")</f>
        <v/>
      </c>
      <c r="S14" s="29" t="str" cm="1">
        <f t="array" ref="S14">IFERROR(INDEX(_xlfn.UNIQUE(TRIM(_xlfn.TEXTSPLIT(Table261425678911121316[[#This Row],[Selection Options]:[Selection Options]],","))),,S$11),"")</f>
        <v/>
      </c>
      <c r="T14" s="29" t="str" cm="1">
        <f t="array" ref="T14">IFERROR(INDEX(_xlfn.UNIQUE(TRIM(_xlfn.TEXTSPLIT(Table261425678911121316[[#This Row],[Selection Options]:[Selection Options]],","))),,T$11),"")</f>
        <v/>
      </c>
      <c r="U14" s="29" t="str" cm="1">
        <f t="array" ref="U14">IFERROR(INDEX(_xlfn.UNIQUE(TRIM(_xlfn.TEXTSPLIT(Table261425678911121316[[#This Row],[Selection Options]:[Selection Options]],","))),,U$11),"")</f>
        <v/>
      </c>
      <c r="V14" s="29" t="str" cm="1">
        <f t="array" ref="V14">IFERROR(INDEX(_xlfn.UNIQUE(TRIM(_xlfn.TEXTSPLIT(Table261425678911121316[[#This Row],[Selection Options]:[Selection Options]],","))),,V$11),"")</f>
        <v/>
      </c>
      <c r="W14" s="29" t="str" cm="1">
        <f t="array" ref="W14">IFERROR(INDEX(_xlfn.UNIQUE(TRIM(_xlfn.TEXTSPLIT(Table261425678911121316[[#This Row],[Selection Options]:[Selection Options]],","))),,W$11),"")</f>
        <v/>
      </c>
      <c r="X14" s="29" t="str" cm="1">
        <f t="array" ref="X14">IFERROR(INDEX(_xlfn.UNIQUE(TRIM(_xlfn.TEXTSPLIT(Table261425678911121316[[#This Row],[Selection Options]:[Selection Options]],","))),,X$11),"")</f>
        <v/>
      </c>
      <c r="Y14" s="30" cm="1">
        <f t="array" ref="Y14">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14" s="30" cm="1">
        <f t="array" ref="Z14">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14" s="30" t="str" cm="1">
        <f t="array" ref="AA14">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14" s="30" t="str" cm="1">
        <f t="array" ref="AB14">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4" s="30" t="str" cm="1">
        <f t="array" ref="AC14">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4" s="30" t="str" cm="1">
        <f t="array" ref="AD14">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4" s="30" t="str" cm="1">
        <f t="array" ref="AE14">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4" s="30" t="str" cm="1">
        <f t="array" ref="AF14">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4" s="30" t="str" cm="1">
        <f t="array" ref="AG14">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4" s="30" t="str" cm="1">
        <f t="array" ref="AH14">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4" s="30" t="str" cm="1">
        <f t="array" ref="AI14">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5" spans="1:35" ht="168" x14ac:dyDescent="0.2">
      <c r="A15" s="20">
        <v>3</v>
      </c>
      <c r="B15" s="21" t="s">
        <v>662</v>
      </c>
      <c r="C15" s="158" t="s">
        <v>215</v>
      </c>
      <c r="D15" s="32"/>
      <c r="E15" s="32"/>
      <c r="F15" s="159" t="s">
        <v>60</v>
      </c>
      <c r="G15" s="160" cm="1">
        <f t="array" ref="G15">_xlfn.IFS(F15="","",F15="No interest",0,F15="Nice to have",1,F15="Useful",2,F15="Important",3,F15="Very important",4,F15="Critical",5,F15="Show stopper",6)</f>
        <v>6</v>
      </c>
      <c r="H15" s="161">
        <f t="shared" si="0"/>
        <v>2.0270270270270271E-3</v>
      </c>
      <c r="I15" s="154" t="s">
        <v>663</v>
      </c>
      <c r="J15" s="35" t="str" cm="1">
        <f t="array" ref="J15">_xlfn.TEXTJOIN(","&amp;CHAR(10),,TEXT(Table261425678911121316[[#This Row],[12]:[22]],"0,00%"))</f>
        <v>0,00%,
0,00%,
0,00%</v>
      </c>
      <c r="K15" s="26"/>
      <c r="L15" s="37" t="e">
        <f>H15-(H15*((MATCH(Table261425678911121316[[#This Row],[Evaluators Response (SELECT)]],Table261425678911121316[[#This Row],[1]:[11]],0)-1)/(COUNTA(Table261425678911121316[[#This Row],[1]:[11]])-COUNTBLANK(Table261425678911121316[[#This Row],[1]:[11]])-1)))</f>
        <v>#N/A</v>
      </c>
      <c r="M15" s="38"/>
      <c r="N15" s="29" t="str" cm="1">
        <f t="array" ref="N15">IFERROR(INDEX(_xlfn.UNIQUE(TRIM(_xlfn.TEXTSPLIT(Table261425678911121316[[#This Row],[Selection Options]:[Selection Options]],","))),,N$11),"")</f>
        <v>100%: POPIA jurisdiction - solution hosted and data processed in RSA</v>
      </c>
      <c r="O15" s="29" t="str" cm="1">
        <f t="array" ref="O15">IFERROR(INDEX(_xlfn.UNIQUE(TRIM(_xlfn.TEXTSPLIT(Table261425678911121316[[#This Row],[Selection Options]:[Selection Options]],","))),,O$11),"")</f>
        <v xml:space="preserve">
50%: GDPR jurisdiction - solution hosted and data processed in GDPR jurisdiction</v>
      </c>
      <c r="P15" s="29" t="str" cm="1">
        <f t="array" ref="P15">IFERROR(INDEX(_xlfn.UNIQUE(TRIM(_xlfn.TEXTSPLIT(Table261425678911121316[[#This Row],[Selection Options]:[Selection Options]],","))),,P$11),"")</f>
        <v xml:space="preserve">
0%: solution hosted and data processed outside of RSA and GDPR jurisdiction areas</v>
      </c>
      <c r="Q15" s="29" t="str" cm="1">
        <f t="array" ref="Q15">IFERROR(INDEX(_xlfn.UNIQUE(TRIM(_xlfn.TEXTSPLIT(Table261425678911121316[[#This Row],[Selection Options]:[Selection Options]],","))),,Q$11),"")</f>
        <v/>
      </c>
      <c r="R15" s="29" t="str" cm="1">
        <f t="array" ref="R15">IFERROR(INDEX(_xlfn.UNIQUE(TRIM(_xlfn.TEXTSPLIT(Table261425678911121316[[#This Row],[Selection Options]:[Selection Options]],","))),,R$11),"")</f>
        <v/>
      </c>
      <c r="S15" s="29" t="str" cm="1">
        <f t="array" ref="S15">IFERROR(INDEX(_xlfn.UNIQUE(TRIM(_xlfn.TEXTSPLIT(Table261425678911121316[[#This Row],[Selection Options]:[Selection Options]],","))),,S$11),"")</f>
        <v/>
      </c>
      <c r="T15" s="29" t="str" cm="1">
        <f t="array" ref="T15">IFERROR(INDEX(_xlfn.UNIQUE(TRIM(_xlfn.TEXTSPLIT(Table261425678911121316[[#This Row],[Selection Options]:[Selection Options]],","))),,T$11),"")</f>
        <v/>
      </c>
      <c r="U15" s="29" t="str" cm="1">
        <f t="array" ref="U15">IFERROR(INDEX(_xlfn.UNIQUE(TRIM(_xlfn.TEXTSPLIT(Table261425678911121316[[#This Row],[Selection Options]:[Selection Options]],","))),,U$11),"")</f>
        <v/>
      </c>
      <c r="V15" s="29" t="str" cm="1">
        <f t="array" ref="V15">IFERROR(INDEX(_xlfn.UNIQUE(TRIM(_xlfn.TEXTSPLIT(Table261425678911121316[[#This Row],[Selection Options]:[Selection Options]],","))),,V$11),"")</f>
        <v/>
      </c>
      <c r="W15" s="29" t="str" cm="1">
        <f t="array" ref="W15">IFERROR(INDEX(_xlfn.UNIQUE(TRIM(_xlfn.TEXTSPLIT(Table261425678911121316[[#This Row],[Selection Options]:[Selection Options]],","))),,W$11),"")</f>
        <v/>
      </c>
      <c r="X15" s="29" t="str" cm="1">
        <f t="array" ref="X15">IFERROR(INDEX(_xlfn.UNIQUE(TRIM(_xlfn.TEXTSPLIT(Table261425678911121316[[#This Row],[Selection Options]:[Selection Options]],","))),,X$11),"")</f>
        <v/>
      </c>
      <c r="Y15" s="30" cm="1">
        <f t="array" ref="Y15">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15" s="30" cm="1">
        <f t="array" ref="Z15">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1.0135135135135136E-3</v>
      </c>
      <c r="AA15" s="30" cm="1">
        <f t="array" ref="AA15">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15" s="30" t="str" cm="1">
        <f t="array" ref="AB15">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5" s="30" t="str" cm="1">
        <f t="array" ref="AC15">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5" s="30" t="str" cm="1">
        <f t="array" ref="AD15">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5" s="30" t="str" cm="1">
        <f t="array" ref="AE15">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5" s="30" t="str" cm="1">
        <f t="array" ref="AF15">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5" s="30" t="str" cm="1">
        <f t="array" ref="AG15">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5" s="30" t="str" cm="1">
        <f t="array" ref="AH15">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5" s="30" t="str" cm="1">
        <f t="array" ref="AI15">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6" spans="1:35" ht="60" x14ac:dyDescent="0.2">
      <c r="A16" s="20">
        <v>4</v>
      </c>
      <c r="B16" s="21" t="s">
        <v>664</v>
      </c>
      <c r="C16" s="158" t="s">
        <v>215</v>
      </c>
      <c r="D16" s="31"/>
      <c r="E16" s="31"/>
      <c r="F16" s="87" t="s">
        <v>188</v>
      </c>
      <c r="G16" s="155" cm="1">
        <f t="array" ref="G16">_xlfn.IFS(F16="","",F16="No interest",0,F16="Nice to have",1,F16="Useful",2,F16="Important",3,F16="Very important",4,F16="Critical",5,F16="Show stopper",6)</f>
        <v>5</v>
      </c>
      <c r="H16" s="156">
        <f t="shared" si="0"/>
        <v>1.6891891891891893E-3</v>
      </c>
      <c r="I16" s="157" t="s">
        <v>665</v>
      </c>
      <c r="J16" s="25" t="str" cm="1">
        <f t="array" ref="J16">_xlfn.TEXTJOIN(","&amp;CHAR(10),,TEXT(Table261425678911121316[[#This Row],[12]:[22]],"0,00%"))</f>
        <v>0,00%,
0,00%,
0,00%</v>
      </c>
      <c r="K16" s="26"/>
      <c r="L16" s="27" t="e">
        <f>H16-(H16*((MATCH(Table261425678911121316[[#This Row],[Evaluators Response (SELECT)]],Table261425678911121316[[#This Row],[1]:[11]],0)-1)/(COUNTA(Table261425678911121316[[#This Row],[1]:[11]])-COUNTBLANK(Table261425678911121316[[#This Row],[1]:[11]])-1)))</f>
        <v>#N/A</v>
      </c>
      <c r="M16" s="28"/>
      <c r="N16" s="29" t="str" cm="1">
        <f t="array" ref="N16">IFERROR(INDEX(_xlfn.UNIQUE(TRIM(_xlfn.TEXTSPLIT(Table261425678911121316[[#This Row],[Selection Options]:[Selection Options]],","))),,N$11),"")</f>
        <v>100%: Fully comply with requirement</v>
      </c>
      <c r="O16" s="29" t="str" cm="1">
        <f t="array" ref="O16">IFERROR(INDEX(_xlfn.UNIQUE(TRIM(_xlfn.TEXTSPLIT(Table261425678911121316[[#This Row],[Selection Options]:[Selection Options]],","))),,O$11),"")</f>
        <v xml:space="preserve">
50%: Partially compliant</v>
      </c>
      <c r="P16" s="29" t="str" cm="1">
        <f t="array" ref="P16">IFERROR(INDEX(_xlfn.UNIQUE(TRIM(_xlfn.TEXTSPLIT(Table261425678911121316[[#This Row],[Selection Options]:[Selection Options]],","))),,P$11),"")</f>
        <v xml:space="preserve">
0%: No compliance</v>
      </c>
      <c r="Q16" s="29" t="str" cm="1">
        <f t="array" ref="Q16">IFERROR(INDEX(_xlfn.UNIQUE(TRIM(_xlfn.TEXTSPLIT(Table261425678911121316[[#This Row],[Selection Options]:[Selection Options]],","))),,Q$11),"")</f>
        <v/>
      </c>
      <c r="R16" s="29" t="str" cm="1">
        <f t="array" ref="R16">IFERROR(INDEX(_xlfn.UNIQUE(TRIM(_xlfn.TEXTSPLIT(Table261425678911121316[[#This Row],[Selection Options]:[Selection Options]],","))),,R$11),"")</f>
        <v/>
      </c>
      <c r="S16" s="29" t="str" cm="1">
        <f t="array" ref="S16">IFERROR(INDEX(_xlfn.UNIQUE(TRIM(_xlfn.TEXTSPLIT(Table261425678911121316[[#This Row],[Selection Options]:[Selection Options]],","))),,S$11),"")</f>
        <v/>
      </c>
      <c r="T16" s="29" t="str" cm="1">
        <f t="array" ref="T16">IFERROR(INDEX(_xlfn.UNIQUE(TRIM(_xlfn.TEXTSPLIT(Table261425678911121316[[#This Row],[Selection Options]:[Selection Options]],","))),,T$11),"")</f>
        <v/>
      </c>
      <c r="U16" s="29" t="str" cm="1">
        <f t="array" ref="U16">IFERROR(INDEX(_xlfn.UNIQUE(TRIM(_xlfn.TEXTSPLIT(Table261425678911121316[[#This Row],[Selection Options]:[Selection Options]],","))),,U$11),"")</f>
        <v/>
      </c>
      <c r="V16" s="29" t="str" cm="1">
        <f t="array" ref="V16">IFERROR(INDEX(_xlfn.UNIQUE(TRIM(_xlfn.TEXTSPLIT(Table261425678911121316[[#This Row],[Selection Options]:[Selection Options]],","))),,V$11),"")</f>
        <v/>
      </c>
      <c r="W16" s="29" t="str" cm="1">
        <f t="array" ref="W16">IFERROR(INDEX(_xlfn.UNIQUE(TRIM(_xlfn.TEXTSPLIT(Table261425678911121316[[#This Row],[Selection Options]:[Selection Options]],","))),,W$11),"")</f>
        <v/>
      </c>
      <c r="X16" s="29" t="str" cm="1">
        <f t="array" ref="X16">IFERROR(INDEX(_xlfn.UNIQUE(TRIM(_xlfn.TEXTSPLIT(Table261425678911121316[[#This Row],[Selection Options]:[Selection Options]],","))),,X$11),"")</f>
        <v/>
      </c>
      <c r="Y16" s="30" cm="1">
        <f t="array" ref="Y16">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1.6891891891891893E-3</v>
      </c>
      <c r="Z16" s="30" cm="1">
        <f t="array" ref="Z16">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8.4459459459459464E-4</v>
      </c>
      <c r="AA16" s="30" cm="1">
        <f t="array" ref="AA16">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16" s="30" t="str" cm="1">
        <f t="array" ref="AB16">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6" s="30" t="str" cm="1">
        <f t="array" ref="AC16">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6" s="30" t="str" cm="1">
        <f t="array" ref="AD16">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6" s="30" t="str" cm="1">
        <f t="array" ref="AE16">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6" s="30" t="str" cm="1">
        <f t="array" ref="AF16">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6" s="30" t="str" cm="1">
        <f t="array" ref="AG16">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6" s="30" t="str" cm="1">
        <f t="array" ref="AH16">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6" s="30" t="str" cm="1">
        <f t="array" ref="AI16">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7" spans="1:35" ht="36" x14ac:dyDescent="0.2">
      <c r="A17" s="20">
        <v>5</v>
      </c>
      <c r="B17" s="158" t="s">
        <v>666</v>
      </c>
      <c r="C17" s="158" t="s">
        <v>215</v>
      </c>
      <c r="D17" s="31"/>
      <c r="E17" s="31"/>
      <c r="F17" s="87" t="s">
        <v>60</v>
      </c>
      <c r="G17" s="155" cm="1">
        <f t="array" ref="G17">_xlfn.IFS(F17="","",F17="No interest",0,F17="Nice to have",1,F17="Useful",2,F17="Important",3,F17="Very important",4,F17="Critical",5,F17="Show stopper",6)</f>
        <v>6</v>
      </c>
      <c r="H17" s="156">
        <f>(G17/$G$11)*$F$11</f>
        <v>2.0270270270270271E-3</v>
      </c>
      <c r="I17" s="157" t="s">
        <v>667</v>
      </c>
      <c r="J17" s="35" t="str" cm="1">
        <f t="array" ref="J17">_xlfn.TEXTJOIN(","&amp;CHAR(10),,TEXT(Table261425678911121316[[#This Row],[12]:[22]],"0,00%"))</f>
        <v>0,00%,
0,00%</v>
      </c>
      <c r="K17" s="26"/>
      <c r="L17" s="27" t="e">
        <f>H17-(H17*((MATCH(Table261425678911121316[[#This Row],[Evaluators Response (SELECT)]],Table261425678911121316[[#This Row],[1]:[11]],0)-1)/(COUNTA(Table261425678911121316[[#This Row],[1]:[11]])-COUNTBLANK(Table261425678911121316[[#This Row],[1]:[11]])-1)))</f>
        <v>#N/A</v>
      </c>
      <c r="M17" s="28"/>
      <c r="N17" s="29" t="str" cm="1">
        <f t="array" ref="N17">IFERROR(INDEX(_xlfn.UNIQUE(TRIM(_xlfn.TEXTSPLIT(Table261425678911121316[[#This Row],[Selection Options]:[Selection Options]],","))),,N$11),"")</f>
        <v>100%:Yes</v>
      </c>
      <c r="O17" s="29" t="str" cm="1">
        <f t="array" ref="O17">IFERROR(INDEX(_xlfn.UNIQUE(TRIM(_xlfn.TEXTSPLIT(Table261425678911121316[[#This Row],[Selection Options]:[Selection Options]],","))),,O$11),"")</f>
        <v xml:space="preserve">
0%: No</v>
      </c>
      <c r="P17" s="29" t="str" cm="1">
        <f t="array" ref="P17">IFERROR(INDEX(_xlfn.UNIQUE(TRIM(_xlfn.TEXTSPLIT(Table261425678911121316[[#This Row],[Selection Options]:[Selection Options]],","))),,P$11),"")</f>
        <v/>
      </c>
      <c r="Q17" s="29" t="str" cm="1">
        <f t="array" ref="Q17">IFERROR(INDEX(_xlfn.UNIQUE(TRIM(_xlfn.TEXTSPLIT(Table261425678911121316[[#This Row],[Selection Options]:[Selection Options]],","))),,Q$11),"")</f>
        <v/>
      </c>
      <c r="R17" s="29" t="str" cm="1">
        <f t="array" ref="R17">IFERROR(INDEX(_xlfn.UNIQUE(TRIM(_xlfn.TEXTSPLIT(Table261425678911121316[[#This Row],[Selection Options]:[Selection Options]],","))),,R$11),"")</f>
        <v/>
      </c>
      <c r="S17" s="29" t="str" cm="1">
        <f t="array" ref="S17">IFERROR(INDEX(_xlfn.UNIQUE(TRIM(_xlfn.TEXTSPLIT(Table261425678911121316[[#This Row],[Selection Options]:[Selection Options]],","))),,S$11),"")</f>
        <v/>
      </c>
      <c r="T17" s="29" t="str" cm="1">
        <f t="array" ref="T17">IFERROR(INDEX(_xlfn.UNIQUE(TRIM(_xlfn.TEXTSPLIT(Table261425678911121316[[#This Row],[Selection Options]:[Selection Options]],","))),,T$11),"")</f>
        <v/>
      </c>
      <c r="U17" s="29" t="str" cm="1">
        <f t="array" ref="U17">IFERROR(INDEX(_xlfn.UNIQUE(TRIM(_xlfn.TEXTSPLIT(Table261425678911121316[[#This Row],[Selection Options]:[Selection Options]],","))),,U$11),"")</f>
        <v/>
      </c>
      <c r="V17" s="29" t="str" cm="1">
        <f t="array" ref="V17">IFERROR(INDEX(_xlfn.UNIQUE(TRIM(_xlfn.TEXTSPLIT(Table261425678911121316[[#This Row],[Selection Options]:[Selection Options]],","))),,V$11),"")</f>
        <v/>
      </c>
      <c r="W17" s="29" t="str" cm="1">
        <f t="array" ref="W17">IFERROR(INDEX(_xlfn.UNIQUE(TRIM(_xlfn.TEXTSPLIT(Table261425678911121316[[#This Row],[Selection Options]:[Selection Options]],","))),,W$11),"")</f>
        <v/>
      </c>
      <c r="X17" s="29" t="str" cm="1">
        <f t="array" ref="X17">IFERROR(INDEX(_xlfn.UNIQUE(TRIM(_xlfn.TEXTSPLIT(Table261425678911121316[[#This Row],[Selection Options]:[Selection Options]],","))),,X$11),"")</f>
        <v/>
      </c>
      <c r="Y17" s="30" cm="1">
        <f t="array" ref="Y17">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17" s="30" cm="1">
        <f t="array" ref="Z17">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17" s="30" t="str" cm="1">
        <f t="array" ref="AA17">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17" s="30" t="str" cm="1">
        <f t="array" ref="AB17">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7" s="30" t="str" cm="1">
        <f t="array" ref="AC17">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7" s="30" t="str" cm="1">
        <f t="array" ref="AD17">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7" s="30" t="str" cm="1">
        <f t="array" ref="AE17">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7" s="30" t="str" cm="1">
        <f t="array" ref="AF17">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7" s="30" t="str" cm="1">
        <f t="array" ref="AG17">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7" s="30" t="str" cm="1">
        <f t="array" ref="AH17">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7" s="30" t="str" cm="1">
        <f t="array" ref="AI17">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8" spans="1:35" ht="36" x14ac:dyDescent="0.2">
      <c r="A18" s="20">
        <v>6</v>
      </c>
      <c r="B18" s="158" t="s">
        <v>668</v>
      </c>
      <c r="C18" s="158" t="s">
        <v>215</v>
      </c>
      <c r="D18" s="32"/>
      <c r="E18" s="32"/>
      <c r="F18" s="159" t="s">
        <v>188</v>
      </c>
      <c r="G18" s="160" cm="1">
        <f t="array" ref="G18">_xlfn.IFS(F18="","",F18="No interest",0,F18="Nice to have",1,F18="Useful",2,F18="Important",3,F18="Very important",4,F18="Critical",5,F18="Show stopper",6)</f>
        <v>5</v>
      </c>
      <c r="H18" s="161">
        <f t="shared" ref="H18:H25" si="1">(G18/$G$11)*$F$11</f>
        <v>1.6891891891891893E-3</v>
      </c>
      <c r="I18" s="157" t="s">
        <v>667</v>
      </c>
      <c r="J18" s="35" t="str" cm="1">
        <f t="array" ref="J18">_xlfn.TEXTJOIN(","&amp;CHAR(10),,TEXT(Table261425678911121316[[#This Row],[12]:[22]],"0,00%"))</f>
        <v>0,00%,
0,00%</v>
      </c>
      <c r="K18" s="26"/>
      <c r="L18" s="37" t="e">
        <f>H18-(H18*((MATCH(Table261425678911121316[[#This Row],[Evaluators Response (SELECT)]],Table261425678911121316[[#This Row],[1]:[11]],0)-1)/(COUNTA(Table261425678911121316[[#This Row],[1]:[11]])-COUNTBLANK(Table261425678911121316[[#This Row],[1]:[11]])-1)))</f>
        <v>#N/A</v>
      </c>
      <c r="M18" s="38"/>
      <c r="N18" s="29" t="str" cm="1">
        <f t="array" ref="N18">IFERROR(INDEX(_xlfn.UNIQUE(TRIM(_xlfn.TEXTSPLIT(Table261425678911121316[[#This Row],[Selection Options]:[Selection Options]],","))),,N$11),"")</f>
        <v>100%:Yes</v>
      </c>
      <c r="O18" s="29" t="str" cm="1">
        <f t="array" ref="O18">IFERROR(INDEX(_xlfn.UNIQUE(TRIM(_xlfn.TEXTSPLIT(Table261425678911121316[[#This Row],[Selection Options]:[Selection Options]],","))),,O$11),"")</f>
        <v xml:space="preserve">
0%: No</v>
      </c>
      <c r="P18" s="29" t="str" cm="1">
        <f t="array" ref="P18">IFERROR(INDEX(_xlfn.UNIQUE(TRIM(_xlfn.TEXTSPLIT(Table261425678911121316[[#This Row],[Selection Options]:[Selection Options]],","))),,P$11),"")</f>
        <v/>
      </c>
      <c r="Q18" s="29" t="str" cm="1">
        <f t="array" ref="Q18">IFERROR(INDEX(_xlfn.UNIQUE(TRIM(_xlfn.TEXTSPLIT(Table261425678911121316[[#This Row],[Selection Options]:[Selection Options]],","))),,Q$11),"")</f>
        <v/>
      </c>
      <c r="R18" s="29" t="str" cm="1">
        <f t="array" ref="R18">IFERROR(INDEX(_xlfn.UNIQUE(TRIM(_xlfn.TEXTSPLIT(Table261425678911121316[[#This Row],[Selection Options]:[Selection Options]],","))),,R$11),"")</f>
        <v/>
      </c>
      <c r="S18" s="29" t="str" cm="1">
        <f t="array" ref="S18">IFERROR(INDEX(_xlfn.UNIQUE(TRIM(_xlfn.TEXTSPLIT(Table261425678911121316[[#This Row],[Selection Options]:[Selection Options]],","))),,S$11),"")</f>
        <v/>
      </c>
      <c r="T18" s="29" t="str" cm="1">
        <f t="array" ref="T18">IFERROR(INDEX(_xlfn.UNIQUE(TRIM(_xlfn.TEXTSPLIT(Table261425678911121316[[#This Row],[Selection Options]:[Selection Options]],","))),,T$11),"")</f>
        <v/>
      </c>
      <c r="U18" s="29" t="str" cm="1">
        <f t="array" ref="U18">IFERROR(INDEX(_xlfn.UNIQUE(TRIM(_xlfn.TEXTSPLIT(Table261425678911121316[[#This Row],[Selection Options]:[Selection Options]],","))),,U$11),"")</f>
        <v/>
      </c>
      <c r="V18" s="29" t="str" cm="1">
        <f t="array" ref="V18">IFERROR(INDEX(_xlfn.UNIQUE(TRIM(_xlfn.TEXTSPLIT(Table261425678911121316[[#This Row],[Selection Options]:[Selection Options]],","))),,V$11),"")</f>
        <v/>
      </c>
      <c r="W18" s="29" t="str" cm="1">
        <f t="array" ref="W18">IFERROR(INDEX(_xlfn.UNIQUE(TRIM(_xlfn.TEXTSPLIT(Table261425678911121316[[#This Row],[Selection Options]:[Selection Options]],","))),,W$11),"")</f>
        <v/>
      </c>
      <c r="X18" s="29" t="str" cm="1">
        <f t="array" ref="X18">IFERROR(INDEX(_xlfn.UNIQUE(TRIM(_xlfn.TEXTSPLIT(Table261425678911121316[[#This Row],[Selection Options]:[Selection Options]],","))),,X$11),"")</f>
        <v/>
      </c>
      <c r="Y18" s="30" cm="1">
        <f t="array" ref="Y18">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1.6891891891891893E-3</v>
      </c>
      <c r="Z18" s="30" cm="1">
        <f t="array" ref="Z18">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18" s="30" t="str" cm="1">
        <f t="array" ref="AA18">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18" s="30" t="str" cm="1">
        <f t="array" ref="AB18">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8" s="30" t="str" cm="1">
        <f t="array" ref="AC18">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8" s="30" t="str" cm="1">
        <f t="array" ref="AD18">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8" s="30" t="str" cm="1">
        <f t="array" ref="AE18">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8" s="30" t="str" cm="1">
        <f t="array" ref="AF18">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8" s="30" t="str" cm="1">
        <f t="array" ref="AG18">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8" s="30" t="str" cm="1">
        <f t="array" ref="AH18">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8" s="30" t="str" cm="1">
        <f t="array" ref="AI18">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19" spans="1:35" ht="84" x14ac:dyDescent="0.2">
      <c r="A19" s="20">
        <v>7</v>
      </c>
      <c r="B19" s="158" t="s">
        <v>669</v>
      </c>
      <c r="C19" s="158" t="s">
        <v>215</v>
      </c>
      <c r="D19" s="32"/>
      <c r="E19" s="32"/>
      <c r="F19" s="159" t="s">
        <v>60</v>
      </c>
      <c r="G19" s="160" cm="1">
        <f t="array" ref="G19">_xlfn.IFS(F19="","",F19="No interest",0,F19="Nice to have",1,F19="Useful",2,F19="Important",3,F19="Very important",4,F19="Critical",5,F19="Show stopper",6)</f>
        <v>6</v>
      </c>
      <c r="H19" s="161">
        <f t="shared" si="1"/>
        <v>2.0270270270270271E-3</v>
      </c>
      <c r="I19" s="154" t="s">
        <v>670</v>
      </c>
      <c r="J19" s="35" t="str" cm="1">
        <f t="array" ref="J19">_xlfn.TEXTJOIN(","&amp;CHAR(10),,TEXT(Table261425678911121316[[#This Row],[12]:[22]],"0,00%"))</f>
        <v>0,00%,
0,00%,
0,00%</v>
      </c>
      <c r="K19" s="36"/>
      <c r="L19" s="37" t="e">
        <f>H19-(H19*((MATCH(Table261425678911121316[[#This Row],[Evaluators Response (SELECT)]],Table261425678911121316[[#This Row],[1]:[11]],0)-1)/(COUNTA(Table261425678911121316[[#This Row],[1]:[11]])-COUNTBLANK(Table261425678911121316[[#This Row],[1]:[11]])-1)))</f>
        <v>#N/A</v>
      </c>
      <c r="M19" s="38"/>
      <c r="N19" s="29" t="str" cm="1">
        <f t="array" ref="N19">IFERROR(INDEX(_xlfn.UNIQUE(TRIM(_xlfn.TEXTSPLIT(Table261425678911121316[[#This Row],[Selection Options]:[Selection Options]],","))),,N$11),"")</f>
        <v>100%: Comply with POPIA act</v>
      </c>
      <c r="O19" s="29" t="str" cm="1">
        <f t="array" ref="O19">IFERROR(INDEX(_xlfn.UNIQUE(TRIM(_xlfn.TEXTSPLIT(Table261425678911121316[[#This Row],[Selection Options]:[Selection Options]],","))),,O$11),"")</f>
        <v xml:space="preserve">
50%: Comply with GDPR laws</v>
      </c>
      <c r="P19" s="29" t="str" cm="1">
        <f t="array" ref="P19">IFERROR(INDEX(_xlfn.UNIQUE(TRIM(_xlfn.TEXTSPLIT(Table261425678911121316[[#This Row],[Selection Options]:[Selection Options]],","))),,P$11),"")</f>
        <v xml:space="preserve">
0%: Comply with USA and or any other non-GDPR area</v>
      </c>
      <c r="Q19" s="29" t="str" cm="1">
        <f t="array" ref="Q19">IFERROR(INDEX(_xlfn.UNIQUE(TRIM(_xlfn.TEXTSPLIT(Table261425678911121316[[#This Row],[Selection Options]:[Selection Options]],","))),,Q$11),"")</f>
        <v/>
      </c>
      <c r="R19" s="29" t="str" cm="1">
        <f t="array" ref="R19">IFERROR(INDEX(_xlfn.UNIQUE(TRIM(_xlfn.TEXTSPLIT(Table261425678911121316[[#This Row],[Selection Options]:[Selection Options]],","))),,R$11),"")</f>
        <v/>
      </c>
      <c r="S19" s="29" t="str" cm="1">
        <f t="array" ref="S19">IFERROR(INDEX(_xlfn.UNIQUE(TRIM(_xlfn.TEXTSPLIT(Table261425678911121316[[#This Row],[Selection Options]:[Selection Options]],","))),,S$11),"")</f>
        <v/>
      </c>
      <c r="T19" s="29" t="str" cm="1">
        <f t="array" ref="T19">IFERROR(INDEX(_xlfn.UNIQUE(TRIM(_xlfn.TEXTSPLIT(Table261425678911121316[[#This Row],[Selection Options]:[Selection Options]],","))),,T$11),"")</f>
        <v/>
      </c>
      <c r="U19" s="29" t="str" cm="1">
        <f t="array" ref="U19">IFERROR(INDEX(_xlfn.UNIQUE(TRIM(_xlfn.TEXTSPLIT(Table261425678911121316[[#This Row],[Selection Options]:[Selection Options]],","))),,U$11),"")</f>
        <v/>
      </c>
      <c r="V19" s="29" t="str" cm="1">
        <f t="array" ref="V19">IFERROR(INDEX(_xlfn.UNIQUE(TRIM(_xlfn.TEXTSPLIT(Table261425678911121316[[#This Row],[Selection Options]:[Selection Options]],","))),,V$11),"")</f>
        <v/>
      </c>
      <c r="W19" s="29" t="str" cm="1">
        <f t="array" ref="W19">IFERROR(INDEX(_xlfn.UNIQUE(TRIM(_xlfn.TEXTSPLIT(Table261425678911121316[[#This Row],[Selection Options]:[Selection Options]],","))),,W$11),"")</f>
        <v/>
      </c>
      <c r="X19" s="29" t="str" cm="1">
        <f t="array" ref="X19">IFERROR(INDEX(_xlfn.UNIQUE(TRIM(_xlfn.TEXTSPLIT(Table261425678911121316[[#This Row],[Selection Options]:[Selection Options]],","))),,X$11),"")</f>
        <v/>
      </c>
      <c r="Y19" s="30" cm="1">
        <f t="array" ref="Y19">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19" s="30" cm="1">
        <f t="array" ref="Z19">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1.0135135135135136E-3</v>
      </c>
      <c r="AA19" s="30" cm="1">
        <f t="array" ref="AA19">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19" s="30" t="str" cm="1">
        <f t="array" ref="AB19">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19" s="30" t="str" cm="1">
        <f t="array" ref="AC19">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19" s="30" t="str" cm="1">
        <f t="array" ref="AD19">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19" s="30" t="str" cm="1">
        <f t="array" ref="AE19">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19" s="30" t="str" cm="1">
        <f t="array" ref="AF19">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19" s="30" t="str" cm="1">
        <f t="array" ref="AG19">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19" s="30" t="str" cm="1">
        <f t="array" ref="AH19">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19" s="30" t="str" cm="1">
        <f t="array" ref="AI19">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0" spans="1:35" ht="60" x14ac:dyDescent="0.2">
      <c r="A20" s="20">
        <v>8</v>
      </c>
      <c r="B20" s="21" t="s">
        <v>671</v>
      </c>
      <c r="C20" s="158" t="s">
        <v>215</v>
      </c>
      <c r="D20" s="32"/>
      <c r="E20" s="32"/>
      <c r="F20" s="159" t="s">
        <v>60</v>
      </c>
      <c r="G20" s="160" cm="1">
        <f t="array" ref="G20">_xlfn.IFS(F20="","",F20="No interest",0,F20="Nice to have",1,F20="Useful",2,F20="Important",3,F20="Very important",4,F20="Critical",5,F20="Show stopper",6)</f>
        <v>6</v>
      </c>
      <c r="H20" s="161">
        <f t="shared" si="1"/>
        <v>2.0270270270270271E-3</v>
      </c>
      <c r="I20" s="154" t="s">
        <v>660</v>
      </c>
      <c r="J20" s="35" t="str" cm="1">
        <f t="array" ref="J20">_xlfn.TEXTJOIN(","&amp;CHAR(10),,TEXT(Table261425678911121316[[#This Row],[12]:[22]],"0,00%"))</f>
        <v>0,00%,
0,00%</v>
      </c>
      <c r="K20" s="36"/>
      <c r="L20" s="37" t="e">
        <f>H20-(H20*((MATCH(Table261425678911121316[[#This Row],[Evaluators Response (SELECT)]],Table261425678911121316[[#This Row],[1]:[11]],0)-1)/(COUNTA(Table261425678911121316[[#This Row],[1]:[11]])-COUNTBLANK(Table261425678911121316[[#This Row],[1]:[11]])-1)))</f>
        <v>#N/A</v>
      </c>
      <c r="M20" s="38"/>
      <c r="N20" s="29" t="str" cm="1">
        <f t="array" ref="N20">IFERROR(INDEX(_xlfn.UNIQUE(TRIM(_xlfn.TEXTSPLIT(Table261425678911121316[[#This Row],[Selection Options]:[Selection Options]],","))),,N$11),"")</f>
        <v>100%: Yes</v>
      </c>
      <c r="O20" s="29" t="str" cm="1">
        <f t="array" ref="O20">IFERROR(INDEX(_xlfn.UNIQUE(TRIM(_xlfn.TEXTSPLIT(Table261425678911121316[[#This Row],[Selection Options]:[Selection Options]],","))),,O$11),"")</f>
        <v xml:space="preserve">
0%: No</v>
      </c>
      <c r="P20" s="29" t="str" cm="1">
        <f t="array" ref="P20">IFERROR(INDEX(_xlfn.UNIQUE(TRIM(_xlfn.TEXTSPLIT(Table261425678911121316[[#This Row],[Selection Options]:[Selection Options]],","))),,P$11),"")</f>
        <v/>
      </c>
      <c r="Q20" s="29" t="str" cm="1">
        <f t="array" ref="Q20">IFERROR(INDEX(_xlfn.UNIQUE(TRIM(_xlfn.TEXTSPLIT(Table261425678911121316[[#This Row],[Selection Options]:[Selection Options]],","))),,Q$11),"")</f>
        <v/>
      </c>
      <c r="R20" s="29" t="str" cm="1">
        <f t="array" ref="R20">IFERROR(INDEX(_xlfn.UNIQUE(TRIM(_xlfn.TEXTSPLIT(Table261425678911121316[[#This Row],[Selection Options]:[Selection Options]],","))),,R$11),"")</f>
        <v/>
      </c>
      <c r="S20" s="29" t="str" cm="1">
        <f t="array" ref="S20">IFERROR(INDEX(_xlfn.UNIQUE(TRIM(_xlfn.TEXTSPLIT(Table261425678911121316[[#This Row],[Selection Options]:[Selection Options]],","))),,S$11),"")</f>
        <v/>
      </c>
      <c r="T20" s="29" t="str" cm="1">
        <f t="array" ref="T20">IFERROR(INDEX(_xlfn.UNIQUE(TRIM(_xlfn.TEXTSPLIT(Table261425678911121316[[#This Row],[Selection Options]:[Selection Options]],","))),,T$11),"")</f>
        <v/>
      </c>
      <c r="U20" s="29" t="str" cm="1">
        <f t="array" ref="U20">IFERROR(INDEX(_xlfn.UNIQUE(TRIM(_xlfn.TEXTSPLIT(Table261425678911121316[[#This Row],[Selection Options]:[Selection Options]],","))),,U$11),"")</f>
        <v/>
      </c>
      <c r="V20" s="29" t="str" cm="1">
        <f t="array" ref="V20">IFERROR(INDEX(_xlfn.UNIQUE(TRIM(_xlfn.TEXTSPLIT(Table261425678911121316[[#This Row],[Selection Options]:[Selection Options]],","))),,V$11),"")</f>
        <v/>
      </c>
      <c r="W20" s="29" t="str" cm="1">
        <f t="array" ref="W20">IFERROR(INDEX(_xlfn.UNIQUE(TRIM(_xlfn.TEXTSPLIT(Table261425678911121316[[#This Row],[Selection Options]:[Selection Options]],","))),,W$11),"")</f>
        <v/>
      </c>
      <c r="X20" s="29" t="str" cm="1">
        <f t="array" ref="X20">IFERROR(INDEX(_xlfn.UNIQUE(TRIM(_xlfn.TEXTSPLIT(Table261425678911121316[[#This Row],[Selection Options]:[Selection Options]],","))),,X$11),"")</f>
        <v/>
      </c>
      <c r="Y20" s="30" cm="1">
        <f t="array" ref="Y20">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20" s="30" cm="1">
        <f t="array" ref="Z20">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20" s="30" t="str" cm="1">
        <f t="array" ref="AA20">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20" s="30" t="str" cm="1">
        <f t="array" ref="AB20">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0" s="30" t="str" cm="1">
        <f t="array" ref="AC20">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0" s="30" t="str" cm="1">
        <f t="array" ref="AD20">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0" s="30" t="str" cm="1">
        <f t="array" ref="AE20">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0" s="30" t="str" cm="1">
        <f t="array" ref="AF20">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0" s="30" t="str" cm="1">
        <f t="array" ref="AG20">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0" s="30" t="str" cm="1">
        <f t="array" ref="AH20">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0" s="30" t="str" cm="1">
        <f t="array" ref="AI20">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1" spans="1:35" ht="60" x14ac:dyDescent="0.2">
      <c r="A21" s="20">
        <v>9</v>
      </c>
      <c r="B21" s="21" t="s">
        <v>672</v>
      </c>
      <c r="C21" s="158" t="s">
        <v>215</v>
      </c>
      <c r="D21" s="31"/>
      <c r="E21" s="31"/>
      <c r="F21" s="159" t="s">
        <v>60</v>
      </c>
      <c r="G21" s="155" cm="1">
        <f t="array" ref="G21">_xlfn.IFS(F21="","",F21="No interest",0,F21="Nice to have",1,F21="Useful",2,F21="Important",3,F21="Very important",4,F21="Critical",5,F21="Show stopper",6)</f>
        <v>6</v>
      </c>
      <c r="H21" s="156">
        <f t="shared" si="1"/>
        <v>2.0270270270270271E-3</v>
      </c>
      <c r="I21" s="154" t="s">
        <v>660</v>
      </c>
      <c r="J21" s="35" t="str" cm="1">
        <f t="array" ref="J21">_xlfn.TEXTJOIN(","&amp;CHAR(10),,TEXT(Table261425678911121316[[#This Row],[12]:[22]],"0,00%"))</f>
        <v>0,00%,
0,00%</v>
      </c>
      <c r="K21" s="26"/>
      <c r="L21" s="27" t="e">
        <f>H21-(H21*((MATCH(Table261425678911121316[[#This Row],[Evaluators Response (SELECT)]],Table261425678911121316[[#This Row],[1]:[11]],0)-1)/(COUNTA(Table261425678911121316[[#This Row],[1]:[11]])-COUNTBLANK(Table261425678911121316[[#This Row],[1]:[11]])-1)))</f>
        <v>#N/A</v>
      </c>
      <c r="M21" s="28"/>
      <c r="N21" s="29" t="str" cm="1">
        <f t="array" ref="N21">IFERROR(INDEX(_xlfn.UNIQUE(TRIM(_xlfn.TEXTSPLIT(Table261425678911121316[[#This Row],[Selection Options]:[Selection Options]],","))),,N$11),"")</f>
        <v>100%: Yes</v>
      </c>
      <c r="O21" s="29" t="str" cm="1">
        <f t="array" ref="O21">IFERROR(INDEX(_xlfn.UNIQUE(TRIM(_xlfn.TEXTSPLIT(Table261425678911121316[[#This Row],[Selection Options]:[Selection Options]],","))),,O$11),"")</f>
        <v xml:space="preserve">
0%: No</v>
      </c>
      <c r="P21" s="29" t="str" cm="1">
        <f t="array" ref="P21">IFERROR(INDEX(_xlfn.UNIQUE(TRIM(_xlfn.TEXTSPLIT(Table261425678911121316[[#This Row],[Selection Options]:[Selection Options]],","))),,P$11),"")</f>
        <v/>
      </c>
      <c r="Q21" s="29" t="str" cm="1">
        <f t="array" ref="Q21">IFERROR(INDEX(_xlfn.UNIQUE(TRIM(_xlfn.TEXTSPLIT(Table261425678911121316[[#This Row],[Selection Options]:[Selection Options]],","))),,Q$11),"")</f>
        <v/>
      </c>
      <c r="R21" s="29" t="str" cm="1">
        <f t="array" ref="R21">IFERROR(INDEX(_xlfn.UNIQUE(TRIM(_xlfn.TEXTSPLIT(Table261425678911121316[[#This Row],[Selection Options]:[Selection Options]],","))),,R$11),"")</f>
        <v/>
      </c>
      <c r="S21" s="29" t="str" cm="1">
        <f t="array" ref="S21">IFERROR(INDEX(_xlfn.UNIQUE(TRIM(_xlfn.TEXTSPLIT(Table261425678911121316[[#This Row],[Selection Options]:[Selection Options]],","))),,S$11),"")</f>
        <v/>
      </c>
      <c r="T21" s="29" t="str" cm="1">
        <f t="array" ref="T21">IFERROR(INDEX(_xlfn.UNIQUE(TRIM(_xlfn.TEXTSPLIT(Table261425678911121316[[#This Row],[Selection Options]:[Selection Options]],","))),,T$11),"")</f>
        <v/>
      </c>
      <c r="U21" s="29" t="str" cm="1">
        <f t="array" ref="U21">IFERROR(INDEX(_xlfn.UNIQUE(TRIM(_xlfn.TEXTSPLIT(Table261425678911121316[[#This Row],[Selection Options]:[Selection Options]],","))),,U$11),"")</f>
        <v/>
      </c>
      <c r="V21" s="29" t="str" cm="1">
        <f t="array" ref="V21">IFERROR(INDEX(_xlfn.UNIQUE(TRIM(_xlfn.TEXTSPLIT(Table261425678911121316[[#This Row],[Selection Options]:[Selection Options]],","))),,V$11),"")</f>
        <v/>
      </c>
      <c r="W21" s="29" t="str" cm="1">
        <f t="array" ref="W21">IFERROR(INDEX(_xlfn.UNIQUE(TRIM(_xlfn.TEXTSPLIT(Table261425678911121316[[#This Row],[Selection Options]:[Selection Options]],","))),,W$11),"")</f>
        <v/>
      </c>
      <c r="X21" s="29" t="str" cm="1">
        <f t="array" ref="X21">IFERROR(INDEX(_xlfn.UNIQUE(TRIM(_xlfn.TEXTSPLIT(Table261425678911121316[[#This Row],[Selection Options]:[Selection Options]],","))),,X$11),"")</f>
        <v/>
      </c>
      <c r="Y21" s="30" cm="1">
        <f t="array" ref="Y21">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21" s="30" cm="1">
        <f t="array" ref="Z21">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21" s="30" t="str" cm="1">
        <f t="array" ref="AA21">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21" s="30" t="str" cm="1">
        <f t="array" ref="AB21">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1" s="30" t="str" cm="1">
        <f t="array" ref="AC21">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1" s="30" t="str" cm="1">
        <f t="array" ref="AD21">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1" s="30" t="str" cm="1">
        <f t="array" ref="AE21">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1" s="30" t="str" cm="1">
        <f t="array" ref="AF21">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1" s="30" t="str" cm="1">
        <f t="array" ref="AG21">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1" s="30" t="str" cm="1">
        <f t="array" ref="AH21">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1" s="30" t="str" cm="1">
        <f t="array" ref="AI21">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2" spans="1:35" ht="36" x14ac:dyDescent="0.2">
      <c r="A22" s="20">
        <v>10</v>
      </c>
      <c r="B22" s="21" t="s">
        <v>673</v>
      </c>
      <c r="C22" s="158" t="s">
        <v>215</v>
      </c>
      <c r="D22" s="31"/>
      <c r="E22" s="31"/>
      <c r="F22" s="159" t="s">
        <v>60</v>
      </c>
      <c r="G22" s="155" cm="1">
        <f t="array" ref="G22">_xlfn.IFS(F22="","",F22="No interest",0,F22="Nice to have",1,F22="Useful",2,F22="Important",3,F22="Very important",4,F22="Critical",5,F22="Show stopper",6)</f>
        <v>6</v>
      </c>
      <c r="H22" s="156">
        <f t="shared" si="1"/>
        <v>2.0270270270270271E-3</v>
      </c>
      <c r="I22" s="154" t="s">
        <v>660</v>
      </c>
      <c r="J22" s="35" t="str" cm="1">
        <f t="array" ref="J22">_xlfn.TEXTJOIN(","&amp;CHAR(10),,TEXT(Table261425678911121316[[#This Row],[12]:[22]],"0,00%"))</f>
        <v>0,00%,
0,00%</v>
      </c>
      <c r="K22" s="26"/>
      <c r="L22" s="27" t="e">
        <f>H22-(H22*((MATCH(Table261425678911121316[[#This Row],[Evaluators Response (SELECT)]],Table261425678911121316[[#This Row],[1]:[11]],0)-1)/(COUNTA(Table261425678911121316[[#This Row],[1]:[11]])-COUNTBLANK(Table261425678911121316[[#This Row],[1]:[11]])-1)))</f>
        <v>#N/A</v>
      </c>
      <c r="M22" s="28"/>
      <c r="N22" s="29" t="str" cm="1">
        <f t="array" ref="N22">IFERROR(INDEX(_xlfn.UNIQUE(TRIM(_xlfn.TEXTSPLIT(Table261425678911121316[[#This Row],[Selection Options]:[Selection Options]],","))),,N$11),"")</f>
        <v>100%: Yes</v>
      </c>
      <c r="O22" s="29" t="str" cm="1">
        <f t="array" ref="O22">IFERROR(INDEX(_xlfn.UNIQUE(TRIM(_xlfn.TEXTSPLIT(Table261425678911121316[[#This Row],[Selection Options]:[Selection Options]],","))),,O$11),"")</f>
        <v xml:space="preserve">
0%: No</v>
      </c>
      <c r="P22" s="29" t="str" cm="1">
        <f t="array" ref="P22">IFERROR(INDEX(_xlfn.UNIQUE(TRIM(_xlfn.TEXTSPLIT(Table261425678911121316[[#This Row],[Selection Options]:[Selection Options]],","))),,P$11),"")</f>
        <v/>
      </c>
      <c r="Q22" s="29" t="str" cm="1">
        <f t="array" ref="Q22">IFERROR(INDEX(_xlfn.UNIQUE(TRIM(_xlfn.TEXTSPLIT(Table261425678911121316[[#This Row],[Selection Options]:[Selection Options]],","))),,Q$11),"")</f>
        <v/>
      </c>
      <c r="R22" s="29" t="str" cm="1">
        <f t="array" ref="R22">IFERROR(INDEX(_xlfn.UNIQUE(TRIM(_xlfn.TEXTSPLIT(Table261425678911121316[[#This Row],[Selection Options]:[Selection Options]],","))),,R$11),"")</f>
        <v/>
      </c>
      <c r="S22" s="29" t="str" cm="1">
        <f t="array" ref="S22">IFERROR(INDEX(_xlfn.UNIQUE(TRIM(_xlfn.TEXTSPLIT(Table261425678911121316[[#This Row],[Selection Options]:[Selection Options]],","))),,S$11),"")</f>
        <v/>
      </c>
      <c r="T22" s="29" t="str" cm="1">
        <f t="array" ref="T22">IFERROR(INDEX(_xlfn.UNIQUE(TRIM(_xlfn.TEXTSPLIT(Table261425678911121316[[#This Row],[Selection Options]:[Selection Options]],","))),,T$11),"")</f>
        <v/>
      </c>
      <c r="U22" s="29" t="str" cm="1">
        <f t="array" ref="U22">IFERROR(INDEX(_xlfn.UNIQUE(TRIM(_xlfn.TEXTSPLIT(Table261425678911121316[[#This Row],[Selection Options]:[Selection Options]],","))),,U$11),"")</f>
        <v/>
      </c>
      <c r="V22" s="29" t="str" cm="1">
        <f t="array" ref="V22">IFERROR(INDEX(_xlfn.UNIQUE(TRIM(_xlfn.TEXTSPLIT(Table261425678911121316[[#This Row],[Selection Options]:[Selection Options]],","))),,V$11),"")</f>
        <v/>
      </c>
      <c r="W22" s="29" t="str" cm="1">
        <f t="array" ref="W22">IFERROR(INDEX(_xlfn.UNIQUE(TRIM(_xlfn.TEXTSPLIT(Table261425678911121316[[#This Row],[Selection Options]:[Selection Options]],","))),,W$11),"")</f>
        <v/>
      </c>
      <c r="X22" s="29" t="str" cm="1">
        <f t="array" ref="X22">IFERROR(INDEX(_xlfn.UNIQUE(TRIM(_xlfn.TEXTSPLIT(Table261425678911121316[[#This Row],[Selection Options]:[Selection Options]],","))),,X$11),"")</f>
        <v/>
      </c>
      <c r="Y22" s="30" cm="1">
        <f t="array" ref="Y22">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22" s="30" cm="1">
        <f t="array" ref="Z22">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0</v>
      </c>
      <c r="AA22" s="30" t="str" cm="1">
        <f t="array" ref="AA22">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
      </c>
      <c r="AB22" s="30" t="str" cm="1">
        <f t="array" ref="AB22">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2" s="30" t="str" cm="1">
        <f t="array" ref="AC22">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2" s="30" t="str" cm="1">
        <f t="array" ref="AD22">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2" s="30" t="str" cm="1">
        <f t="array" ref="AE22">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2" s="30" t="str" cm="1">
        <f t="array" ref="AF22">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2" s="30" t="str" cm="1">
        <f t="array" ref="AG22">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2" s="30" t="str" cm="1">
        <f t="array" ref="AH22">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2" s="30" t="str" cm="1">
        <f t="array" ref="AI22">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3" spans="1:35" ht="60" x14ac:dyDescent="0.2">
      <c r="A23" s="20">
        <v>11</v>
      </c>
      <c r="B23" s="21" t="s">
        <v>674</v>
      </c>
      <c r="C23" s="158" t="s">
        <v>215</v>
      </c>
      <c r="D23" s="31"/>
      <c r="E23" s="31"/>
      <c r="F23" s="159" t="s">
        <v>188</v>
      </c>
      <c r="G23" s="155" cm="1">
        <f t="array" ref="G23">_xlfn.IFS(F23="","",F23="No interest",0,F23="Nice to have",1,F23="Useful",2,F23="Important",3,F23="Very important",4,F23="Critical",5,F23="Show stopper",6)</f>
        <v>5</v>
      </c>
      <c r="H23" s="156">
        <f t="shared" si="1"/>
        <v>1.6891891891891893E-3</v>
      </c>
      <c r="I23" s="154" t="s">
        <v>665</v>
      </c>
      <c r="J23" s="35" t="str" cm="1">
        <f t="array" ref="J23">_xlfn.TEXTJOIN(","&amp;CHAR(10),,TEXT(Table261425678911121316[[#This Row],[12]:[22]],"0,00%"))</f>
        <v>0,00%,
0,00%,
0,00%</v>
      </c>
      <c r="K23" s="26"/>
      <c r="L23" s="27" t="e">
        <f>H23-(H23*((MATCH(Table261425678911121316[[#This Row],[Evaluators Response (SELECT)]],Table261425678911121316[[#This Row],[1]:[11]],0)-1)/(COUNTA(Table261425678911121316[[#This Row],[1]:[11]])-COUNTBLANK(Table261425678911121316[[#This Row],[1]:[11]])-1)))</f>
        <v>#N/A</v>
      </c>
      <c r="M23" s="28"/>
      <c r="N23" s="29" t="str" cm="1">
        <f t="array" ref="N23">IFERROR(INDEX(_xlfn.UNIQUE(TRIM(_xlfn.TEXTSPLIT(Table261425678911121316[[#This Row],[Selection Options]:[Selection Options]],","))),,N$11),"")</f>
        <v>100%: Fully comply with requirement</v>
      </c>
      <c r="O23" s="29" t="str" cm="1">
        <f t="array" ref="O23">IFERROR(INDEX(_xlfn.UNIQUE(TRIM(_xlfn.TEXTSPLIT(Table261425678911121316[[#This Row],[Selection Options]:[Selection Options]],","))),,O$11),"")</f>
        <v xml:space="preserve">
50%: Partially compliant</v>
      </c>
      <c r="P23" s="29" t="str" cm="1">
        <f t="array" ref="P23">IFERROR(INDEX(_xlfn.UNIQUE(TRIM(_xlfn.TEXTSPLIT(Table261425678911121316[[#This Row],[Selection Options]:[Selection Options]],","))),,P$11),"")</f>
        <v xml:space="preserve">
0%: No compliance</v>
      </c>
      <c r="Q23" s="29" t="str" cm="1">
        <f t="array" ref="Q23">IFERROR(INDEX(_xlfn.UNIQUE(TRIM(_xlfn.TEXTSPLIT(Table261425678911121316[[#This Row],[Selection Options]:[Selection Options]],","))),,Q$11),"")</f>
        <v/>
      </c>
      <c r="R23" s="29" t="str" cm="1">
        <f t="array" ref="R23">IFERROR(INDEX(_xlfn.UNIQUE(TRIM(_xlfn.TEXTSPLIT(Table261425678911121316[[#This Row],[Selection Options]:[Selection Options]],","))),,R$11),"")</f>
        <v/>
      </c>
      <c r="S23" s="29" t="str" cm="1">
        <f t="array" ref="S23">IFERROR(INDEX(_xlfn.UNIQUE(TRIM(_xlfn.TEXTSPLIT(Table261425678911121316[[#This Row],[Selection Options]:[Selection Options]],","))),,S$11),"")</f>
        <v/>
      </c>
      <c r="T23" s="29" t="str" cm="1">
        <f t="array" ref="T23">IFERROR(INDEX(_xlfn.UNIQUE(TRIM(_xlfn.TEXTSPLIT(Table261425678911121316[[#This Row],[Selection Options]:[Selection Options]],","))),,T$11),"")</f>
        <v/>
      </c>
      <c r="U23" s="29" t="str" cm="1">
        <f t="array" ref="U23">IFERROR(INDEX(_xlfn.UNIQUE(TRIM(_xlfn.TEXTSPLIT(Table261425678911121316[[#This Row],[Selection Options]:[Selection Options]],","))),,U$11),"")</f>
        <v/>
      </c>
      <c r="V23" s="29" t="str" cm="1">
        <f t="array" ref="V23">IFERROR(INDEX(_xlfn.UNIQUE(TRIM(_xlfn.TEXTSPLIT(Table261425678911121316[[#This Row],[Selection Options]:[Selection Options]],","))),,V$11),"")</f>
        <v/>
      </c>
      <c r="W23" s="29" t="str" cm="1">
        <f t="array" ref="W23">IFERROR(INDEX(_xlfn.UNIQUE(TRIM(_xlfn.TEXTSPLIT(Table261425678911121316[[#This Row],[Selection Options]:[Selection Options]],","))),,W$11),"")</f>
        <v/>
      </c>
      <c r="X23" s="29" t="str" cm="1">
        <f t="array" ref="X23">IFERROR(INDEX(_xlfn.UNIQUE(TRIM(_xlfn.TEXTSPLIT(Table261425678911121316[[#This Row],[Selection Options]:[Selection Options]],","))),,X$11),"")</f>
        <v/>
      </c>
      <c r="Y23" s="30" cm="1">
        <f t="array" ref="Y23">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1.6891891891891893E-3</v>
      </c>
      <c r="Z23" s="30" cm="1">
        <f t="array" ref="Z23">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8.4459459459459464E-4</v>
      </c>
      <c r="AA23" s="30" cm="1">
        <f t="array" ref="AA23">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23" s="30" t="str" cm="1">
        <f t="array" ref="AB23">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3" s="30" t="str" cm="1">
        <f t="array" ref="AC23">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3" s="30" t="str" cm="1">
        <f t="array" ref="AD23">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3" s="30" t="str" cm="1">
        <f t="array" ref="AE23">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3" s="30" t="str" cm="1">
        <f t="array" ref="AF23">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3" s="30" t="str" cm="1">
        <f t="array" ref="AG23">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3" s="30" t="str" cm="1">
        <f t="array" ref="AH23">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3" s="30" t="str" cm="1">
        <f t="array" ref="AI23">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4" spans="1:35" ht="60" x14ac:dyDescent="0.2">
      <c r="A24" s="20">
        <v>12</v>
      </c>
      <c r="B24" s="21" t="s">
        <v>675</v>
      </c>
      <c r="C24" s="158" t="s">
        <v>215</v>
      </c>
      <c r="D24" s="31"/>
      <c r="E24" s="31"/>
      <c r="F24" s="159" t="s">
        <v>188</v>
      </c>
      <c r="G24" s="155" cm="1">
        <f t="array" ref="G24">_xlfn.IFS(F24="","",F24="No interest",0,F24="Nice to have",1,F24="Useful",2,F24="Important",3,F24="Very important",4,F24="Critical",5,F24="Show stopper",6)</f>
        <v>5</v>
      </c>
      <c r="H24" s="156">
        <f t="shared" si="1"/>
        <v>1.6891891891891893E-3</v>
      </c>
      <c r="I24" s="154" t="s">
        <v>665</v>
      </c>
      <c r="J24" s="35" t="str" cm="1">
        <f t="array" ref="J24">_xlfn.TEXTJOIN(","&amp;CHAR(10),,TEXT(Table261425678911121316[[#This Row],[12]:[22]],"0,00%"))</f>
        <v>0,00%,
0,00%,
0,00%</v>
      </c>
      <c r="K24" s="26"/>
      <c r="L24" s="27" t="e">
        <f>H24-(H24*((MATCH(Table261425678911121316[[#This Row],[Evaluators Response (SELECT)]],Table261425678911121316[[#This Row],[1]:[11]],0)-1)/(COUNTA(Table261425678911121316[[#This Row],[1]:[11]])-COUNTBLANK(Table261425678911121316[[#This Row],[1]:[11]])-1)))</f>
        <v>#N/A</v>
      </c>
      <c r="M24" s="28"/>
      <c r="N24" s="29" t="str" cm="1">
        <f t="array" ref="N24">IFERROR(INDEX(_xlfn.UNIQUE(TRIM(_xlfn.TEXTSPLIT(Table261425678911121316[[#This Row],[Selection Options]:[Selection Options]],","))),,N$11),"")</f>
        <v>100%: Fully comply with requirement</v>
      </c>
      <c r="O24" s="29" t="str" cm="1">
        <f t="array" ref="O24">IFERROR(INDEX(_xlfn.UNIQUE(TRIM(_xlfn.TEXTSPLIT(Table261425678911121316[[#This Row],[Selection Options]:[Selection Options]],","))),,O$11),"")</f>
        <v xml:space="preserve">
50%: Partially compliant</v>
      </c>
      <c r="P24" s="29" t="str" cm="1">
        <f t="array" ref="P24">IFERROR(INDEX(_xlfn.UNIQUE(TRIM(_xlfn.TEXTSPLIT(Table261425678911121316[[#This Row],[Selection Options]:[Selection Options]],","))),,P$11),"")</f>
        <v xml:space="preserve">
0%: No compliance</v>
      </c>
      <c r="Q24" s="29" t="str" cm="1">
        <f t="array" ref="Q24">IFERROR(INDEX(_xlfn.UNIQUE(TRIM(_xlfn.TEXTSPLIT(Table261425678911121316[[#This Row],[Selection Options]:[Selection Options]],","))),,Q$11),"")</f>
        <v/>
      </c>
      <c r="R24" s="29" t="str" cm="1">
        <f t="array" ref="R24">IFERROR(INDEX(_xlfn.UNIQUE(TRIM(_xlfn.TEXTSPLIT(Table261425678911121316[[#This Row],[Selection Options]:[Selection Options]],","))),,R$11),"")</f>
        <v/>
      </c>
      <c r="S24" s="29" t="str" cm="1">
        <f t="array" ref="S24">IFERROR(INDEX(_xlfn.UNIQUE(TRIM(_xlfn.TEXTSPLIT(Table261425678911121316[[#This Row],[Selection Options]:[Selection Options]],","))),,S$11),"")</f>
        <v/>
      </c>
      <c r="T24" s="29" t="str" cm="1">
        <f t="array" ref="T24">IFERROR(INDEX(_xlfn.UNIQUE(TRIM(_xlfn.TEXTSPLIT(Table261425678911121316[[#This Row],[Selection Options]:[Selection Options]],","))),,T$11),"")</f>
        <v/>
      </c>
      <c r="U24" s="29" t="str" cm="1">
        <f t="array" ref="U24">IFERROR(INDEX(_xlfn.UNIQUE(TRIM(_xlfn.TEXTSPLIT(Table261425678911121316[[#This Row],[Selection Options]:[Selection Options]],","))),,U$11),"")</f>
        <v/>
      </c>
      <c r="V24" s="29" t="str" cm="1">
        <f t="array" ref="V24">IFERROR(INDEX(_xlfn.UNIQUE(TRIM(_xlfn.TEXTSPLIT(Table261425678911121316[[#This Row],[Selection Options]:[Selection Options]],","))),,V$11),"")</f>
        <v/>
      </c>
      <c r="W24" s="29" t="str" cm="1">
        <f t="array" ref="W24">IFERROR(INDEX(_xlfn.UNIQUE(TRIM(_xlfn.TEXTSPLIT(Table261425678911121316[[#This Row],[Selection Options]:[Selection Options]],","))),,W$11),"")</f>
        <v/>
      </c>
      <c r="X24" s="29" t="str" cm="1">
        <f t="array" ref="X24">IFERROR(INDEX(_xlfn.UNIQUE(TRIM(_xlfn.TEXTSPLIT(Table261425678911121316[[#This Row],[Selection Options]:[Selection Options]],","))),,X$11),"")</f>
        <v/>
      </c>
      <c r="Y24" s="30" cm="1">
        <f t="array" ref="Y24">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1.6891891891891893E-3</v>
      </c>
      <c r="Z24" s="30" cm="1">
        <f t="array" ref="Z24">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8.4459459459459464E-4</v>
      </c>
      <c r="AA24" s="30" cm="1">
        <f t="array" ref="AA24">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24" s="30" t="str" cm="1">
        <f t="array" ref="AB24">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4" s="30" t="str" cm="1">
        <f t="array" ref="AC24">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4" s="30" t="str" cm="1">
        <f t="array" ref="AD24">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4" s="30" t="str" cm="1">
        <f t="array" ref="AE24">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4" s="30" t="str" cm="1">
        <f t="array" ref="AF24">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4" s="30" t="str" cm="1">
        <f t="array" ref="AG24">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4" s="30" t="str" cm="1">
        <f t="array" ref="AH24">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4" s="30" t="str" cm="1">
        <f t="array" ref="AI24">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row r="25" spans="1:35" ht="120" x14ac:dyDescent="0.2">
      <c r="A25" s="20">
        <v>13</v>
      </c>
      <c r="B25" s="21" t="s">
        <v>676</v>
      </c>
      <c r="C25" s="158" t="s">
        <v>215</v>
      </c>
      <c r="D25" s="31"/>
      <c r="E25" s="31"/>
      <c r="F25" s="159" t="s">
        <v>60</v>
      </c>
      <c r="G25" s="155" cm="1">
        <f t="array" ref="G25">_xlfn.IFS(F25="","",F25="No interest",0,F25="Nice to have",1,F25="Useful",2,F25="Important",3,F25="Very important",4,F25="Critical",5,F25="Show stopper",6)</f>
        <v>6</v>
      </c>
      <c r="H25" s="156">
        <f t="shared" si="1"/>
        <v>2.0270270270270271E-3</v>
      </c>
      <c r="I25" s="154" t="s">
        <v>677</v>
      </c>
      <c r="J25" s="35" t="str" cm="1">
        <f t="array" ref="J25">_xlfn.TEXTJOIN(","&amp;CHAR(10),,TEXT(Table261425678911121316[[#This Row],[12]:[22]],"0,00%"))</f>
        <v>0,00%,
0,00%,
0,00%</v>
      </c>
      <c r="K25" s="26"/>
      <c r="L25" s="27" t="e">
        <f>H25-(H25*((MATCH(Table261425678911121316[[#This Row],[Evaluators Response (SELECT)]],Table261425678911121316[[#This Row],[1]:[11]],0)-1)/(COUNTA(Table261425678911121316[[#This Row],[1]:[11]])-COUNTBLANK(Table261425678911121316[[#This Row],[1]:[11]])-1)))</f>
        <v>#N/A</v>
      </c>
      <c r="M25" s="28"/>
      <c r="N25" s="29" t="str" cm="1">
        <f t="array" ref="N25">IFERROR(INDEX(_xlfn.UNIQUE(TRIM(_xlfn.TEXTSPLIT(Table261425678911121316[[#This Row],[Selection Options]:[Selection Options]],","))),,N$11),"")</f>
        <v>100%: Data stored and processed in RSA data centres</v>
      </c>
      <c r="O25" s="29" t="str" cm="1">
        <f t="array" ref="O25">IFERROR(INDEX(_xlfn.UNIQUE(TRIM(_xlfn.TEXTSPLIT(Table261425678911121316[[#This Row],[Selection Options]:[Selection Options]],","))),,O$11),"")</f>
        <v xml:space="preserve">
50%: Data stored and or processed in R GDPR jurisdiction</v>
      </c>
      <c r="P25" s="29" t="str" cm="1">
        <f t="array" ref="P25">IFERROR(INDEX(_xlfn.UNIQUE(TRIM(_xlfn.TEXTSPLIT(Table261425678911121316[[#This Row],[Selection Options]:[Selection Options]],","))),,P$11),"")</f>
        <v xml:space="preserve">
0%: Data stored and or processed in non RSA and non GDPR jurisdiction</v>
      </c>
      <c r="Q25" s="29" t="str" cm="1">
        <f t="array" ref="Q25">IFERROR(INDEX(_xlfn.UNIQUE(TRIM(_xlfn.TEXTSPLIT(Table261425678911121316[[#This Row],[Selection Options]:[Selection Options]],","))),,Q$11),"")</f>
        <v/>
      </c>
      <c r="R25" s="29" t="str" cm="1">
        <f t="array" ref="R25">IFERROR(INDEX(_xlfn.UNIQUE(TRIM(_xlfn.TEXTSPLIT(Table261425678911121316[[#This Row],[Selection Options]:[Selection Options]],","))),,R$11),"")</f>
        <v/>
      </c>
      <c r="S25" s="29" t="str" cm="1">
        <f t="array" ref="S25">IFERROR(INDEX(_xlfn.UNIQUE(TRIM(_xlfn.TEXTSPLIT(Table261425678911121316[[#This Row],[Selection Options]:[Selection Options]],","))),,S$11),"")</f>
        <v/>
      </c>
      <c r="T25" s="29" t="str" cm="1">
        <f t="array" ref="T25">IFERROR(INDEX(_xlfn.UNIQUE(TRIM(_xlfn.TEXTSPLIT(Table261425678911121316[[#This Row],[Selection Options]:[Selection Options]],","))),,T$11),"")</f>
        <v/>
      </c>
      <c r="U25" s="29" t="str" cm="1">
        <f t="array" ref="U25">IFERROR(INDEX(_xlfn.UNIQUE(TRIM(_xlfn.TEXTSPLIT(Table261425678911121316[[#This Row],[Selection Options]:[Selection Options]],","))),,U$11),"")</f>
        <v/>
      </c>
      <c r="V25" s="29" t="str" cm="1">
        <f t="array" ref="V25">IFERROR(INDEX(_xlfn.UNIQUE(TRIM(_xlfn.TEXTSPLIT(Table261425678911121316[[#This Row],[Selection Options]:[Selection Options]],","))),,V$11),"")</f>
        <v/>
      </c>
      <c r="W25" s="29" t="str" cm="1">
        <f t="array" ref="W25">IFERROR(INDEX(_xlfn.UNIQUE(TRIM(_xlfn.TEXTSPLIT(Table261425678911121316[[#This Row],[Selection Options]:[Selection Options]],","))),,W$11),"")</f>
        <v/>
      </c>
      <c r="X25" s="29" t="str" cm="1">
        <f t="array" ref="X25">IFERROR(INDEX(_xlfn.UNIQUE(TRIM(_xlfn.TEXTSPLIT(Table261425678911121316[[#This Row],[Selection Options]:[Selection Options]],","))),,X$11),"")</f>
        <v/>
      </c>
      <c r="Y25" s="30" cm="1">
        <f t="array" ref="Y25">IF(Table261425678911121316[[#This Row],[1]]="","",Table261425678911121316[[#This Row],[Weight]:[Weight]]-(Table261425678911121316[[#This Row],[Weight]:[Weight]]*((_xlfn.XMATCH(Table261425678911121316[[#This Row],[1]],Table261425678911121316[[#This Row],[1]:[11]],0))-1)/(COUNTA(Table261425678911121316[[#This Row],[1]:[11]])-COUNTBLANK(Table261425678911121316[[#This Row],[1]:[11]])-1)))</f>
        <v>2.0270270270270271E-3</v>
      </c>
      <c r="Z25" s="30" cm="1">
        <f t="array" ref="Z25">IF(Table261425678911121316[[#This Row],[2]]="","",Table261425678911121316[[#This Row],[Weight]:[Weight]]-(Table261425678911121316[[#This Row],[Weight]:[Weight]]*((_xlfn.XMATCH(Table261425678911121316[[#This Row],[2]],Table261425678911121316[[#This Row],[1]:[11]],0))-1)/(COUNTA(Table261425678911121316[[#This Row],[1]:[11]])-COUNTBLANK(Table261425678911121316[[#This Row],[1]:[11]])-1)))</f>
        <v>1.0135135135135136E-3</v>
      </c>
      <c r="AA25" s="30" cm="1">
        <f t="array" ref="AA25">IF(Table261425678911121316[[#This Row],[3]]="","",Table261425678911121316[[#This Row],[Weight]:[Weight]]-(Table261425678911121316[[#This Row],[Weight]:[Weight]]*((_xlfn.XMATCH(Table261425678911121316[[#This Row],[3]],Table261425678911121316[[#This Row],[1]:[11]],0))-1)/(COUNTA(Table261425678911121316[[#This Row],[1]:[11]])-COUNTBLANK(Table261425678911121316[[#This Row],[1]:[11]])-1)))</f>
        <v>0</v>
      </c>
      <c r="AB25" s="30" t="str" cm="1">
        <f t="array" ref="AB25">IF(Table261425678911121316[[#This Row],[4]]="","",Table261425678911121316[[#This Row],[Weight]:[Weight]]-(Table261425678911121316[[#This Row],[Weight]:[Weight]]*((_xlfn.XMATCH(Table261425678911121316[[#This Row],[4]],Table261425678911121316[[#This Row],[1]:[11]],0))-1)/(COUNTA(Table261425678911121316[[#This Row],[1]:[11]])-COUNTBLANK(Table261425678911121316[[#This Row],[1]:[11]])-1)))</f>
        <v/>
      </c>
      <c r="AC25" s="30" t="str" cm="1">
        <f t="array" ref="AC25">IF(Table261425678911121316[[#This Row],[5]]="","",Table261425678911121316[[#This Row],[Weight]:[Weight]]-(Table261425678911121316[[#This Row],[Weight]:[Weight]]*((_xlfn.XMATCH(Table261425678911121316[[#This Row],[5]],Table261425678911121316[[#This Row],[1]:[11]],0))-1)/(COUNTA(Table261425678911121316[[#This Row],[1]:[11]])-COUNTBLANK(Table261425678911121316[[#This Row],[1]:[11]])-1)))</f>
        <v/>
      </c>
      <c r="AD25" s="30" t="str" cm="1">
        <f t="array" ref="AD25">IF(Table261425678911121316[[#This Row],[6]]="","",Table261425678911121316[[#This Row],[Weight]:[Weight]]-(Table261425678911121316[[#This Row],[Weight]:[Weight]]*((_xlfn.XMATCH(Table261425678911121316[[#This Row],[6]],Table261425678911121316[[#This Row],[1]:[11]],0))-1)/(COUNTA(Table261425678911121316[[#This Row],[1]:[11]])-COUNTBLANK(Table261425678911121316[[#This Row],[1]:[11]])-1)))</f>
        <v/>
      </c>
      <c r="AE25" s="30" t="str" cm="1">
        <f t="array" ref="AE25">IF(Table261425678911121316[[#This Row],[7]]="","",Table261425678911121316[[#This Row],[Weight]:[Weight]]-(Table261425678911121316[[#This Row],[Weight]:[Weight]]*((_xlfn.XMATCH(Table261425678911121316[[#This Row],[7]],Table261425678911121316[[#This Row],[1]:[11]],0))-1)/(COUNTA(Table261425678911121316[[#This Row],[1]:[11]])-COUNTBLANK(Table261425678911121316[[#This Row],[1]:[11]])-1)))</f>
        <v/>
      </c>
      <c r="AF25" s="30" t="str" cm="1">
        <f t="array" ref="AF25">IF(Table261425678911121316[[#This Row],[8]]="","",Table261425678911121316[[#This Row],[Weight]:[Weight]]-(Table261425678911121316[[#This Row],[Weight]:[Weight]]*((_xlfn.XMATCH(Table261425678911121316[[#This Row],[8]],Table261425678911121316[[#This Row],[1]:[11]],0))-1)/(COUNTA(Table261425678911121316[[#This Row],[1]:[11]])-COUNTBLANK(Table261425678911121316[[#This Row],[1]:[11]])-1)))</f>
        <v/>
      </c>
      <c r="AG25" s="30" t="str" cm="1">
        <f t="array" ref="AG25">IF(Table261425678911121316[[#This Row],[9]]="","",Table261425678911121316[[#This Row],[Weight]:[Weight]]-(Table261425678911121316[[#This Row],[Weight]:[Weight]]*((_xlfn.XMATCH(Table261425678911121316[[#This Row],[9]],Table261425678911121316[[#This Row],[1]:[11]],0))-1)/(COUNTA(Table261425678911121316[[#This Row],[1]:[11]])-COUNTBLANK(Table261425678911121316[[#This Row],[1]:[11]])-1)))</f>
        <v/>
      </c>
      <c r="AH25" s="30" t="str" cm="1">
        <f t="array" ref="AH25">IF(Table261425678911121316[[#This Row],[10]]="","",Table261425678911121316[[#This Row],[Weight]:[Weight]]-(Table261425678911121316[[#This Row],[Weight]:[Weight]]*((_xlfn.XMATCH(Table261425678911121316[[#This Row],[10]],Table261425678911121316[[#This Row],[1]:[11]],0))-1)/(COUNTA(Table261425678911121316[[#This Row],[1]:[11]])-COUNTBLANK(Table261425678911121316[[#This Row],[1]:[11]])-1)))</f>
        <v/>
      </c>
      <c r="AI25" s="30" t="str" cm="1">
        <f t="array" ref="AI25">IF(Table261425678911121316[[#This Row],[11]]="","",Table261425678911121316[[#This Row],[Weight]:[Weight]]-(Table261425678911121316[[#This Row],[Weight]:[Weight]]*((_xlfn.XMATCH(Table261425678911121316[[#This Row],[11]],Table261425678911121316[[#This Row],[1]:[11]],0))-1)/(COUNTA(Table261425678911121316[[#This Row],[1]:[11]])-COUNTBLANK(Table261425678911121316[[#This Row],[1]:[11]])-1)))</f>
        <v/>
      </c>
    </row>
  </sheetData>
  <sheetProtection insertRows="0" insertHyperlinks="0" deleteRows="0" autoFilter="0"/>
  <mergeCells count="4">
    <mergeCell ref="E2:F3"/>
    <mergeCell ref="A10:A11"/>
    <mergeCell ref="B10:C11"/>
    <mergeCell ref="D10:E11"/>
  </mergeCells>
  <conditionalFormatting sqref="K13:K25">
    <cfRule type="expression" dxfId="163" priority="1">
      <formula>COUNTIF(N13:X13,K13)&lt;&gt;1</formula>
    </cfRule>
  </conditionalFormatting>
  <dataValidations count="4">
    <dataValidation type="list" allowBlank="1" showInputMessage="1" showErrorMessage="1" sqref="M14" xr:uid="{29009BAA-33CE-4073-B24E-1620CB32D29D}">
      <formula1>_xlfn.UNIQUE(TRIM(_xlfn.TEXTSPLIT(#REF!,",")))</formula1>
    </dataValidation>
    <dataValidation type="list" allowBlank="1" showInputMessage="1" showErrorMessage="1" sqref="F13:F25" xr:uid="{141D55A7-FC30-464C-856C-1414814F60CC}">
      <formula1>"No interest,Nice to have,Useful,Important,Very important,Critical,Show stopper"</formula1>
    </dataValidation>
    <dataValidation type="list" allowBlank="1" showInputMessage="1" showErrorMessage="1" sqref="H13:H25" xr:uid="{EF1D0555-BAF9-4630-84A7-3DD214998252}">
      <formula1>N13:R13</formula1>
    </dataValidation>
    <dataValidation type="list" allowBlank="1" showInputMessage="1" showErrorMessage="1" sqref="K13:K25" xr:uid="{252A5BE8-1D2B-45A4-BC8C-5AB65B4BAA21}">
      <formula1>$N13:$X13</formula1>
    </dataValidation>
  </dataValidations>
  <pageMargins left="0.7" right="0.7" top="0.75" bottom="0.75" header="0.3" footer="0.3"/>
  <pageSetup paperSize="9" scale="50" fitToHeight="0" orientation="landscape" r:id="rId1"/>
  <drawing r:id="rId2"/>
  <tableParts count="1">
    <tablePart r:id="rId3"/>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A72DB-67F9-4573-9A07-B87D8106BA98}">
  <sheetPr>
    <tabColor rgb="FF92D050"/>
    <pageSetUpPr fitToPage="1"/>
  </sheetPr>
  <dimension ref="A2:AI35"/>
  <sheetViews>
    <sheetView zoomScale="82" zoomScaleNormal="82" workbookViewId="0">
      <pane xSplit="1" ySplit="11" topLeftCell="B28" activePane="bottomRight" state="frozen"/>
      <selection pane="topRight" activeCell="D7" sqref="D7"/>
      <selection pane="bottomLeft" activeCell="D7" sqref="D7"/>
      <selection pane="bottomRight" activeCell="E14" sqref="E14"/>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26.28515625" style="6"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5.425781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Summary'!C25</f>
        <v>2.5000000000000001E-2</v>
      </c>
      <c r="G11" s="43">
        <f>SUM(Table26142567891112131617[Priority])</f>
        <v>113</v>
      </c>
      <c r="H11" s="8">
        <f>SUM(Table26142567891112131617[Weight])</f>
        <v>2.4999999999999994E-2</v>
      </c>
      <c r="I11" s="7"/>
      <c r="J11" s="7"/>
      <c r="K11" s="9" t="s">
        <v>17</v>
      </c>
      <c r="L11" s="8" t="e">
        <f>SUM(Table26142567891112131617[Score])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18</v>
      </c>
      <c r="B12" s="12" t="s">
        <v>19</v>
      </c>
      <c r="C12" s="13" t="s">
        <v>20</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72" x14ac:dyDescent="0.2">
      <c r="A13" s="20">
        <v>1</v>
      </c>
      <c r="B13" s="21" t="s">
        <v>678</v>
      </c>
      <c r="C13" s="21" t="s">
        <v>679</v>
      </c>
      <c r="D13" s="21"/>
      <c r="E13" s="21" t="s">
        <v>55</v>
      </c>
      <c r="F13" s="87" t="s">
        <v>60</v>
      </c>
      <c r="G13" s="155" cm="1">
        <f t="array" ref="G13">_xlfn.IFS(F13="","",F13="No interest",0,F13="Nice to have",1,F13="Useful",2,F13="Important",3,F13="Very important",4,F13="Critical",5,F13="Show stopper",6)</f>
        <v>6</v>
      </c>
      <c r="H13" s="156">
        <f t="shared" ref="H13:H16" si="0">(G13/$G$11)*$F$11</f>
        <v>1.3274336283185841E-3</v>
      </c>
      <c r="I13" s="157" t="s">
        <v>680</v>
      </c>
      <c r="J13" s="25" t="str" cm="1">
        <f t="array" ref="J13">_xlfn.TEXTJOIN(","&amp;CHAR(10),,TEXT(Table26142567891112131617[[#This Row],[12]:[22]],"0,00%"))</f>
        <v>0,00%,
0,00%,
0,00%</v>
      </c>
      <c r="K13" s="26"/>
      <c r="L13" s="27" t="e">
        <f>H13-(H13*((MATCH(Table26142567891112131617[[#This Row],[Evaluators Response (SELECT)]],Table26142567891112131617[[#This Row],[1]:[11]],0)-1)/(COUNTA(Table26142567891112131617[[#This Row],[1]:[11]])-COUNTBLANK(Table26142567891112131617[[#This Row],[1]:[11]])-1)))</f>
        <v>#N/A</v>
      </c>
      <c r="M13" s="28"/>
      <c r="N13" s="29" t="str" cm="1">
        <f t="array" ref="N13">IFERROR(INDEX(_xlfn.UNIQUE(TRIM(_xlfn.TEXTSPLIT(Table26142567891112131617[[#This Row],[Selection Options]:[Selection Options]],","))),,N$11),"")</f>
        <v>100%: 1 or more compliant references provided</v>
      </c>
      <c r="O13" s="29" t="str" cm="1">
        <f t="array" ref="O13">IFERROR(INDEX(_xlfn.UNIQUE(TRIM(_xlfn.TEXTSPLIT(Table26142567891112131617[[#This Row],[Selection Options]:[Selection Options]],","))),,O$11),"")</f>
        <v xml:space="preserve">
50%: 1 or more references with companies in private sector/nonutilities</v>
      </c>
      <c r="P13" s="29" t="str" cm="1">
        <f t="array" ref="P13">IFERROR(INDEX(_xlfn.UNIQUE(TRIM(_xlfn.TEXTSPLIT(Table26142567891112131617[[#This Row],[Selection Options]:[Selection Options]],","))),,P$11),"")</f>
        <v xml:space="preserve">
0%: No references provided</v>
      </c>
      <c r="Q13" s="29" t="str" cm="1">
        <f t="array" ref="Q13">IFERROR(INDEX(_xlfn.UNIQUE(TRIM(_xlfn.TEXTSPLIT(Table26142567891112131617[[#This Row],[Selection Options]:[Selection Options]],","))),,Q$11),"")</f>
        <v/>
      </c>
      <c r="R13" s="29" t="str" cm="1">
        <f t="array" ref="R13">IFERROR(INDEX(_xlfn.UNIQUE(TRIM(_xlfn.TEXTSPLIT(Table26142567891112131617[[#This Row],[Selection Options]:[Selection Options]],","))),,R$11),"")</f>
        <v/>
      </c>
      <c r="S13" s="29" t="str" cm="1">
        <f t="array" ref="S13">IFERROR(INDEX(_xlfn.UNIQUE(TRIM(_xlfn.TEXTSPLIT(Table26142567891112131617[[#This Row],[Selection Options]:[Selection Options]],","))),,S$11),"")</f>
        <v/>
      </c>
      <c r="T13" s="29" t="str" cm="1">
        <f t="array" ref="T13">IFERROR(INDEX(_xlfn.UNIQUE(TRIM(_xlfn.TEXTSPLIT(Table26142567891112131617[[#This Row],[Selection Options]:[Selection Options]],","))),,T$11),"")</f>
        <v/>
      </c>
      <c r="U13" s="29" t="str" cm="1">
        <f t="array" ref="U13">IFERROR(INDEX(_xlfn.UNIQUE(TRIM(_xlfn.TEXTSPLIT(Table26142567891112131617[[#This Row],[Selection Options]:[Selection Options]],","))),,U$11),"")</f>
        <v/>
      </c>
      <c r="V13" s="29" t="str" cm="1">
        <f t="array" ref="V13">IFERROR(INDEX(_xlfn.UNIQUE(TRIM(_xlfn.TEXTSPLIT(Table26142567891112131617[[#This Row],[Selection Options]:[Selection Options]],","))),,V$11),"")</f>
        <v/>
      </c>
      <c r="W13" s="29" t="str" cm="1">
        <f t="array" ref="W13">IFERROR(INDEX(_xlfn.UNIQUE(TRIM(_xlfn.TEXTSPLIT(Table26142567891112131617[[#This Row],[Selection Options]:[Selection Options]],","))),,W$11),"")</f>
        <v/>
      </c>
      <c r="X13" s="29" t="str" cm="1">
        <f t="array" ref="X13">IFERROR(INDEX(_xlfn.UNIQUE(TRIM(_xlfn.TEXTSPLIT(Table26142567891112131617[[#This Row],[Selection Options]:[Selection Options]],","))),,X$11),"")</f>
        <v/>
      </c>
      <c r="Y13" s="30" cm="1">
        <f t="array" ref="Y13">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13" s="30" cm="1">
        <f t="array" ref="Z13">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13" s="30" cm="1">
        <f t="array" ref="AA13">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3" s="30" t="str" cm="1">
        <f t="array" ref="AB13">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3" s="30" t="str" cm="1">
        <f t="array" ref="AC13">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3" s="30" t="str" cm="1">
        <f t="array" ref="AD13">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3" s="30" t="str" cm="1">
        <f t="array" ref="AE13">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3" s="30" t="str" cm="1">
        <f t="array" ref="AF13">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3" s="30" t="str" cm="1">
        <f t="array" ref="AG13">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3" s="30" t="str" cm="1">
        <f t="array" ref="AH13">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3" s="30" t="str" cm="1">
        <f t="array" ref="AI13">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4" spans="1:35" ht="48" x14ac:dyDescent="0.2">
      <c r="A14" s="20">
        <v>2</v>
      </c>
      <c r="B14" s="21" t="s">
        <v>681</v>
      </c>
      <c r="C14" s="21" t="s">
        <v>682</v>
      </c>
      <c r="D14" s="31"/>
      <c r="E14" s="31"/>
      <c r="F14" s="87" t="s">
        <v>183</v>
      </c>
      <c r="G14" s="155" cm="1">
        <f t="array" ref="G14">_xlfn.IFS(F14="","",F14="No interest",0,F14="Nice to have",1,F14="Useful",2,F14="Important",3,F14="Very important",4,F14="Critical",5,F14="Show stopper",6)</f>
        <v>4</v>
      </c>
      <c r="H14" s="156">
        <f t="shared" si="0"/>
        <v>8.8495575221238937E-4</v>
      </c>
      <c r="I14" s="157" t="s">
        <v>683</v>
      </c>
      <c r="J14" s="25" t="str" cm="1">
        <f t="array" ref="J14">_xlfn.TEXTJOIN(","&amp;CHAR(10),,TEXT(Table26142567891112131617[[#This Row],[12]:[22]],"0,00%"))</f>
        <v>0,00%,
0,00%,
0,00%</v>
      </c>
      <c r="K14" s="26"/>
      <c r="L14" s="27" t="e">
        <f>H14-(H14*((MATCH(Table26142567891112131617[[#This Row],[Evaluators Response (SELECT)]],Table26142567891112131617[[#This Row],[1]:[11]],0)-1)/(COUNTA(Table26142567891112131617[[#This Row],[1]:[11]])-COUNTBLANK(Table26142567891112131617[[#This Row],[1]:[11]])-1)))</f>
        <v>#N/A</v>
      </c>
      <c r="M14" s="28"/>
      <c r="N14" s="29" t="str" cm="1">
        <f t="array" ref="N14">IFERROR(INDEX(_xlfn.UNIQUE(TRIM(_xlfn.TEXTSPLIT(Table26142567891112131617[[#This Row],[Selection Options]:[Selection Options]],","))),,N$11),"")</f>
        <v>100%: Fully comply with requirement</v>
      </c>
      <c r="O14" s="29" t="str" cm="1">
        <f t="array" ref="O14">IFERROR(INDEX(_xlfn.UNIQUE(TRIM(_xlfn.TEXTSPLIT(Table26142567891112131617[[#This Row],[Selection Options]:[Selection Options]],","))),,O$11),"")</f>
        <v xml:space="preserve">
50%: Partially compliant</v>
      </c>
      <c r="P14" s="29" t="str" cm="1">
        <f t="array" ref="P14">IFERROR(INDEX(_xlfn.UNIQUE(TRIM(_xlfn.TEXTSPLIT(Table26142567891112131617[[#This Row],[Selection Options]:[Selection Options]],","))),,P$11),"")</f>
        <v xml:space="preserve">
0%: No compliance</v>
      </c>
      <c r="Q14" s="29" t="str" cm="1">
        <f t="array" ref="Q14">IFERROR(INDEX(_xlfn.UNIQUE(TRIM(_xlfn.TEXTSPLIT(Table26142567891112131617[[#This Row],[Selection Options]:[Selection Options]],","))),,Q$11),"")</f>
        <v/>
      </c>
      <c r="R14" s="29" t="str" cm="1">
        <f t="array" ref="R14">IFERROR(INDEX(_xlfn.UNIQUE(TRIM(_xlfn.TEXTSPLIT(Table26142567891112131617[[#This Row],[Selection Options]:[Selection Options]],","))),,R$11),"")</f>
        <v/>
      </c>
      <c r="S14" s="29" t="str" cm="1">
        <f t="array" ref="S14">IFERROR(INDEX(_xlfn.UNIQUE(TRIM(_xlfn.TEXTSPLIT(Table26142567891112131617[[#This Row],[Selection Options]:[Selection Options]],","))),,S$11),"")</f>
        <v/>
      </c>
      <c r="T14" s="29" t="str" cm="1">
        <f t="array" ref="T14">IFERROR(INDEX(_xlfn.UNIQUE(TRIM(_xlfn.TEXTSPLIT(Table26142567891112131617[[#This Row],[Selection Options]:[Selection Options]],","))),,T$11),"")</f>
        <v/>
      </c>
      <c r="U14" s="29" t="str" cm="1">
        <f t="array" ref="U14">IFERROR(INDEX(_xlfn.UNIQUE(TRIM(_xlfn.TEXTSPLIT(Table26142567891112131617[[#This Row],[Selection Options]:[Selection Options]],","))),,U$11),"")</f>
        <v/>
      </c>
      <c r="V14" s="29" t="str" cm="1">
        <f t="array" ref="V14">IFERROR(INDEX(_xlfn.UNIQUE(TRIM(_xlfn.TEXTSPLIT(Table26142567891112131617[[#This Row],[Selection Options]:[Selection Options]],","))),,V$11),"")</f>
        <v/>
      </c>
      <c r="W14" s="29" t="str" cm="1">
        <f t="array" ref="W14">IFERROR(INDEX(_xlfn.UNIQUE(TRIM(_xlfn.TEXTSPLIT(Table26142567891112131617[[#This Row],[Selection Options]:[Selection Options]],","))),,W$11),"")</f>
        <v/>
      </c>
      <c r="X14" s="29" t="str" cm="1">
        <f t="array" ref="X14">IFERROR(INDEX(_xlfn.UNIQUE(TRIM(_xlfn.TEXTSPLIT(Table26142567891112131617[[#This Row],[Selection Options]:[Selection Options]],","))),,X$11),"")</f>
        <v/>
      </c>
      <c r="Y14" s="30" cm="1">
        <f t="array" ref="Y14">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8.8495575221238937E-4</v>
      </c>
      <c r="Z14" s="30" cm="1">
        <f t="array" ref="Z14">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4.4247787610619468E-4</v>
      </c>
      <c r="AA14" s="30" cm="1">
        <f t="array" ref="AA14">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4" s="30" t="str" cm="1">
        <f t="array" ref="AB14">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4" s="30" t="str" cm="1">
        <f t="array" ref="AC14">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4" s="30" t="str" cm="1">
        <f t="array" ref="AD14">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4" s="30" t="str" cm="1">
        <f t="array" ref="AE14">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4" s="30" t="str" cm="1">
        <f t="array" ref="AF14">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4" s="30" t="str" cm="1">
        <f t="array" ref="AG14">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4" s="30" t="str" cm="1">
        <f t="array" ref="AH14">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4" s="30" t="str" cm="1">
        <f t="array" ref="AI14">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5" spans="1:35" ht="48" x14ac:dyDescent="0.2">
      <c r="A15" s="20">
        <v>3</v>
      </c>
      <c r="B15" s="21" t="s">
        <v>684</v>
      </c>
      <c r="C15" s="21" t="s">
        <v>685</v>
      </c>
      <c r="D15" s="31"/>
      <c r="E15" s="32"/>
      <c r="F15" s="159" t="s">
        <v>60</v>
      </c>
      <c r="G15" s="160" cm="1">
        <f t="array" ref="G15">_xlfn.IFS(F15="","",F15="No interest",0,F15="Nice to have",1,F15="Useful",2,F15="Important",3,F15="Very important",4,F15="Critical",5,F15="Show stopper",6)</f>
        <v>6</v>
      </c>
      <c r="H15" s="161">
        <f t="shared" si="0"/>
        <v>1.3274336283185841E-3</v>
      </c>
      <c r="I15" s="154" t="s">
        <v>683</v>
      </c>
      <c r="J15" s="35" t="str" cm="1">
        <f t="array" ref="J15">_xlfn.TEXTJOIN(","&amp;CHAR(10),,TEXT(Table26142567891112131617[[#This Row],[12]:[22]],"0,00%"))</f>
        <v>0,00%,
0,00%,
0,00%</v>
      </c>
      <c r="K15" s="26"/>
      <c r="L15" s="37" t="e">
        <f>H15-(H15*((MATCH(Table26142567891112131617[[#This Row],[Evaluators Response (SELECT)]],Table26142567891112131617[[#This Row],[1]:[11]],0)-1)/(COUNTA(Table26142567891112131617[[#This Row],[1]:[11]])-COUNTBLANK(Table26142567891112131617[[#This Row],[1]:[11]])-1)))</f>
        <v>#N/A</v>
      </c>
      <c r="M15" s="38"/>
      <c r="N15" s="29" t="str" cm="1">
        <f t="array" ref="N15">IFERROR(INDEX(_xlfn.UNIQUE(TRIM(_xlfn.TEXTSPLIT(Table26142567891112131617[[#This Row],[Selection Options]:[Selection Options]],","))),,N$11),"")</f>
        <v>100%: Fully comply with requirement</v>
      </c>
      <c r="O15" s="29" t="str" cm="1">
        <f t="array" ref="O15">IFERROR(INDEX(_xlfn.UNIQUE(TRIM(_xlfn.TEXTSPLIT(Table26142567891112131617[[#This Row],[Selection Options]:[Selection Options]],","))),,O$11),"")</f>
        <v xml:space="preserve">
50%: Partially compliant</v>
      </c>
      <c r="P15" s="29" t="str" cm="1">
        <f t="array" ref="P15">IFERROR(INDEX(_xlfn.UNIQUE(TRIM(_xlfn.TEXTSPLIT(Table26142567891112131617[[#This Row],[Selection Options]:[Selection Options]],","))),,P$11),"")</f>
        <v xml:space="preserve">
0%: No compliance</v>
      </c>
      <c r="Q15" s="29" t="str" cm="1">
        <f t="array" ref="Q15">IFERROR(INDEX(_xlfn.UNIQUE(TRIM(_xlfn.TEXTSPLIT(Table26142567891112131617[[#This Row],[Selection Options]:[Selection Options]],","))),,Q$11),"")</f>
        <v/>
      </c>
      <c r="R15" s="29" t="str" cm="1">
        <f t="array" ref="R15">IFERROR(INDEX(_xlfn.UNIQUE(TRIM(_xlfn.TEXTSPLIT(Table26142567891112131617[[#This Row],[Selection Options]:[Selection Options]],","))),,R$11),"")</f>
        <v/>
      </c>
      <c r="S15" s="29" t="str" cm="1">
        <f t="array" ref="S15">IFERROR(INDEX(_xlfn.UNIQUE(TRIM(_xlfn.TEXTSPLIT(Table26142567891112131617[[#This Row],[Selection Options]:[Selection Options]],","))),,S$11),"")</f>
        <v/>
      </c>
      <c r="T15" s="29" t="str" cm="1">
        <f t="array" ref="T15">IFERROR(INDEX(_xlfn.UNIQUE(TRIM(_xlfn.TEXTSPLIT(Table26142567891112131617[[#This Row],[Selection Options]:[Selection Options]],","))),,T$11),"")</f>
        <v/>
      </c>
      <c r="U15" s="29" t="str" cm="1">
        <f t="array" ref="U15">IFERROR(INDEX(_xlfn.UNIQUE(TRIM(_xlfn.TEXTSPLIT(Table26142567891112131617[[#This Row],[Selection Options]:[Selection Options]],","))),,U$11),"")</f>
        <v/>
      </c>
      <c r="V15" s="29" t="str" cm="1">
        <f t="array" ref="V15">IFERROR(INDEX(_xlfn.UNIQUE(TRIM(_xlfn.TEXTSPLIT(Table26142567891112131617[[#This Row],[Selection Options]:[Selection Options]],","))),,V$11),"")</f>
        <v/>
      </c>
      <c r="W15" s="29" t="str" cm="1">
        <f t="array" ref="W15">IFERROR(INDEX(_xlfn.UNIQUE(TRIM(_xlfn.TEXTSPLIT(Table26142567891112131617[[#This Row],[Selection Options]:[Selection Options]],","))),,W$11),"")</f>
        <v/>
      </c>
      <c r="X15" s="29" t="str" cm="1">
        <f t="array" ref="X15">IFERROR(INDEX(_xlfn.UNIQUE(TRIM(_xlfn.TEXTSPLIT(Table26142567891112131617[[#This Row],[Selection Options]:[Selection Options]],","))),,X$11),"")</f>
        <v/>
      </c>
      <c r="Y15" s="30" cm="1">
        <f t="array" ref="Y15">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15" s="30" cm="1">
        <f t="array" ref="Z15">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15" s="30" cm="1">
        <f t="array" ref="AA15">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5" s="30" t="str" cm="1">
        <f t="array" ref="AB15">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5" s="30" t="str" cm="1">
        <f t="array" ref="AC15">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5" s="30" t="str" cm="1">
        <f t="array" ref="AD15">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5" s="30" t="str" cm="1">
        <f t="array" ref="AE15">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5" s="30" t="str" cm="1">
        <f t="array" ref="AF15">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5" s="30" t="str" cm="1">
        <f t="array" ref="AG15">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5" s="30" t="str" cm="1">
        <f t="array" ref="AH15">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5" s="30" t="str" cm="1">
        <f t="array" ref="AI15">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6" spans="1:35" ht="48" x14ac:dyDescent="0.2">
      <c r="A16" s="20">
        <v>4</v>
      </c>
      <c r="B16" s="21" t="s">
        <v>686</v>
      </c>
      <c r="C16" s="21" t="s">
        <v>687</v>
      </c>
      <c r="D16" s="31"/>
      <c r="E16" s="31"/>
      <c r="F16" s="87" t="s">
        <v>188</v>
      </c>
      <c r="G16" s="155" cm="1">
        <f t="array" ref="G16">_xlfn.IFS(F16="","",F16="No interest",0,F16="Nice to have",1,F16="Useful",2,F16="Important",3,F16="Very important",4,F16="Critical",5,F16="Show stopper",6)</f>
        <v>5</v>
      </c>
      <c r="H16" s="156">
        <f t="shared" si="0"/>
        <v>1.1061946902654867E-3</v>
      </c>
      <c r="I16" s="157" t="s">
        <v>683</v>
      </c>
      <c r="J16" s="25" t="str" cm="1">
        <f t="array" ref="J16">_xlfn.TEXTJOIN(","&amp;CHAR(10),,TEXT(Table26142567891112131617[[#This Row],[12]:[22]],"0,00%"))</f>
        <v>0,00%,
0,00%,
0,00%</v>
      </c>
      <c r="K16" s="26"/>
      <c r="L16" s="27" t="e">
        <f>H16-(H16*((MATCH(Table26142567891112131617[[#This Row],[Evaluators Response (SELECT)]],Table26142567891112131617[[#This Row],[1]:[11]],0)-1)/(COUNTA(Table26142567891112131617[[#This Row],[1]:[11]])-COUNTBLANK(Table26142567891112131617[[#This Row],[1]:[11]])-1)))</f>
        <v>#N/A</v>
      </c>
      <c r="M16" s="28"/>
      <c r="N16" s="29" t="str" cm="1">
        <f t="array" ref="N16">IFERROR(INDEX(_xlfn.UNIQUE(TRIM(_xlfn.TEXTSPLIT(Table26142567891112131617[[#This Row],[Selection Options]:[Selection Options]],","))),,N$11),"")</f>
        <v>100%: Fully comply with requirement</v>
      </c>
      <c r="O16" s="29" t="str" cm="1">
        <f t="array" ref="O16">IFERROR(INDEX(_xlfn.UNIQUE(TRIM(_xlfn.TEXTSPLIT(Table26142567891112131617[[#This Row],[Selection Options]:[Selection Options]],","))),,O$11),"")</f>
        <v xml:space="preserve">
50%: Partially compliant</v>
      </c>
      <c r="P16" s="29" t="str" cm="1">
        <f t="array" ref="P16">IFERROR(INDEX(_xlfn.UNIQUE(TRIM(_xlfn.TEXTSPLIT(Table26142567891112131617[[#This Row],[Selection Options]:[Selection Options]],","))),,P$11),"")</f>
        <v xml:space="preserve">
0%: No compliance</v>
      </c>
      <c r="Q16" s="29" t="str" cm="1">
        <f t="array" ref="Q16">IFERROR(INDEX(_xlfn.UNIQUE(TRIM(_xlfn.TEXTSPLIT(Table26142567891112131617[[#This Row],[Selection Options]:[Selection Options]],","))),,Q$11),"")</f>
        <v/>
      </c>
      <c r="R16" s="29" t="str" cm="1">
        <f t="array" ref="R16">IFERROR(INDEX(_xlfn.UNIQUE(TRIM(_xlfn.TEXTSPLIT(Table26142567891112131617[[#This Row],[Selection Options]:[Selection Options]],","))),,R$11),"")</f>
        <v/>
      </c>
      <c r="S16" s="29" t="str" cm="1">
        <f t="array" ref="S16">IFERROR(INDEX(_xlfn.UNIQUE(TRIM(_xlfn.TEXTSPLIT(Table26142567891112131617[[#This Row],[Selection Options]:[Selection Options]],","))),,S$11),"")</f>
        <v/>
      </c>
      <c r="T16" s="29" t="str" cm="1">
        <f t="array" ref="T16">IFERROR(INDEX(_xlfn.UNIQUE(TRIM(_xlfn.TEXTSPLIT(Table26142567891112131617[[#This Row],[Selection Options]:[Selection Options]],","))),,T$11),"")</f>
        <v/>
      </c>
      <c r="U16" s="29" t="str" cm="1">
        <f t="array" ref="U16">IFERROR(INDEX(_xlfn.UNIQUE(TRIM(_xlfn.TEXTSPLIT(Table26142567891112131617[[#This Row],[Selection Options]:[Selection Options]],","))),,U$11),"")</f>
        <v/>
      </c>
      <c r="V16" s="29" t="str" cm="1">
        <f t="array" ref="V16">IFERROR(INDEX(_xlfn.UNIQUE(TRIM(_xlfn.TEXTSPLIT(Table26142567891112131617[[#This Row],[Selection Options]:[Selection Options]],","))),,V$11),"")</f>
        <v/>
      </c>
      <c r="W16" s="29" t="str" cm="1">
        <f t="array" ref="W16">IFERROR(INDEX(_xlfn.UNIQUE(TRIM(_xlfn.TEXTSPLIT(Table26142567891112131617[[#This Row],[Selection Options]:[Selection Options]],","))),,W$11),"")</f>
        <v/>
      </c>
      <c r="X16" s="29" t="str" cm="1">
        <f t="array" ref="X16">IFERROR(INDEX(_xlfn.UNIQUE(TRIM(_xlfn.TEXTSPLIT(Table26142567891112131617[[#This Row],[Selection Options]:[Selection Options]],","))),,X$11),"")</f>
        <v/>
      </c>
      <c r="Y16" s="30" cm="1">
        <f t="array" ref="Y16">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16" s="30" cm="1">
        <f t="array" ref="Z16">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16" s="30" cm="1">
        <f t="array" ref="AA16">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6" s="30" t="str" cm="1">
        <f t="array" ref="AB16">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6" s="30" t="str" cm="1">
        <f t="array" ref="AC16">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6" s="30" t="str" cm="1">
        <f t="array" ref="AD16">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6" s="30" t="str" cm="1">
        <f t="array" ref="AE16">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6" s="30" t="str" cm="1">
        <f t="array" ref="AF16">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6" s="30" t="str" cm="1">
        <f t="array" ref="AG16">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6" s="30" t="str" cm="1">
        <f t="array" ref="AH16">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6" s="30" t="str" cm="1">
        <f t="array" ref="AI16">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7" spans="1:35" ht="48" x14ac:dyDescent="0.2">
      <c r="A17" s="20">
        <v>5</v>
      </c>
      <c r="B17" s="21" t="s">
        <v>688</v>
      </c>
      <c r="C17" s="21" t="s">
        <v>689</v>
      </c>
      <c r="D17" s="31"/>
      <c r="E17" s="31"/>
      <c r="F17" s="87" t="s">
        <v>60</v>
      </c>
      <c r="G17" s="155" cm="1">
        <f t="array" ref="G17">_xlfn.IFS(F17="","",F17="No interest",0,F17="Nice to have",1,F17="Useful",2,F17="Important",3,F17="Very important",4,F17="Critical",5,F17="Show stopper",6)</f>
        <v>6</v>
      </c>
      <c r="H17" s="156">
        <f>(G17/$G$11)*$F$11</f>
        <v>1.3274336283185841E-3</v>
      </c>
      <c r="I17" s="157" t="s">
        <v>683</v>
      </c>
      <c r="J17" s="35" t="str" cm="1">
        <f t="array" ref="J17">_xlfn.TEXTJOIN(","&amp;CHAR(10),,TEXT(Table26142567891112131617[[#This Row],[12]:[22]],"0,00%"))</f>
        <v>0,00%,
0,00%,
0,00%</v>
      </c>
      <c r="K17" s="26"/>
      <c r="L17" s="27" t="e">
        <f>H17-(H17*((MATCH(Table26142567891112131617[[#This Row],[Evaluators Response (SELECT)]],Table26142567891112131617[[#This Row],[1]:[11]],0)-1)/(COUNTA(Table26142567891112131617[[#This Row],[1]:[11]])-COUNTBLANK(Table26142567891112131617[[#This Row],[1]:[11]])-1)))</f>
        <v>#N/A</v>
      </c>
      <c r="M17" s="28"/>
      <c r="N17" s="29" t="str" cm="1">
        <f t="array" ref="N17">IFERROR(INDEX(_xlfn.UNIQUE(TRIM(_xlfn.TEXTSPLIT(Table26142567891112131617[[#This Row],[Selection Options]:[Selection Options]],","))),,N$11),"")</f>
        <v>100%: Fully comply with requirement</v>
      </c>
      <c r="O17" s="29" t="str" cm="1">
        <f t="array" ref="O17">IFERROR(INDEX(_xlfn.UNIQUE(TRIM(_xlfn.TEXTSPLIT(Table26142567891112131617[[#This Row],[Selection Options]:[Selection Options]],","))),,O$11),"")</f>
        <v xml:space="preserve">
50%: Partially compliant</v>
      </c>
      <c r="P17" s="29" t="str" cm="1">
        <f t="array" ref="P17">IFERROR(INDEX(_xlfn.UNIQUE(TRIM(_xlfn.TEXTSPLIT(Table26142567891112131617[[#This Row],[Selection Options]:[Selection Options]],","))),,P$11),"")</f>
        <v xml:space="preserve">
0%: No compliance</v>
      </c>
      <c r="Q17" s="29" t="str" cm="1">
        <f t="array" ref="Q17">IFERROR(INDEX(_xlfn.UNIQUE(TRIM(_xlfn.TEXTSPLIT(Table26142567891112131617[[#This Row],[Selection Options]:[Selection Options]],","))),,Q$11),"")</f>
        <v/>
      </c>
      <c r="R17" s="29" t="str" cm="1">
        <f t="array" ref="R17">IFERROR(INDEX(_xlfn.UNIQUE(TRIM(_xlfn.TEXTSPLIT(Table26142567891112131617[[#This Row],[Selection Options]:[Selection Options]],","))),,R$11),"")</f>
        <v/>
      </c>
      <c r="S17" s="29" t="str" cm="1">
        <f t="array" ref="S17">IFERROR(INDEX(_xlfn.UNIQUE(TRIM(_xlfn.TEXTSPLIT(Table26142567891112131617[[#This Row],[Selection Options]:[Selection Options]],","))),,S$11),"")</f>
        <v/>
      </c>
      <c r="T17" s="29" t="str" cm="1">
        <f t="array" ref="T17">IFERROR(INDEX(_xlfn.UNIQUE(TRIM(_xlfn.TEXTSPLIT(Table26142567891112131617[[#This Row],[Selection Options]:[Selection Options]],","))),,T$11),"")</f>
        <v/>
      </c>
      <c r="U17" s="29" t="str" cm="1">
        <f t="array" ref="U17">IFERROR(INDEX(_xlfn.UNIQUE(TRIM(_xlfn.TEXTSPLIT(Table26142567891112131617[[#This Row],[Selection Options]:[Selection Options]],","))),,U$11),"")</f>
        <v/>
      </c>
      <c r="V17" s="29" t="str" cm="1">
        <f t="array" ref="V17">IFERROR(INDEX(_xlfn.UNIQUE(TRIM(_xlfn.TEXTSPLIT(Table26142567891112131617[[#This Row],[Selection Options]:[Selection Options]],","))),,V$11),"")</f>
        <v/>
      </c>
      <c r="W17" s="29" t="str" cm="1">
        <f t="array" ref="W17">IFERROR(INDEX(_xlfn.UNIQUE(TRIM(_xlfn.TEXTSPLIT(Table26142567891112131617[[#This Row],[Selection Options]:[Selection Options]],","))),,W$11),"")</f>
        <v/>
      </c>
      <c r="X17" s="29" t="str" cm="1">
        <f t="array" ref="X17">IFERROR(INDEX(_xlfn.UNIQUE(TRIM(_xlfn.TEXTSPLIT(Table26142567891112131617[[#This Row],[Selection Options]:[Selection Options]],","))),,X$11),"")</f>
        <v/>
      </c>
      <c r="Y17" s="30" cm="1">
        <f t="array" ref="Y17">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17" s="30" cm="1">
        <f t="array" ref="Z17">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17" s="30" cm="1">
        <f t="array" ref="AA17">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7" s="30" t="str" cm="1">
        <f t="array" ref="AB17">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7" s="30" t="str" cm="1">
        <f t="array" ref="AC17">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7" s="30" t="str" cm="1">
        <f t="array" ref="AD17">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7" s="30" t="str" cm="1">
        <f t="array" ref="AE17">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7" s="30" t="str" cm="1">
        <f t="array" ref="AF17">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7" s="30" t="str" cm="1">
        <f t="array" ref="AG17">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7" s="30" t="str" cm="1">
        <f t="array" ref="AH17">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7" s="30" t="str" cm="1">
        <f t="array" ref="AI17">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8" spans="1:35" ht="48" x14ac:dyDescent="0.2">
      <c r="A18" s="20">
        <v>6</v>
      </c>
      <c r="B18" s="21" t="s">
        <v>690</v>
      </c>
      <c r="C18" s="21" t="s">
        <v>691</v>
      </c>
      <c r="D18" s="31"/>
      <c r="E18" s="32"/>
      <c r="F18" s="159" t="s">
        <v>60</v>
      </c>
      <c r="G18" s="160" cm="1">
        <f t="array" ref="G18">_xlfn.IFS(F18="","",F18="No interest",0,F18="Nice to have",1,F18="Useful",2,F18="Important",3,F18="Very important",4,F18="Critical",5,F18="Show stopper",6)</f>
        <v>6</v>
      </c>
      <c r="H18" s="161">
        <f t="shared" ref="H18:H25" si="1">(G18/$G$11)*$F$11</f>
        <v>1.3274336283185841E-3</v>
      </c>
      <c r="I18" s="154" t="s">
        <v>683</v>
      </c>
      <c r="J18" s="35" t="str" cm="1">
        <f t="array" ref="J18">_xlfn.TEXTJOIN(","&amp;CHAR(10),,TEXT(Table26142567891112131617[[#This Row],[12]:[22]],"0,00%"))</f>
        <v>0,00%,
0,00%,
0,00%</v>
      </c>
      <c r="K18" s="26"/>
      <c r="L18" s="37" t="e">
        <f>H18-(H18*((MATCH(Table26142567891112131617[[#This Row],[Evaluators Response (SELECT)]],Table26142567891112131617[[#This Row],[1]:[11]],0)-1)/(COUNTA(Table26142567891112131617[[#This Row],[1]:[11]])-COUNTBLANK(Table26142567891112131617[[#This Row],[1]:[11]])-1)))</f>
        <v>#N/A</v>
      </c>
      <c r="M18" s="38"/>
      <c r="N18" s="29" t="str" cm="1">
        <f t="array" ref="N18">IFERROR(INDEX(_xlfn.UNIQUE(TRIM(_xlfn.TEXTSPLIT(Table26142567891112131617[[#This Row],[Selection Options]:[Selection Options]],","))),,N$11),"")</f>
        <v>100%: Fully comply with requirement</v>
      </c>
      <c r="O18" s="29" t="str" cm="1">
        <f t="array" ref="O18">IFERROR(INDEX(_xlfn.UNIQUE(TRIM(_xlfn.TEXTSPLIT(Table26142567891112131617[[#This Row],[Selection Options]:[Selection Options]],","))),,O$11),"")</f>
        <v xml:space="preserve">
50%: Partially compliant</v>
      </c>
      <c r="P18" s="29" t="str" cm="1">
        <f t="array" ref="P18">IFERROR(INDEX(_xlfn.UNIQUE(TRIM(_xlfn.TEXTSPLIT(Table26142567891112131617[[#This Row],[Selection Options]:[Selection Options]],","))),,P$11),"")</f>
        <v xml:space="preserve">
0%: No compliance</v>
      </c>
      <c r="Q18" s="29" t="str" cm="1">
        <f t="array" ref="Q18">IFERROR(INDEX(_xlfn.UNIQUE(TRIM(_xlfn.TEXTSPLIT(Table26142567891112131617[[#This Row],[Selection Options]:[Selection Options]],","))),,Q$11),"")</f>
        <v/>
      </c>
      <c r="R18" s="29" t="str" cm="1">
        <f t="array" ref="R18">IFERROR(INDEX(_xlfn.UNIQUE(TRIM(_xlfn.TEXTSPLIT(Table26142567891112131617[[#This Row],[Selection Options]:[Selection Options]],","))),,R$11),"")</f>
        <v/>
      </c>
      <c r="S18" s="29" t="str" cm="1">
        <f t="array" ref="S18">IFERROR(INDEX(_xlfn.UNIQUE(TRIM(_xlfn.TEXTSPLIT(Table26142567891112131617[[#This Row],[Selection Options]:[Selection Options]],","))),,S$11),"")</f>
        <v/>
      </c>
      <c r="T18" s="29" t="str" cm="1">
        <f t="array" ref="T18">IFERROR(INDEX(_xlfn.UNIQUE(TRIM(_xlfn.TEXTSPLIT(Table26142567891112131617[[#This Row],[Selection Options]:[Selection Options]],","))),,T$11),"")</f>
        <v/>
      </c>
      <c r="U18" s="29" t="str" cm="1">
        <f t="array" ref="U18">IFERROR(INDEX(_xlfn.UNIQUE(TRIM(_xlfn.TEXTSPLIT(Table26142567891112131617[[#This Row],[Selection Options]:[Selection Options]],","))),,U$11),"")</f>
        <v/>
      </c>
      <c r="V18" s="29" t="str" cm="1">
        <f t="array" ref="V18">IFERROR(INDEX(_xlfn.UNIQUE(TRIM(_xlfn.TEXTSPLIT(Table26142567891112131617[[#This Row],[Selection Options]:[Selection Options]],","))),,V$11),"")</f>
        <v/>
      </c>
      <c r="W18" s="29" t="str" cm="1">
        <f t="array" ref="W18">IFERROR(INDEX(_xlfn.UNIQUE(TRIM(_xlfn.TEXTSPLIT(Table26142567891112131617[[#This Row],[Selection Options]:[Selection Options]],","))),,W$11),"")</f>
        <v/>
      </c>
      <c r="X18" s="29" t="str" cm="1">
        <f t="array" ref="X18">IFERROR(INDEX(_xlfn.UNIQUE(TRIM(_xlfn.TEXTSPLIT(Table26142567891112131617[[#This Row],[Selection Options]:[Selection Options]],","))),,X$11),"")</f>
        <v/>
      </c>
      <c r="Y18" s="30" cm="1">
        <f t="array" ref="Y18">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18" s="30" cm="1">
        <f t="array" ref="Z18">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18" s="30" cm="1">
        <f t="array" ref="AA18">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8" s="30" t="str" cm="1">
        <f t="array" ref="AB18">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8" s="30" t="str" cm="1">
        <f t="array" ref="AC18">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8" s="30" t="str" cm="1">
        <f t="array" ref="AD18">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8" s="30" t="str" cm="1">
        <f t="array" ref="AE18">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8" s="30" t="str" cm="1">
        <f t="array" ref="AF18">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8" s="30" t="str" cm="1">
        <f t="array" ref="AG18">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8" s="30" t="str" cm="1">
        <f t="array" ref="AH18">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8" s="30" t="str" cm="1">
        <f t="array" ref="AI18">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19" spans="1:35" ht="48" x14ac:dyDescent="0.2">
      <c r="A19" s="20">
        <v>7</v>
      </c>
      <c r="B19" s="21" t="s">
        <v>692</v>
      </c>
      <c r="C19" s="21" t="s">
        <v>693</v>
      </c>
      <c r="D19" s="31"/>
      <c r="E19" s="32"/>
      <c r="F19" s="159" t="s">
        <v>60</v>
      </c>
      <c r="G19" s="160" cm="1">
        <f t="array" ref="G19">_xlfn.IFS(F19="","",F19="No interest",0,F19="Nice to have",1,F19="Useful",2,F19="Important",3,F19="Very important",4,F19="Critical",5,F19="Show stopper",6)</f>
        <v>6</v>
      </c>
      <c r="H19" s="161">
        <f t="shared" si="1"/>
        <v>1.3274336283185841E-3</v>
      </c>
      <c r="I19" s="154" t="s">
        <v>683</v>
      </c>
      <c r="J19" s="35" t="str" cm="1">
        <f t="array" ref="J19">_xlfn.TEXTJOIN(","&amp;CHAR(10),,TEXT(Table26142567891112131617[[#This Row],[12]:[22]],"0,00%"))</f>
        <v>0,00%,
0,00%,
0,00%</v>
      </c>
      <c r="K19" s="26"/>
      <c r="L19" s="37" t="e">
        <f>H19-(H19*((MATCH(Table26142567891112131617[[#This Row],[Evaluators Response (SELECT)]],Table26142567891112131617[[#This Row],[1]:[11]],0)-1)/(COUNTA(Table26142567891112131617[[#This Row],[1]:[11]])-COUNTBLANK(Table26142567891112131617[[#This Row],[1]:[11]])-1)))</f>
        <v>#N/A</v>
      </c>
      <c r="M19" s="38"/>
      <c r="N19" s="29" t="str" cm="1">
        <f t="array" ref="N19">IFERROR(INDEX(_xlfn.UNIQUE(TRIM(_xlfn.TEXTSPLIT(Table26142567891112131617[[#This Row],[Selection Options]:[Selection Options]],","))),,N$11),"")</f>
        <v>100%: Fully comply with requirement</v>
      </c>
      <c r="O19" s="29" t="str" cm="1">
        <f t="array" ref="O19">IFERROR(INDEX(_xlfn.UNIQUE(TRIM(_xlfn.TEXTSPLIT(Table26142567891112131617[[#This Row],[Selection Options]:[Selection Options]],","))),,O$11),"")</f>
        <v xml:space="preserve">
50%: Partially compliant</v>
      </c>
      <c r="P19" s="29" t="str" cm="1">
        <f t="array" ref="P19">IFERROR(INDEX(_xlfn.UNIQUE(TRIM(_xlfn.TEXTSPLIT(Table26142567891112131617[[#This Row],[Selection Options]:[Selection Options]],","))),,P$11),"")</f>
        <v xml:space="preserve">
0%: No compliance</v>
      </c>
      <c r="Q19" s="29" t="str" cm="1">
        <f t="array" ref="Q19">IFERROR(INDEX(_xlfn.UNIQUE(TRIM(_xlfn.TEXTSPLIT(Table26142567891112131617[[#This Row],[Selection Options]:[Selection Options]],","))),,Q$11),"")</f>
        <v/>
      </c>
      <c r="R19" s="29" t="str" cm="1">
        <f t="array" ref="R19">IFERROR(INDEX(_xlfn.UNIQUE(TRIM(_xlfn.TEXTSPLIT(Table26142567891112131617[[#This Row],[Selection Options]:[Selection Options]],","))),,R$11),"")</f>
        <v/>
      </c>
      <c r="S19" s="29" t="str" cm="1">
        <f t="array" ref="S19">IFERROR(INDEX(_xlfn.UNIQUE(TRIM(_xlfn.TEXTSPLIT(Table26142567891112131617[[#This Row],[Selection Options]:[Selection Options]],","))),,S$11),"")</f>
        <v/>
      </c>
      <c r="T19" s="29" t="str" cm="1">
        <f t="array" ref="T19">IFERROR(INDEX(_xlfn.UNIQUE(TRIM(_xlfn.TEXTSPLIT(Table26142567891112131617[[#This Row],[Selection Options]:[Selection Options]],","))),,T$11),"")</f>
        <v/>
      </c>
      <c r="U19" s="29" t="str" cm="1">
        <f t="array" ref="U19">IFERROR(INDEX(_xlfn.UNIQUE(TRIM(_xlfn.TEXTSPLIT(Table26142567891112131617[[#This Row],[Selection Options]:[Selection Options]],","))),,U$11),"")</f>
        <v/>
      </c>
      <c r="V19" s="29" t="str" cm="1">
        <f t="array" ref="V19">IFERROR(INDEX(_xlfn.UNIQUE(TRIM(_xlfn.TEXTSPLIT(Table26142567891112131617[[#This Row],[Selection Options]:[Selection Options]],","))),,V$11),"")</f>
        <v/>
      </c>
      <c r="W19" s="29" t="str" cm="1">
        <f t="array" ref="W19">IFERROR(INDEX(_xlfn.UNIQUE(TRIM(_xlfn.TEXTSPLIT(Table26142567891112131617[[#This Row],[Selection Options]:[Selection Options]],","))),,W$11),"")</f>
        <v/>
      </c>
      <c r="X19" s="29" t="str" cm="1">
        <f t="array" ref="X19">IFERROR(INDEX(_xlfn.UNIQUE(TRIM(_xlfn.TEXTSPLIT(Table26142567891112131617[[#This Row],[Selection Options]:[Selection Options]],","))),,X$11),"")</f>
        <v/>
      </c>
      <c r="Y19" s="30" cm="1">
        <f t="array" ref="Y19">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19" s="30" cm="1">
        <f t="array" ref="Z19">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19" s="30" cm="1">
        <f t="array" ref="AA19">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19" s="30" t="str" cm="1">
        <f t="array" ref="AB19">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19" s="30" t="str" cm="1">
        <f t="array" ref="AC19">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19" s="30" t="str" cm="1">
        <f t="array" ref="AD19">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19" s="30" t="str" cm="1">
        <f t="array" ref="AE19">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19" s="30" t="str" cm="1">
        <f t="array" ref="AF19">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19" s="30" t="str" cm="1">
        <f t="array" ref="AG19">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19" s="30" t="str" cm="1">
        <f t="array" ref="AH19">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19" s="30" t="str" cm="1">
        <f t="array" ref="AI19">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0" spans="1:35" ht="48" x14ac:dyDescent="0.2">
      <c r="A20" s="20">
        <v>8</v>
      </c>
      <c r="B20" s="21" t="s">
        <v>694</v>
      </c>
      <c r="C20" s="21" t="s">
        <v>693</v>
      </c>
      <c r="D20" s="31"/>
      <c r="E20" s="32"/>
      <c r="F20" s="159" t="s">
        <v>60</v>
      </c>
      <c r="G20" s="160" cm="1">
        <f t="array" ref="G20">_xlfn.IFS(F20="","",F20="No interest",0,F20="Nice to have",1,F20="Useful",2,F20="Important",3,F20="Very important",4,F20="Critical",5,F20="Show stopper",6)</f>
        <v>6</v>
      </c>
      <c r="H20" s="161">
        <f t="shared" si="1"/>
        <v>1.3274336283185841E-3</v>
      </c>
      <c r="I20" s="154" t="s">
        <v>683</v>
      </c>
      <c r="J20" s="35" t="str" cm="1">
        <f t="array" ref="J20">_xlfn.TEXTJOIN(","&amp;CHAR(10),,TEXT(Table26142567891112131617[[#This Row],[12]:[22]],"0,00%"))</f>
        <v>0,00%,
0,00%,
0,00%</v>
      </c>
      <c r="K20" s="26"/>
      <c r="L20" s="37" t="e">
        <f>H20-(H20*((MATCH(Table26142567891112131617[[#This Row],[Evaluators Response (SELECT)]],Table26142567891112131617[[#This Row],[1]:[11]],0)-1)/(COUNTA(Table26142567891112131617[[#This Row],[1]:[11]])-COUNTBLANK(Table26142567891112131617[[#This Row],[1]:[11]])-1)))</f>
        <v>#N/A</v>
      </c>
      <c r="M20" s="38"/>
      <c r="N20" s="29" t="str" cm="1">
        <f t="array" ref="N20">IFERROR(INDEX(_xlfn.UNIQUE(TRIM(_xlfn.TEXTSPLIT(Table26142567891112131617[[#This Row],[Selection Options]:[Selection Options]],","))),,N$11),"")</f>
        <v>100%: Fully comply with requirement</v>
      </c>
      <c r="O20" s="29" t="str" cm="1">
        <f t="array" ref="O20">IFERROR(INDEX(_xlfn.UNIQUE(TRIM(_xlfn.TEXTSPLIT(Table26142567891112131617[[#This Row],[Selection Options]:[Selection Options]],","))),,O$11),"")</f>
        <v xml:space="preserve">
50%: Partially compliant</v>
      </c>
      <c r="P20" s="29" t="str" cm="1">
        <f t="array" ref="P20">IFERROR(INDEX(_xlfn.UNIQUE(TRIM(_xlfn.TEXTSPLIT(Table26142567891112131617[[#This Row],[Selection Options]:[Selection Options]],","))),,P$11),"")</f>
        <v xml:space="preserve">
0%: No compliance</v>
      </c>
      <c r="Q20" s="29" t="str" cm="1">
        <f t="array" ref="Q20">IFERROR(INDEX(_xlfn.UNIQUE(TRIM(_xlfn.TEXTSPLIT(Table26142567891112131617[[#This Row],[Selection Options]:[Selection Options]],","))),,Q$11),"")</f>
        <v/>
      </c>
      <c r="R20" s="29" t="str" cm="1">
        <f t="array" ref="R20">IFERROR(INDEX(_xlfn.UNIQUE(TRIM(_xlfn.TEXTSPLIT(Table26142567891112131617[[#This Row],[Selection Options]:[Selection Options]],","))),,R$11),"")</f>
        <v/>
      </c>
      <c r="S20" s="29" t="str" cm="1">
        <f t="array" ref="S20">IFERROR(INDEX(_xlfn.UNIQUE(TRIM(_xlfn.TEXTSPLIT(Table26142567891112131617[[#This Row],[Selection Options]:[Selection Options]],","))),,S$11),"")</f>
        <v/>
      </c>
      <c r="T20" s="29" t="str" cm="1">
        <f t="array" ref="T20">IFERROR(INDEX(_xlfn.UNIQUE(TRIM(_xlfn.TEXTSPLIT(Table26142567891112131617[[#This Row],[Selection Options]:[Selection Options]],","))),,T$11),"")</f>
        <v/>
      </c>
      <c r="U20" s="29" t="str" cm="1">
        <f t="array" ref="U20">IFERROR(INDEX(_xlfn.UNIQUE(TRIM(_xlfn.TEXTSPLIT(Table26142567891112131617[[#This Row],[Selection Options]:[Selection Options]],","))),,U$11),"")</f>
        <v/>
      </c>
      <c r="V20" s="29" t="str" cm="1">
        <f t="array" ref="V20">IFERROR(INDEX(_xlfn.UNIQUE(TRIM(_xlfn.TEXTSPLIT(Table26142567891112131617[[#This Row],[Selection Options]:[Selection Options]],","))),,V$11),"")</f>
        <v/>
      </c>
      <c r="W20" s="29" t="str" cm="1">
        <f t="array" ref="W20">IFERROR(INDEX(_xlfn.UNIQUE(TRIM(_xlfn.TEXTSPLIT(Table26142567891112131617[[#This Row],[Selection Options]:[Selection Options]],","))),,W$11),"")</f>
        <v/>
      </c>
      <c r="X20" s="29" t="str" cm="1">
        <f t="array" ref="X20">IFERROR(INDEX(_xlfn.UNIQUE(TRIM(_xlfn.TEXTSPLIT(Table26142567891112131617[[#This Row],[Selection Options]:[Selection Options]],","))),,X$11),"")</f>
        <v/>
      </c>
      <c r="Y20" s="30" cm="1">
        <f t="array" ref="Y20">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20" s="30" cm="1">
        <f t="array" ref="Z20">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20" s="30" cm="1">
        <f t="array" ref="AA20">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0" s="30" t="str" cm="1">
        <f t="array" ref="AB20">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0" s="30" t="str" cm="1">
        <f t="array" ref="AC20">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0" s="30" t="str" cm="1">
        <f t="array" ref="AD20">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0" s="30" t="str" cm="1">
        <f t="array" ref="AE20">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0" s="30" t="str" cm="1">
        <f t="array" ref="AF20">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0" s="30" t="str" cm="1">
        <f t="array" ref="AG20">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0" s="30" t="str" cm="1">
        <f t="array" ref="AH20">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0" s="30" t="str" cm="1">
        <f t="array" ref="AI20">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1" spans="1:35" ht="60" x14ac:dyDescent="0.2">
      <c r="A21" s="20">
        <v>9</v>
      </c>
      <c r="B21" s="21" t="s">
        <v>695</v>
      </c>
      <c r="C21" s="21" t="s">
        <v>693</v>
      </c>
      <c r="D21" s="31"/>
      <c r="E21" s="31"/>
      <c r="F21" s="159" t="s">
        <v>188</v>
      </c>
      <c r="G21" s="155" cm="1">
        <f t="array" ref="G21">_xlfn.IFS(F21="","",F21="No interest",0,F21="Nice to have",1,F21="Useful",2,F21="Important",3,F21="Very important",4,F21="Critical",5,F21="Show stopper",6)</f>
        <v>5</v>
      </c>
      <c r="H21" s="156">
        <f t="shared" si="1"/>
        <v>1.1061946902654867E-3</v>
      </c>
      <c r="I21" s="154" t="s">
        <v>696</v>
      </c>
      <c r="J21" s="35" t="str" cm="1">
        <f t="array" ref="J21">_xlfn.TEXTJOIN(","&amp;CHAR(10),,TEXT(Table26142567891112131617[[#This Row],[12]:[22]],"0,00%"))</f>
        <v>0,00%,
0,00%,
0,00%</v>
      </c>
      <c r="K21" s="26"/>
      <c r="L21" s="27" t="e">
        <f>H21-(H21*((MATCH(Table26142567891112131617[[#This Row],[Evaluators Response (SELECT)]],Table26142567891112131617[[#This Row],[1]:[11]],0)-1)/(COUNTA(Table26142567891112131617[[#This Row],[1]:[11]])-COUNTBLANK(Table26142567891112131617[[#This Row],[1]:[11]])-1)))</f>
        <v>#N/A</v>
      </c>
      <c r="M21" s="28"/>
      <c r="N21" s="29" t="str" cm="1">
        <f t="array" ref="N21">IFERROR(INDEX(_xlfn.UNIQUE(TRIM(_xlfn.TEXTSPLIT(Table26142567891112131617[[#This Row],[Selection Options]:[Selection Options]],","))),,N$11),"")</f>
        <v>100%: Yes;1 or more testimonial with data at similar scale</v>
      </c>
      <c r="O21" s="29" t="str" cm="1">
        <f t="array" ref="O21">IFERROR(INDEX(_xlfn.UNIQUE(TRIM(_xlfn.TEXTSPLIT(Table26142567891112131617[[#This Row],[Selection Options]:[Selection Options]],","))),,O$11),"")</f>
        <v xml:space="preserve">
50%: Yes; no testimonial</v>
      </c>
      <c r="P21" s="29" t="str" cm="1">
        <f t="array" ref="P21">IFERROR(INDEX(_xlfn.UNIQUE(TRIM(_xlfn.TEXTSPLIT(Table26142567891112131617[[#This Row],[Selection Options]:[Selection Options]],","))),,P$11),"")</f>
        <v xml:space="preserve">
0%: No and no testimonial</v>
      </c>
      <c r="Q21" s="29" t="str" cm="1">
        <f t="array" ref="Q21">IFERROR(INDEX(_xlfn.UNIQUE(TRIM(_xlfn.TEXTSPLIT(Table26142567891112131617[[#This Row],[Selection Options]:[Selection Options]],","))),,Q$11),"")</f>
        <v/>
      </c>
      <c r="R21" s="29" t="str" cm="1">
        <f t="array" ref="R21">IFERROR(INDEX(_xlfn.UNIQUE(TRIM(_xlfn.TEXTSPLIT(Table26142567891112131617[[#This Row],[Selection Options]:[Selection Options]],","))),,R$11),"")</f>
        <v/>
      </c>
      <c r="S21" s="29" t="str" cm="1">
        <f t="array" ref="S21">IFERROR(INDEX(_xlfn.UNIQUE(TRIM(_xlfn.TEXTSPLIT(Table26142567891112131617[[#This Row],[Selection Options]:[Selection Options]],","))),,S$11),"")</f>
        <v/>
      </c>
      <c r="T21" s="29" t="str" cm="1">
        <f t="array" ref="T21">IFERROR(INDEX(_xlfn.UNIQUE(TRIM(_xlfn.TEXTSPLIT(Table26142567891112131617[[#This Row],[Selection Options]:[Selection Options]],","))),,T$11),"")</f>
        <v/>
      </c>
      <c r="U21" s="29" t="str" cm="1">
        <f t="array" ref="U21">IFERROR(INDEX(_xlfn.UNIQUE(TRIM(_xlfn.TEXTSPLIT(Table26142567891112131617[[#This Row],[Selection Options]:[Selection Options]],","))),,U$11),"")</f>
        <v/>
      </c>
      <c r="V21" s="29" t="str" cm="1">
        <f t="array" ref="V21">IFERROR(INDEX(_xlfn.UNIQUE(TRIM(_xlfn.TEXTSPLIT(Table26142567891112131617[[#This Row],[Selection Options]:[Selection Options]],","))),,V$11),"")</f>
        <v/>
      </c>
      <c r="W21" s="29" t="str" cm="1">
        <f t="array" ref="W21">IFERROR(INDEX(_xlfn.UNIQUE(TRIM(_xlfn.TEXTSPLIT(Table26142567891112131617[[#This Row],[Selection Options]:[Selection Options]],","))),,W$11),"")</f>
        <v/>
      </c>
      <c r="X21" s="29" t="str" cm="1">
        <f t="array" ref="X21">IFERROR(INDEX(_xlfn.UNIQUE(TRIM(_xlfn.TEXTSPLIT(Table26142567891112131617[[#This Row],[Selection Options]:[Selection Options]],","))),,X$11),"")</f>
        <v/>
      </c>
      <c r="Y21" s="30" cm="1">
        <f t="array" ref="Y21">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1" s="30" cm="1">
        <f t="array" ref="Z21">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1" s="30" cm="1">
        <f t="array" ref="AA21">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1" s="30" t="str" cm="1">
        <f t="array" ref="AB21">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1" s="30" t="str" cm="1">
        <f t="array" ref="AC21">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1" s="30" t="str" cm="1">
        <f t="array" ref="AD21">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1" s="30" t="str" cm="1">
        <f t="array" ref="AE21">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1" s="30" t="str" cm="1">
        <f t="array" ref="AF21">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1" s="30" t="str" cm="1">
        <f t="array" ref="AG21">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1" s="30" t="str" cm="1">
        <f t="array" ref="AH21">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1" s="30" t="str" cm="1">
        <f t="array" ref="AI21">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2" spans="1:35" ht="48" x14ac:dyDescent="0.2">
      <c r="A22" s="20">
        <v>10</v>
      </c>
      <c r="B22" s="21" t="s">
        <v>697</v>
      </c>
      <c r="C22" s="21" t="s">
        <v>693</v>
      </c>
      <c r="D22" s="31"/>
      <c r="E22" s="31"/>
      <c r="F22" s="159" t="s">
        <v>56</v>
      </c>
      <c r="G22" s="155" cm="1">
        <f t="array" ref="G22">_xlfn.IFS(F22="","",F22="No interest",0,F22="Nice to have",1,F22="Useful",2,F22="Important",3,F22="Very important",4,F22="Critical",5,F22="Show stopper",6)</f>
        <v>3</v>
      </c>
      <c r="H22" s="156">
        <f t="shared" si="1"/>
        <v>6.6371681415929203E-4</v>
      </c>
      <c r="I22" s="154" t="s">
        <v>683</v>
      </c>
      <c r="J22" s="35" t="str" cm="1">
        <f t="array" ref="J22">_xlfn.TEXTJOIN(","&amp;CHAR(10),,TEXT(Table26142567891112131617[[#This Row],[12]:[22]],"0,00%"))</f>
        <v>0,00%,
0,00%,
0,00%</v>
      </c>
      <c r="K22" s="26"/>
      <c r="L22" s="27" t="e">
        <f>H22-(H22*((MATCH(Table26142567891112131617[[#This Row],[Evaluators Response (SELECT)]],Table26142567891112131617[[#This Row],[1]:[11]],0)-1)/(COUNTA(Table26142567891112131617[[#This Row],[1]:[11]])-COUNTBLANK(Table26142567891112131617[[#This Row],[1]:[11]])-1)))</f>
        <v>#N/A</v>
      </c>
      <c r="M22" s="28"/>
      <c r="N22" s="29" t="str" cm="1">
        <f t="array" ref="N22">IFERROR(INDEX(_xlfn.UNIQUE(TRIM(_xlfn.TEXTSPLIT(Table26142567891112131617[[#This Row],[Selection Options]:[Selection Options]],","))),,N$11),"")</f>
        <v>100%: Fully comply with requirement</v>
      </c>
      <c r="O22" s="29" t="str" cm="1">
        <f t="array" ref="O22">IFERROR(INDEX(_xlfn.UNIQUE(TRIM(_xlfn.TEXTSPLIT(Table26142567891112131617[[#This Row],[Selection Options]:[Selection Options]],","))),,O$11),"")</f>
        <v xml:space="preserve">
50%: Partially compliant</v>
      </c>
      <c r="P22" s="29" t="str" cm="1">
        <f t="array" ref="P22">IFERROR(INDEX(_xlfn.UNIQUE(TRIM(_xlfn.TEXTSPLIT(Table26142567891112131617[[#This Row],[Selection Options]:[Selection Options]],","))),,P$11),"")</f>
        <v xml:space="preserve">
0%: No compliance</v>
      </c>
      <c r="Q22" s="29" t="str" cm="1">
        <f t="array" ref="Q22">IFERROR(INDEX(_xlfn.UNIQUE(TRIM(_xlfn.TEXTSPLIT(Table26142567891112131617[[#This Row],[Selection Options]:[Selection Options]],","))),,Q$11),"")</f>
        <v/>
      </c>
      <c r="R22" s="29" t="str" cm="1">
        <f t="array" ref="R22">IFERROR(INDEX(_xlfn.UNIQUE(TRIM(_xlfn.TEXTSPLIT(Table26142567891112131617[[#This Row],[Selection Options]:[Selection Options]],","))),,R$11),"")</f>
        <v/>
      </c>
      <c r="S22" s="29" t="str" cm="1">
        <f t="array" ref="S22">IFERROR(INDEX(_xlfn.UNIQUE(TRIM(_xlfn.TEXTSPLIT(Table26142567891112131617[[#This Row],[Selection Options]:[Selection Options]],","))),,S$11),"")</f>
        <v/>
      </c>
      <c r="T22" s="29" t="str" cm="1">
        <f t="array" ref="T22">IFERROR(INDEX(_xlfn.UNIQUE(TRIM(_xlfn.TEXTSPLIT(Table26142567891112131617[[#This Row],[Selection Options]:[Selection Options]],","))),,T$11),"")</f>
        <v/>
      </c>
      <c r="U22" s="29" t="str" cm="1">
        <f t="array" ref="U22">IFERROR(INDEX(_xlfn.UNIQUE(TRIM(_xlfn.TEXTSPLIT(Table26142567891112131617[[#This Row],[Selection Options]:[Selection Options]],","))),,U$11),"")</f>
        <v/>
      </c>
      <c r="V22" s="29" t="str" cm="1">
        <f t="array" ref="V22">IFERROR(INDEX(_xlfn.UNIQUE(TRIM(_xlfn.TEXTSPLIT(Table26142567891112131617[[#This Row],[Selection Options]:[Selection Options]],","))),,V$11),"")</f>
        <v/>
      </c>
      <c r="W22" s="29" t="str" cm="1">
        <f t="array" ref="W22">IFERROR(INDEX(_xlfn.UNIQUE(TRIM(_xlfn.TEXTSPLIT(Table26142567891112131617[[#This Row],[Selection Options]:[Selection Options]],","))),,W$11),"")</f>
        <v/>
      </c>
      <c r="X22" s="29" t="str" cm="1">
        <f t="array" ref="X22">IFERROR(INDEX(_xlfn.UNIQUE(TRIM(_xlfn.TEXTSPLIT(Table26142567891112131617[[#This Row],[Selection Options]:[Selection Options]],","))),,X$11),"")</f>
        <v/>
      </c>
      <c r="Y22" s="30" cm="1">
        <f t="array" ref="Y22">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6.6371681415929203E-4</v>
      </c>
      <c r="Z22" s="30" cm="1">
        <f t="array" ref="Z22">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3.3185840707964601E-4</v>
      </c>
      <c r="AA22" s="30" cm="1">
        <f t="array" ref="AA22">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2" s="30" t="str" cm="1">
        <f t="array" ref="AB22">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2" s="30" t="str" cm="1">
        <f t="array" ref="AC22">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2" s="30" t="str" cm="1">
        <f t="array" ref="AD22">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2" s="30" t="str" cm="1">
        <f t="array" ref="AE22">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2" s="30" t="str" cm="1">
        <f t="array" ref="AF22">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2" s="30" t="str" cm="1">
        <f t="array" ref="AG22">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2" s="30" t="str" cm="1">
        <f t="array" ref="AH22">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2" s="30" t="str" cm="1">
        <f t="array" ref="AI22">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3" spans="1:35" ht="36" x14ac:dyDescent="0.2">
      <c r="A23" s="20">
        <v>11</v>
      </c>
      <c r="B23" s="21" t="s">
        <v>698</v>
      </c>
      <c r="C23" s="21" t="s">
        <v>693</v>
      </c>
      <c r="D23" s="31"/>
      <c r="E23" s="31"/>
      <c r="F23" s="159" t="s">
        <v>60</v>
      </c>
      <c r="G23" s="155" cm="1">
        <f t="array" ref="G23">_xlfn.IFS(F23="","",F23="No interest",0,F23="Nice to have",1,F23="Useful",2,F23="Important",3,F23="Very important",4,F23="Critical",5,F23="Show stopper",6)</f>
        <v>6</v>
      </c>
      <c r="H23" s="156">
        <f t="shared" si="1"/>
        <v>1.3274336283185841E-3</v>
      </c>
      <c r="I23" s="154" t="s">
        <v>614</v>
      </c>
      <c r="J23" s="35" t="str" cm="1">
        <f t="array" ref="J23">_xlfn.TEXTJOIN(","&amp;CHAR(10),,TEXT(Table26142567891112131617[[#This Row],[12]:[22]],"0,00%"))</f>
        <v>0,00%,
0,00%</v>
      </c>
      <c r="K23" s="26"/>
      <c r="L23" s="27" t="e">
        <f>H23-(H23*((MATCH(Table26142567891112131617[[#This Row],[Evaluators Response (SELECT)]],Table26142567891112131617[[#This Row],[1]:[11]],0)-1)/(COUNTA(Table26142567891112131617[[#This Row],[1]:[11]])-COUNTBLANK(Table26142567891112131617[[#This Row],[1]:[11]])-1)))</f>
        <v>#N/A</v>
      </c>
      <c r="M23" s="28"/>
      <c r="N23" s="29" t="str" cm="1">
        <f t="array" ref="N23">IFERROR(INDEX(_xlfn.UNIQUE(TRIM(_xlfn.TEXTSPLIT(Table26142567891112131617[[#This Row],[Selection Options]:[Selection Options]],","))),,N$11),"")</f>
        <v>100%: Yes</v>
      </c>
      <c r="O23" s="29" t="str" cm="1">
        <f t="array" ref="O23">IFERROR(INDEX(_xlfn.UNIQUE(TRIM(_xlfn.TEXTSPLIT(Table26142567891112131617[[#This Row],[Selection Options]:[Selection Options]],","))),,O$11),"")</f>
        <v xml:space="preserve">
0%: No</v>
      </c>
      <c r="P23" s="29" t="str" cm="1">
        <f t="array" ref="P23">IFERROR(INDEX(_xlfn.UNIQUE(TRIM(_xlfn.TEXTSPLIT(Table26142567891112131617[[#This Row],[Selection Options]:[Selection Options]],","))),,P$11),"")</f>
        <v/>
      </c>
      <c r="Q23" s="29" t="str" cm="1">
        <f t="array" ref="Q23">IFERROR(INDEX(_xlfn.UNIQUE(TRIM(_xlfn.TEXTSPLIT(Table26142567891112131617[[#This Row],[Selection Options]:[Selection Options]],","))),,Q$11),"")</f>
        <v/>
      </c>
      <c r="R23" s="29" t="str" cm="1">
        <f t="array" ref="R23">IFERROR(INDEX(_xlfn.UNIQUE(TRIM(_xlfn.TEXTSPLIT(Table26142567891112131617[[#This Row],[Selection Options]:[Selection Options]],","))),,R$11),"")</f>
        <v/>
      </c>
      <c r="S23" s="29" t="str" cm="1">
        <f t="array" ref="S23">IFERROR(INDEX(_xlfn.UNIQUE(TRIM(_xlfn.TEXTSPLIT(Table26142567891112131617[[#This Row],[Selection Options]:[Selection Options]],","))),,S$11),"")</f>
        <v/>
      </c>
      <c r="T23" s="29" t="str" cm="1">
        <f t="array" ref="T23">IFERROR(INDEX(_xlfn.UNIQUE(TRIM(_xlfn.TEXTSPLIT(Table26142567891112131617[[#This Row],[Selection Options]:[Selection Options]],","))),,T$11),"")</f>
        <v/>
      </c>
      <c r="U23" s="29" t="str" cm="1">
        <f t="array" ref="U23">IFERROR(INDEX(_xlfn.UNIQUE(TRIM(_xlfn.TEXTSPLIT(Table26142567891112131617[[#This Row],[Selection Options]:[Selection Options]],","))),,U$11),"")</f>
        <v/>
      </c>
      <c r="V23" s="29" t="str" cm="1">
        <f t="array" ref="V23">IFERROR(INDEX(_xlfn.UNIQUE(TRIM(_xlfn.TEXTSPLIT(Table26142567891112131617[[#This Row],[Selection Options]:[Selection Options]],","))),,V$11),"")</f>
        <v/>
      </c>
      <c r="W23" s="29" t="str" cm="1">
        <f t="array" ref="W23">IFERROR(INDEX(_xlfn.UNIQUE(TRIM(_xlfn.TEXTSPLIT(Table26142567891112131617[[#This Row],[Selection Options]:[Selection Options]],","))),,W$11),"")</f>
        <v/>
      </c>
      <c r="X23" s="29" t="str" cm="1">
        <f t="array" ref="X23">IFERROR(INDEX(_xlfn.UNIQUE(TRIM(_xlfn.TEXTSPLIT(Table26142567891112131617[[#This Row],[Selection Options]:[Selection Options]],","))),,X$11),"")</f>
        <v/>
      </c>
      <c r="Y23" s="30" cm="1">
        <f t="array" ref="Y23">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23" s="30" cm="1">
        <f t="array" ref="Z23">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0</v>
      </c>
      <c r="AA23" s="30" t="str" cm="1">
        <f t="array" ref="AA23">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
      </c>
      <c r="AB23" s="30" t="str" cm="1">
        <f t="array" ref="AB23">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3" s="30" t="str" cm="1">
        <f t="array" ref="AC23">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3" s="30" t="str" cm="1">
        <f t="array" ref="AD23">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3" s="30" t="str" cm="1">
        <f t="array" ref="AE23">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3" s="30" t="str" cm="1">
        <f t="array" ref="AF23">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3" s="30" t="str" cm="1">
        <f t="array" ref="AG23">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3" s="30" t="str" cm="1">
        <f t="array" ref="AH23">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3" s="30" t="str" cm="1">
        <f t="array" ref="AI23">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4" spans="1:35" ht="48" x14ac:dyDescent="0.2">
      <c r="A24" s="20">
        <v>12</v>
      </c>
      <c r="B24" s="21" t="s">
        <v>699</v>
      </c>
      <c r="C24" s="21" t="s">
        <v>693</v>
      </c>
      <c r="D24" s="31"/>
      <c r="E24" s="31"/>
      <c r="F24" s="159" t="s">
        <v>188</v>
      </c>
      <c r="G24" s="155" cm="1">
        <f t="array" ref="G24">_xlfn.IFS(F24="","",F24="No interest",0,F24="Nice to have",1,F24="Useful",2,F24="Important",3,F24="Very important",4,F24="Critical",5,F24="Show stopper",6)</f>
        <v>5</v>
      </c>
      <c r="H24" s="156">
        <f t="shared" si="1"/>
        <v>1.1061946902654867E-3</v>
      </c>
      <c r="I24" s="154" t="s">
        <v>683</v>
      </c>
      <c r="J24" s="35" t="str" cm="1">
        <f t="array" ref="J24">_xlfn.TEXTJOIN(","&amp;CHAR(10),,TEXT(Table26142567891112131617[[#This Row],[12]:[22]],"0,00%"))</f>
        <v>0,00%,
0,00%,
0,00%</v>
      </c>
      <c r="K24" s="26"/>
      <c r="L24" s="27" t="e">
        <f>H24-(H24*((MATCH(Table26142567891112131617[[#This Row],[Evaluators Response (SELECT)]],Table26142567891112131617[[#This Row],[1]:[11]],0)-1)/(COUNTA(Table26142567891112131617[[#This Row],[1]:[11]])-COUNTBLANK(Table26142567891112131617[[#This Row],[1]:[11]])-1)))</f>
        <v>#N/A</v>
      </c>
      <c r="M24" s="28"/>
      <c r="N24" s="29" t="str" cm="1">
        <f t="array" ref="N24">IFERROR(INDEX(_xlfn.UNIQUE(TRIM(_xlfn.TEXTSPLIT(Table26142567891112131617[[#This Row],[Selection Options]:[Selection Options]],","))),,N$11),"")</f>
        <v>100%: Fully comply with requirement</v>
      </c>
      <c r="O24" s="29" t="str" cm="1">
        <f t="array" ref="O24">IFERROR(INDEX(_xlfn.UNIQUE(TRIM(_xlfn.TEXTSPLIT(Table26142567891112131617[[#This Row],[Selection Options]:[Selection Options]],","))),,O$11),"")</f>
        <v xml:space="preserve">
50%: Partially compliant</v>
      </c>
      <c r="P24" s="29" t="str" cm="1">
        <f t="array" ref="P24">IFERROR(INDEX(_xlfn.UNIQUE(TRIM(_xlfn.TEXTSPLIT(Table26142567891112131617[[#This Row],[Selection Options]:[Selection Options]],","))),,P$11),"")</f>
        <v xml:space="preserve">
0%: No compliance</v>
      </c>
      <c r="Q24" s="29" t="str" cm="1">
        <f t="array" ref="Q24">IFERROR(INDEX(_xlfn.UNIQUE(TRIM(_xlfn.TEXTSPLIT(Table26142567891112131617[[#This Row],[Selection Options]:[Selection Options]],","))),,Q$11),"")</f>
        <v/>
      </c>
      <c r="R24" s="29" t="str" cm="1">
        <f t="array" ref="R24">IFERROR(INDEX(_xlfn.UNIQUE(TRIM(_xlfn.TEXTSPLIT(Table26142567891112131617[[#This Row],[Selection Options]:[Selection Options]],","))),,R$11),"")</f>
        <v/>
      </c>
      <c r="S24" s="29" t="str" cm="1">
        <f t="array" ref="S24">IFERROR(INDEX(_xlfn.UNIQUE(TRIM(_xlfn.TEXTSPLIT(Table26142567891112131617[[#This Row],[Selection Options]:[Selection Options]],","))),,S$11),"")</f>
        <v/>
      </c>
      <c r="T24" s="29" t="str" cm="1">
        <f t="array" ref="T24">IFERROR(INDEX(_xlfn.UNIQUE(TRIM(_xlfn.TEXTSPLIT(Table26142567891112131617[[#This Row],[Selection Options]:[Selection Options]],","))),,T$11),"")</f>
        <v/>
      </c>
      <c r="U24" s="29" t="str" cm="1">
        <f t="array" ref="U24">IFERROR(INDEX(_xlfn.UNIQUE(TRIM(_xlfn.TEXTSPLIT(Table26142567891112131617[[#This Row],[Selection Options]:[Selection Options]],","))),,U$11),"")</f>
        <v/>
      </c>
      <c r="V24" s="29" t="str" cm="1">
        <f t="array" ref="V24">IFERROR(INDEX(_xlfn.UNIQUE(TRIM(_xlfn.TEXTSPLIT(Table26142567891112131617[[#This Row],[Selection Options]:[Selection Options]],","))),,V$11),"")</f>
        <v/>
      </c>
      <c r="W24" s="29" t="str" cm="1">
        <f t="array" ref="W24">IFERROR(INDEX(_xlfn.UNIQUE(TRIM(_xlfn.TEXTSPLIT(Table26142567891112131617[[#This Row],[Selection Options]:[Selection Options]],","))),,W$11),"")</f>
        <v/>
      </c>
      <c r="X24" s="29" t="str" cm="1">
        <f t="array" ref="X24">IFERROR(INDEX(_xlfn.UNIQUE(TRIM(_xlfn.TEXTSPLIT(Table26142567891112131617[[#This Row],[Selection Options]:[Selection Options]],","))),,X$11),"")</f>
        <v/>
      </c>
      <c r="Y24" s="30" cm="1">
        <f t="array" ref="Y24">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4" s="30" cm="1">
        <f t="array" ref="Z24">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4" s="30" cm="1">
        <f t="array" ref="AA24">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4" s="30" t="str" cm="1">
        <f t="array" ref="AB24">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4" s="30" t="str" cm="1">
        <f t="array" ref="AC24">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4" s="30" t="str" cm="1">
        <f t="array" ref="AD24">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4" s="30" t="str" cm="1">
        <f t="array" ref="AE24">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4" s="30" t="str" cm="1">
        <f t="array" ref="AF24">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4" s="30" t="str" cm="1">
        <f t="array" ref="AG24">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4" s="30" t="str" cm="1">
        <f t="array" ref="AH24">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4" s="30" t="str" cm="1">
        <f t="array" ref="AI24">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5" spans="1:35" ht="48" x14ac:dyDescent="0.2">
      <c r="A25" s="20">
        <v>13</v>
      </c>
      <c r="B25" s="21" t="s">
        <v>700</v>
      </c>
      <c r="C25" s="21" t="s">
        <v>693</v>
      </c>
      <c r="D25" s="31"/>
      <c r="E25" s="31"/>
      <c r="F25" s="159" t="s">
        <v>188</v>
      </c>
      <c r="G25" s="155" cm="1">
        <f t="array" ref="G25">_xlfn.IFS(F25="","",F25="No interest",0,F25="Nice to have",1,F25="Useful",2,F25="Important",3,F25="Very important",4,F25="Critical",5,F25="Show stopper",6)</f>
        <v>5</v>
      </c>
      <c r="H25" s="156">
        <f t="shared" si="1"/>
        <v>1.1061946902654867E-3</v>
      </c>
      <c r="I25" s="154" t="s">
        <v>683</v>
      </c>
      <c r="J25" s="35" t="str" cm="1">
        <f t="array" ref="J25">_xlfn.TEXTJOIN(","&amp;CHAR(10),,TEXT(Table26142567891112131617[[#This Row],[12]:[22]],"0,00%"))</f>
        <v>0,00%,
0,00%,
0,00%</v>
      </c>
      <c r="K25" s="26"/>
      <c r="L25" s="27" t="e">
        <f>H25-(H25*((MATCH(Table26142567891112131617[[#This Row],[Evaluators Response (SELECT)]],Table26142567891112131617[[#This Row],[1]:[11]],0)-1)/(COUNTA(Table26142567891112131617[[#This Row],[1]:[11]])-COUNTBLANK(Table26142567891112131617[[#This Row],[1]:[11]])-1)))</f>
        <v>#N/A</v>
      </c>
      <c r="M25" s="28"/>
      <c r="N25" s="29" t="str" cm="1">
        <f t="array" ref="N25">IFERROR(INDEX(_xlfn.UNIQUE(TRIM(_xlfn.TEXTSPLIT(Table26142567891112131617[[#This Row],[Selection Options]:[Selection Options]],","))),,N$11),"")</f>
        <v>100%: Fully comply with requirement</v>
      </c>
      <c r="O25" s="29" t="str" cm="1">
        <f t="array" ref="O25">IFERROR(INDEX(_xlfn.UNIQUE(TRIM(_xlfn.TEXTSPLIT(Table26142567891112131617[[#This Row],[Selection Options]:[Selection Options]],","))),,O$11),"")</f>
        <v xml:space="preserve">
50%: Partially compliant</v>
      </c>
      <c r="P25" s="29" t="str" cm="1">
        <f t="array" ref="P25">IFERROR(INDEX(_xlfn.UNIQUE(TRIM(_xlfn.TEXTSPLIT(Table26142567891112131617[[#This Row],[Selection Options]:[Selection Options]],","))),,P$11),"")</f>
        <v xml:space="preserve">
0%: No compliance</v>
      </c>
      <c r="Q25" s="29" t="str" cm="1">
        <f t="array" ref="Q25">IFERROR(INDEX(_xlfn.UNIQUE(TRIM(_xlfn.TEXTSPLIT(Table26142567891112131617[[#This Row],[Selection Options]:[Selection Options]],","))),,Q$11),"")</f>
        <v/>
      </c>
      <c r="R25" s="29" t="str" cm="1">
        <f t="array" ref="R25">IFERROR(INDEX(_xlfn.UNIQUE(TRIM(_xlfn.TEXTSPLIT(Table26142567891112131617[[#This Row],[Selection Options]:[Selection Options]],","))),,R$11),"")</f>
        <v/>
      </c>
      <c r="S25" s="29" t="str" cm="1">
        <f t="array" ref="S25">IFERROR(INDEX(_xlfn.UNIQUE(TRIM(_xlfn.TEXTSPLIT(Table26142567891112131617[[#This Row],[Selection Options]:[Selection Options]],","))),,S$11),"")</f>
        <v/>
      </c>
      <c r="T25" s="29" t="str" cm="1">
        <f t="array" ref="T25">IFERROR(INDEX(_xlfn.UNIQUE(TRIM(_xlfn.TEXTSPLIT(Table26142567891112131617[[#This Row],[Selection Options]:[Selection Options]],","))),,T$11),"")</f>
        <v/>
      </c>
      <c r="U25" s="29" t="str" cm="1">
        <f t="array" ref="U25">IFERROR(INDEX(_xlfn.UNIQUE(TRIM(_xlfn.TEXTSPLIT(Table26142567891112131617[[#This Row],[Selection Options]:[Selection Options]],","))),,U$11),"")</f>
        <v/>
      </c>
      <c r="V25" s="29" t="str" cm="1">
        <f t="array" ref="V25">IFERROR(INDEX(_xlfn.UNIQUE(TRIM(_xlfn.TEXTSPLIT(Table26142567891112131617[[#This Row],[Selection Options]:[Selection Options]],","))),,V$11),"")</f>
        <v/>
      </c>
      <c r="W25" s="29" t="str" cm="1">
        <f t="array" ref="W25">IFERROR(INDEX(_xlfn.UNIQUE(TRIM(_xlfn.TEXTSPLIT(Table26142567891112131617[[#This Row],[Selection Options]:[Selection Options]],","))),,W$11),"")</f>
        <v/>
      </c>
      <c r="X25" s="29" t="str" cm="1">
        <f t="array" ref="X25">IFERROR(INDEX(_xlfn.UNIQUE(TRIM(_xlfn.TEXTSPLIT(Table26142567891112131617[[#This Row],[Selection Options]:[Selection Options]],","))),,X$11),"")</f>
        <v/>
      </c>
      <c r="Y25" s="30" cm="1">
        <f t="array" ref="Y25">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5" s="30" cm="1">
        <f t="array" ref="Z25">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5" s="30" cm="1">
        <f t="array" ref="AA25">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5" s="30" t="str" cm="1">
        <f t="array" ref="AB25">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5" s="30" t="str" cm="1">
        <f t="array" ref="AC25">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5" s="30" t="str" cm="1">
        <f t="array" ref="AD25">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5" s="30" t="str" cm="1">
        <f t="array" ref="AE25">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5" s="30" t="str" cm="1">
        <f t="array" ref="AF25">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5" s="30" t="str" cm="1">
        <f t="array" ref="AG25">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5" s="30" t="str" cm="1">
        <f t="array" ref="AH25">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5" s="30" t="str" cm="1">
        <f t="array" ref="AI25">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6" spans="1:35" ht="48" x14ac:dyDescent="0.2">
      <c r="A26" s="20">
        <v>14</v>
      </c>
      <c r="B26" s="21" t="s">
        <v>701</v>
      </c>
      <c r="C26" s="21" t="s">
        <v>702</v>
      </c>
      <c r="D26" s="28"/>
      <c r="E26" s="28"/>
      <c r="F26" s="159" t="s">
        <v>188</v>
      </c>
      <c r="G26" s="155" cm="1">
        <f t="array" ref="G26">_xlfn.IFS(F26="","",F26="No interest",0,F26="Nice to have",1,F26="Useful",2,F26="Important",3,F26="Very important",4,F26="Critical",5,F26="Show stopper",6)</f>
        <v>5</v>
      </c>
      <c r="H26" s="156">
        <f t="shared" ref="H26:H35" si="2">(G26/$G$11)*$F$11</f>
        <v>1.1061946902654867E-3</v>
      </c>
      <c r="I26" s="154" t="s">
        <v>683</v>
      </c>
      <c r="J26" s="35" t="str" cm="1">
        <f t="array" ref="J26">_xlfn.TEXTJOIN(","&amp;CHAR(10),,TEXT(Table26142567891112131617[[#This Row],[12]:[22]],"0,00%"))</f>
        <v>0,00%,
0,00%,
0,00%</v>
      </c>
      <c r="K26" s="26"/>
      <c r="L26" s="27" t="e">
        <f>H26-(H26*((MATCH(Table26142567891112131617[[#This Row],[Evaluators Response (SELECT)]],Table26142567891112131617[[#This Row],[1]:[11]],0)-1)/(COUNTA(Table26142567891112131617[[#This Row],[1]:[11]])-COUNTBLANK(Table26142567891112131617[[#This Row],[1]:[11]])-1)))</f>
        <v>#N/A</v>
      </c>
      <c r="M26" s="28"/>
      <c r="N26" s="29" t="str" cm="1">
        <f t="array" ref="N26">IFERROR(INDEX(_xlfn.UNIQUE(TRIM(_xlfn.TEXTSPLIT(Table26142567891112131617[[#This Row],[Selection Options]:[Selection Options]],","))),,N$11),"")</f>
        <v>100%: Fully comply with requirement</v>
      </c>
      <c r="O26" s="29" t="str" cm="1">
        <f t="array" ref="O26">IFERROR(INDEX(_xlfn.UNIQUE(TRIM(_xlfn.TEXTSPLIT(Table26142567891112131617[[#This Row],[Selection Options]:[Selection Options]],","))),,O$11),"")</f>
        <v xml:space="preserve">
50%: Partially compliant</v>
      </c>
      <c r="P26" s="29" t="str" cm="1">
        <f t="array" ref="P26">IFERROR(INDEX(_xlfn.UNIQUE(TRIM(_xlfn.TEXTSPLIT(Table26142567891112131617[[#This Row],[Selection Options]:[Selection Options]],","))),,P$11),"")</f>
        <v xml:space="preserve">
0%: No compliance</v>
      </c>
      <c r="Q26" s="29" t="str" cm="1">
        <f t="array" ref="Q26">IFERROR(INDEX(_xlfn.UNIQUE(TRIM(_xlfn.TEXTSPLIT(Table26142567891112131617[[#This Row],[Selection Options]:[Selection Options]],","))),,Q$11),"")</f>
        <v/>
      </c>
      <c r="R26" s="29" t="str" cm="1">
        <f t="array" ref="R26">IFERROR(INDEX(_xlfn.UNIQUE(TRIM(_xlfn.TEXTSPLIT(Table26142567891112131617[[#This Row],[Selection Options]:[Selection Options]],","))),,R$11),"")</f>
        <v/>
      </c>
      <c r="S26" s="29" t="str" cm="1">
        <f t="array" ref="S26">IFERROR(INDEX(_xlfn.UNIQUE(TRIM(_xlfn.TEXTSPLIT(Table26142567891112131617[[#This Row],[Selection Options]:[Selection Options]],","))),,S$11),"")</f>
        <v/>
      </c>
      <c r="T26" s="29" t="str" cm="1">
        <f t="array" ref="T26">IFERROR(INDEX(_xlfn.UNIQUE(TRIM(_xlfn.TEXTSPLIT(Table26142567891112131617[[#This Row],[Selection Options]:[Selection Options]],","))),,T$11),"")</f>
        <v/>
      </c>
      <c r="U26" s="29" t="str" cm="1">
        <f t="array" ref="U26">IFERROR(INDEX(_xlfn.UNIQUE(TRIM(_xlfn.TEXTSPLIT(Table26142567891112131617[[#This Row],[Selection Options]:[Selection Options]],","))),,U$11),"")</f>
        <v/>
      </c>
      <c r="V26" s="29" t="str" cm="1">
        <f t="array" ref="V26">IFERROR(INDEX(_xlfn.UNIQUE(TRIM(_xlfn.TEXTSPLIT(Table26142567891112131617[[#This Row],[Selection Options]:[Selection Options]],","))),,V$11),"")</f>
        <v/>
      </c>
      <c r="W26" s="29" t="str" cm="1">
        <f t="array" ref="W26">IFERROR(INDEX(_xlfn.UNIQUE(TRIM(_xlfn.TEXTSPLIT(Table26142567891112131617[[#This Row],[Selection Options]:[Selection Options]],","))),,W$11),"")</f>
        <v/>
      </c>
      <c r="X26" s="29" t="str" cm="1">
        <f t="array" ref="X26">IFERROR(INDEX(_xlfn.UNIQUE(TRIM(_xlfn.TEXTSPLIT(Table26142567891112131617[[#This Row],[Selection Options]:[Selection Options]],","))),,X$11),"")</f>
        <v/>
      </c>
      <c r="Y26" s="30" cm="1">
        <f t="array" ref="Y26">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6" s="30" cm="1">
        <f t="array" ref="Z26">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6" s="30" cm="1">
        <f t="array" ref="AA26">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6" s="30" t="str" cm="1">
        <f t="array" ref="AB26">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6" s="30" t="str" cm="1">
        <f t="array" ref="AC26">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6" s="30" t="str" cm="1">
        <f t="array" ref="AD26">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6" s="30" t="str" cm="1">
        <f t="array" ref="AE26">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6" s="30" t="str" cm="1">
        <f t="array" ref="AF26">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6" s="30" t="str" cm="1">
        <f t="array" ref="AG26">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6" s="30" t="str" cm="1">
        <f t="array" ref="AH26">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6" s="30" t="str" cm="1">
        <f t="array" ref="AI26">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7" spans="1:35" ht="48" x14ac:dyDescent="0.2">
      <c r="A27" s="20">
        <v>15</v>
      </c>
      <c r="B27" s="21" t="s">
        <v>703</v>
      </c>
      <c r="C27" s="21" t="s">
        <v>693</v>
      </c>
      <c r="D27" s="28"/>
      <c r="E27" s="28"/>
      <c r="F27" s="159" t="s">
        <v>188</v>
      </c>
      <c r="G27" s="155" cm="1">
        <f t="array" ref="G27">_xlfn.IFS(F27="","",F27="No interest",0,F27="Nice to have",1,F27="Useful",2,F27="Important",3,F27="Very important",4,F27="Critical",5,F27="Show stopper",6)</f>
        <v>5</v>
      </c>
      <c r="H27" s="156">
        <f t="shared" si="2"/>
        <v>1.1061946902654867E-3</v>
      </c>
      <c r="I27" s="154" t="s">
        <v>683</v>
      </c>
      <c r="J27" s="35" t="str" cm="1">
        <f t="array" ref="J27">_xlfn.TEXTJOIN(","&amp;CHAR(10),,TEXT(Table26142567891112131617[[#This Row],[12]:[22]],"0,00%"))</f>
        <v>0,00%,
0,00%,
0,00%</v>
      </c>
      <c r="K27" s="26"/>
      <c r="L27" s="27" t="e">
        <f>H27-(H27*((MATCH(Table26142567891112131617[[#This Row],[Evaluators Response (SELECT)]],Table26142567891112131617[[#This Row],[1]:[11]],0)-1)/(COUNTA(Table26142567891112131617[[#This Row],[1]:[11]])-COUNTBLANK(Table26142567891112131617[[#This Row],[1]:[11]])-1)))</f>
        <v>#N/A</v>
      </c>
      <c r="M27" s="28"/>
      <c r="N27" s="29" t="str" cm="1">
        <f t="array" ref="N27">IFERROR(INDEX(_xlfn.UNIQUE(TRIM(_xlfn.TEXTSPLIT(Table26142567891112131617[[#This Row],[Selection Options]:[Selection Options]],","))),,N$11),"")</f>
        <v>100%: Fully comply with requirement</v>
      </c>
      <c r="O27" s="29" t="str" cm="1">
        <f t="array" ref="O27">IFERROR(INDEX(_xlfn.UNIQUE(TRIM(_xlfn.TEXTSPLIT(Table26142567891112131617[[#This Row],[Selection Options]:[Selection Options]],","))),,O$11),"")</f>
        <v xml:space="preserve">
50%: Partially compliant</v>
      </c>
      <c r="P27" s="29" t="str" cm="1">
        <f t="array" ref="P27">IFERROR(INDEX(_xlfn.UNIQUE(TRIM(_xlfn.TEXTSPLIT(Table26142567891112131617[[#This Row],[Selection Options]:[Selection Options]],","))),,P$11),"")</f>
        <v xml:space="preserve">
0%: No compliance</v>
      </c>
      <c r="Q27" s="29" t="str" cm="1">
        <f t="array" ref="Q27">IFERROR(INDEX(_xlfn.UNIQUE(TRIM(_xlfn.TEXTSPLIT(Table26142567891112131617[[#This Row],[Selection Options]:[Selection Options]],","))),,Q$11),"")</f>
        <v/>
      </c>
      <c r="R27" s="29" t="str" cm="1">
        <f t="array" ref="R27">IFERROR(INDEX(_xlfn.UNIQUE(TRIM(_xlfn.TEXTSPLIT(Table26142567891112131617[[#This Row],[Selection Options]:[Selection Options]],","))),,R$11),"")</f>
        <v/>
      </c>
      <c r="S27" s="29" t="str" cm="1">
        <f t="array" ref="S27">IFERROR(INDEX(_xlfn.UNIQUE(TRIM(_xlfn.TEXTSPLIT(Table26142567891112131617[[#This Row],[Selection Options]:[Selection Options]],","))),,S$11),"")</f>
        <v/>
      </c>
      <c r="T27" s="29" t="str" cm="1">
        <f t="array" ref="T27">IFERROR(INDEX(_xlfn.UNIQUE(TRIM(_xlfn.TEXTSPLIT(Table26142567891112131617[[#This Row],[Selection Options]:[Selection Options]],","))),,T$11),"")</f>
        <v/>
      </c>
      <c r="U27" s="29" t="str" cm="1">
        <f t="array" ref="U27">IFERROR(INDEX(_xlfn.UNIQUE(TRIM(_xlfn.TEXTSPLIT(Table26142567891112131617[[#This Row],[Selection Options]:[Selection Options]],","))),,U$11),"")</f>
        <v/>
      </c>
      <c r="V27" s="29" t="str" cm="1">
        <f t="array" ref="V27">IFERROR(INDEX(_xlfn.UNIQUE(TRIM(_xlfn.TEXTSPLIT(Table26142567891112131617[[#This Row],[Selection Options]:[Selection Options]],","))),,V$11),"")</f>
        <v/>
      </c>
      <c r="W27" s="29" t="str" cm="1">
        <f t="array" ref="W27">IFERROR(INDEX(_xlfn.UNIQUE(TRIM(_xlfn.TEXTSPLIT(Table26142567891112131617[[#This Row],[Selection Options]:[Selection Options]],","))),,W$11),"")</f>
        <v/>
      </c>
      <c r="X27" s="29" t="str" cm="1">
        <f t="array" ref="X27">IFERROR(INDEX(_xlfn.UNIQUE(TRIM(_xlfn.TEXTSPLIT(Table26142567891112131617[[#This Row],[Selection Options]:[Selection Options]],","))),,X$11),"")</f>
        <v/>
      </c>
      <c r="Y27" s="30" cm="1">
        <f t="array" ref="Y27">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7" s="30" cm="1">
        <f t="array" ref="Z27">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7" s="30" cm="1">
        <f t="array" ref="AA27">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7" s="30" t="str" cm="1">
        <f t="array" ref="AB27">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7" s="30" t="str" cm="1">
        <f t="array" ref="AC27">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7" s="30" t="str" cm="1">
        <f t="array" ref="AD27">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7" s="30" t="str" cm="1">
        <f t="array" ref="AE27">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7" s="30" t="str" cm="1">
        <f t="array" ref="AF27">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7" s="30" t="str" cm="1">
        <f t="array" ref="AG27">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7" s="30" t="str" cm="1">
        <f t="array" ref="AH27">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7" s="30" t="str" cm="1">
        <f t="array" ref="AI27">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8" spans="1:35" ht="48" x14ac:dyDescent="0.2">
      <c r="A28" s="20">
        <v>16</v>
      </c>
      <c r="B28" s="21" t="s">
        <v>704</v>
      </c>
      <c r="C28" s="21" t="s">
        <v>705</v>
      </c>
      <c r="D28" s="28"/>
      <c r="E28" s="28"/>
      <c r="F28" s="159" t="s">
        <v>188</v>
      </c>
      <c r="G28" s="155" cm="1">
        <f t="array" ref="G28">_xlfn.IFS(F28="","",F28="No interest",0,F28="Nice to have",1,F28="Useful",2,F28="Important",3,F28="Very important",4,F28="Critical",5,F28="Show stopper",6)</f>
        <v>5</v>
      </c>
      <c r="H28" s="156">
        <f t="shared" si="2"/>
        <v>1.1061946902654867E-3</v>
      </c>
      <c r="I28" s="154" t="s">
        <v>683</v>
      </c>
      <c r="J28" s="35" t="str" cm="1">
        <f t="array" ref="J28">_xlfn.TEXTJOIN(","&amp;CHAR(10),,TEXT(Table26142567891112131617[[#This Row],[12]:[22]],"0,00%"))</f>
        <v>0,00%,
0,00%,
0,00%</v>
      </c>
      <c r="K28" s="26"/>
      <c r="L28" s="27" t="e">
        <f>H28-(H28*((MATCH(Table26142567891112131617[[#This Row],[Evaluators Response (SELECT)]],Table26142567891112131617[[#This Row],[1]:[11]],0)-1)/(COUNTA(Table26142567891112131617[[#This Row],[1]:[11]])-COUNTBLANK(Table26142567891112131617[[#This Row],[1]:[11]])-1)))</f>
        <v>#N/A</v>
      </c>
      <c r="M28" s="28"/>
      <c r="N28" s="29" t="str" cm="1">
        <f t="array" ref="N28">IFERROR(INDEX(_xlfn.UNIQUE(TRIM(_xlfn.TEXTSPLIT(Table26142567891112131617[[#This Row],[Selection Options]:[Selection Options]],","))),,N$11),"")</f>
        <v>100%: Fully comply with requirement</v>
      </c>
      <c r="O28" s="29" t="str" cm="1">
        <f t="array" ref="O28">IFERROR(INDEX(_xlfn.UNIQUE(TRIM(_xlfn.TEXTSPLIT(Table26142567891112131617[[#This Row],[Selection Options]:[Selection Options]],","))),,O$11),"")</f>
        <v xml:space="preserve">
50%: Partially compliant</v>
      </c>
      <c r="P28" s="29" t="str" cm="1">
        <f t="array" ref="P28">IFERROR(INDEX(_xlfn.UNIQUE(TRIM(_xlfn.TEXTSPLIT(Table26142567891112131617[[#This Row],[Selection Options]:[Selection Options]],","))),,P$11),"")</f>
        <v xml:space="preserve">
0%: No compliance</v>
      </c>
      <c r="Q28" s="29" t="str" cm="1">
        <f t="array" ref="Q28">IFERROR(INDEX(_xlfn.UNIQUE(TRIM(_xlfn.TEXTSPLIT(Table26142567891112131617[[#This Row],[Selection Options]:[Selection Options]],","))),,Q$11),"")</f>
        <v/>
      </c>
      <c r="R28" s="29" t="str" cm="1">
        <f t="array" ref="R28">IFERROR(INDEX(_xlfn.UNIQUE(TRIM(_xlfn.TEXTSPLIT(Table26142567891112131617[[#This Row],[Selection Options]:[Selection Options]],","))),,R$11),"")</f>
        <v/>
      </c>
      <c r="S28" s="29" t="str" cm="1">
        <f t="array" ref="S28">IFERROR(INDEX(_xlfn.UNIQUE(TRIM(_xlfn.TEXTSPLIT(Table26142567891112131617[[#This Row],[Selection Options]:[Selection Options]],","))),,S$11),"")</f>
        <v/>
      </c>
      <c r="T28" s="29" t="str" cm="1">
        <f t="array" ref="T28">IFERROR(INDEX(_xlfn.UNIQUE(TRIM(_xlfn.TEXTSPLIT(Table26142567891112131617[[#This Row],[Selection Options]:[Selection Options]],","))),,T$11),"")</f>
        <v/>
      </c>
      <c r="U28" s="29" t="str" cm="1">
        <f t="array" ref="U28">IFERROR(INDEX(_xlfn.UNIQUE(TRIM(_xlfn.TEXTSPLIT(Table26142567891112131617[[#This Row],[Selection Options]:[Selection Options]],","))),,U$11),"")</f>
        <v/>
      </c>
      <c r="V28" s="29" t="str" cm="1">
        <f t="array" ref="V28">IFERROR(INDEX(_xlfn.UNIQUE(TRIM(_xlfn.TEXTSPLIT(Table26142567891112131617[[#This Row],[Selection Options]:[Selection Options]],","))),,V$11),"")</f>
        <v/>
      </c>
      <c r="W28" s="29" t="str" cm="1">
        <f t="array" ref="W28">IFERROR(INDEX(_xlfn.UNIQUE(TRIM(_xlfn.TEXTSPLIT(Table26142567891112131617[[#This Row],[Selection Options]:[Selection Options]],","))),,W$11),"")</f>
        <v/>
      </c>
      <c r="X28" s="29" t="str" cm="1">
        <f t="array" ref="X28">IFERROR(INDEX(_xlfn.UNIQUE(TRIM(_xlfn.TEXTSPLIT(Table26142567891112131617[[#This Row],[Selection Options]:[Selection Options]],","))),,X$11),"")</f>
        <v/>
      </c>
      <c r="Y28" s="30" cm="1">
        <f t="array" ref="Y28">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28" s="30" cm="1">
        <f t="array" ref="Z28">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28" s="30" cm="1">
        <f t="array" ref="AA28">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8" s="30" t="str" cm="1">
        <f t="array" ref="AB28">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8" s="30" t="str" cm="1">
        <f t="array" ref="AC28">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8" s="30" t="str" cm="1">
        <f t="array" ref="AD28">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8" s="30" t="str" cm="1">
        <f t="array" ref="AE28">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8" s="30" t="str" cm="1">
        <f t="array" ref="AF28">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8" s="30" t="str" cm="1">
        <f t="array" ref="AG28">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8" s="30" t="str" cm="1">
        <f t="array" ref="AH28">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8" s="30" t="str" cm="1">
        <f t="array" ref="AI28">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29" spans="1:35" ht="48" x14ac:dyDescent="0.2">
      <c r="A29" s="20">
        <v>17</v>
      </c>
      <c r="B29" s="21" t="s">
        <v>706</v>
      </c>
      <c r="C29" s="21" t="s">
        <v>707</v>
      </c>
      <c r="D29" s="28"/>
      <c r="E29" s="28"/>
      <c r="F29" s="159" t="s">
        <v>60</v>
      </c>
      <c r="G29" s="155" cm="1">
        <f t="array" ref="G29">_xlfn.IFS(F29="","",F29="No interest",0,F29="Nice to have",1,F29="Useful",2,F29="Important",3,F29="Very important",4,F29="Critical",5,F29="Show stopper",6)</f>
        <v>6</v>
      </c>
      <c r="H29" s="156">
        <f t="shared" si="2"/>
        <v>1.3274336283185841E-3</v>
      </c>
      <c r="I29" s="154" t="s">
        <v>683</v>
      </c>
      <c r="J29" s="35" t="str" cm="1">
        <f t="array" ref="J29">_xlfn.TEXTJOIN(","&amp;CHAR(10),,TEXT(Table26142567891112131617[[#This Row],[12]:[22]],"0,00%"))</f>
        <v>0,00%,
0,00%,
0,00%</v>
      </c>
      <c r="K29" s="26"/>
      <c r="L29" s="27" t="e">
        <f>H29-(H29*((MATCH(Table26142567891112131617[[#This Row],[Evaluators Response (SELECT)]],Table26142567891112131617[[#This Row],[1]:[11]],0)-1)/(COUNTA(Table26142567891112131617[[#This Row],[1]:[11]])-COUNTBLANK(Table26142567891112131617[[#This Row],[1]:[11]])-1)))</f>
        <v>#N/A</v>
      </c>
      <c r="M29" s="28"/>
      <c r="N29" s="29" t="str" cm="1">
        <f t="array" ref="N29">IFERROR(INDEX(_xlfn.UNIQUE(TRIM(_xlfn.TEXTSPLIT(Table26142567891112131617[[#This Row],[Selection Options]:[Selection Options]],","))),,N$11),"")</f>
        <v>100%: Fully comply with requirement</v>
      </c>
      <c r="O29" s="29" t="str" cm="1">
        <f t="array" ref="O29">IFERROR(INDEX(_xlfn.UNIQUE(TRIM(_xlfn.TEXTSPLIT(Table26142567891112131617[[#This Row],[Selection Options]:[Selection Options]],","))),,O$11),"")</f>
        <v xml:space="preserve">
50%: Partially compliant</v>
      </c>
      <c r="P29" s="29" t="str" cm="1">
        <f t="array" ref="P29">IFERROR(INDEX(_xlfn.UNIQUE(TRIM(_xlfn.TEXTSPLIT(Table26142567891112131617[[#This Row],[Selection Options]:[Selection Options]],","))),,P$11),"")</f>
        <v xml:space="preserve">
0%: No compliance</v>
      </c>
      <c r="Q29" s="29" t="str" cm="1">
        <f t="array" ref="Q29">IFERROR(INDEX(_xlfn.UNIQUE(TRIM(_xlfn.TEXTSPLIT(Table26142567891112131617[[#This Row],[Selection Options]:[Selection Options]],","))),,Q$11),"")</f>
        <v/>
      </c>
      <c r="R29" s="29" t="str" cm="1">
        <f t="array" ref="R29">IFERROR(INDEX(_xlfn.UNIQUE(TRIM(_xlfn.TEXTSPLIT(Table26142567891112131617[[#This Row],[Selection Options]:[Selection Options]],","))),,R$11),"")</f>
        <v/>
      </c>
      <c r="S29" s="29" t="str" cm="1">
        <f t="array" ref="S29">IFERROR(INDEX(_xlfn.UNIQUE(TRIM(_xlfn.TEXTSPLIT(Table26142567891112131617[[#This Row],[Selection Options]:[Selection Options]],","))),,S$11),"")</f>
        <v/>
      </c>
      <c r="T29" s="29" t="str" cm="1">
        <f t="array" ref="T29">IFERROR(INDEX(_xlfn.UNIQUE(TRIM(_xlfn.TEXTSPLIT(Table26142567891112131617[[#This Row],[Selection Options]:[Selection Options]],","))),,T$11),"")</f>
        <v/>
      </c>
      <c r="U29" s="29" t="str" cm="1">
        <f t="array" ref="U29">IFERROR(INDEX(_xlfn.UNIQUE(TRIM(_xlfn.TEXTSPLIT(Table26142567891112131617[[#This Row],[Selection Options]:[Selection Options]],","))),,U$11),"")</f>
        <v/>
      </c>
      <c r="V29" s="29" t="str" cm="1">
        <f t="array" ref="V29">IFERROR(INDEX(_xlfn.UNIQUE(TRIM(_xlfn.TEXTSPLIT(Table26142567891112131617[[#This Row],[Selection Options]:[Selection Options]],","))),,V$11),"")</f>
        <v/>
      </c>
      <c r="W29" s="29" t="str" cm="1">
        <f t="array" ref="W29">IFERROR(INDEX(_xlfn.UNIQUE(TRIM(_xlfn.TEXTSPLIT(Table26142567891112131617[[#This Row],[Selection Options]:[Selection Options]],","))),,W$11),"")</f>
        <v/>
      </c>
      <c r="X29" s="29" t="str" cm="1">
        <f t="array" ref="X29">IFERROR(INDEX(_xlfn.UNIQUE(TRIM(_xlfn.TEXTSPLIT(Table26142567891112131617[[#This Row],[Selection Options]:[Selection Options]],","))),,X$11),"")</f>
        <v/>
      </c>
      <c r="Y29" s="30" cm="1">
        <f t="array" ref="Y29">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1.3274336283185841E-3</v>
      </c>
      <c r="Z29" s="30" cm="1">
        <f t="array" ref="Z29">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6.6371681415929203E-4</v>
      </c>
      <c r="AA29" s="30" cm="1">
        <f t="array" ref="AA29">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29" s="30" t="str" cm="1">
        <f t="array" ref="AB29">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29" s="30" t="str" cm="1">
        <f t="array" ref="AC29">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29" s="30" t="str" cm="1">
        <f t="array" ref="AD29">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29" s="30" t="str" cm="1">
        <f t="array" ref="AE29">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29" s="30" t="str" cm="1">
        <f t="array" ref="AF29">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29" s="30" t="str" cm="1">
        <f t="array" ref="AG29">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29" s="30" t="str" cm="1">
        <f t="array" ref="AH29">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29" s="30" t="str" cm="1">
        <f t="array" ref="AI29">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0" spans="1:35" ht="48" x14ac:dyDescent="0.2">
      <c r="A30" s="20">
        <v>18</v>
      </c>
      <c r="B30" s="21" t="s">
        <v>708</v>
      </c>
      <c r="C30" s="21" t="s">
        <v>693</v>
      </c>
      <c r="D30" s="28"/>
      <c r="E30" s="28"/>
      <c r="F30" s="159" t="s">
        <v>183</v>
      </c>
      <c r="G30" s="155" cm="1">
        <f t="array" ref="G30">_xlfn.IFS(F30="","",F30="No interest",0,F30="Nice to have",1,F30="Useful",2,F30="Important",3,F30="Very important",4,F30="Critical",5,F30="Show stopper",6)</f>
        <v>4</v>
      </c>
      <c r="H30" s="156">
        <f t="shared" si="2"/>
        <v>8.8495575221238937E-4</v>
      </c>
      <c r="I30" s="154" t="s">
        <v>683</v>
      </c>
      <c r="J30" s="35" t="str" cm="1">
        <f t="array" ref="J30">_xlfn.TEXTJOIN(","&amp;CHAR(10),,TEXT(Table26142567891112131617[[#This Row],[12]:[22]],"0,00%"))</f>
        <v>0,00%,
0,00%,
0,00%</v>
      </c>
      <c r="K30" s="26"/>
      <c r="L30" s="27" t="e">
        <f>H30-(H30*((MATCH(Table26142567891112131617[[#This Row],[Evaluators Response (SELECT)]],Table26142567891112131617[[#This Row],[1]:[11]],0)-1)/(COUNTA(Table26142567891112131617[[#This Row],[1]:[11]])-COUNTBLANK(Table26142567891112131617[[#This Row],[1]:[11]])-1)))</f>
        <v>#N/A</v>
      </c>
      <c r="M30" s="28"/>
      <c r="N30" s="29" t="str" cm="1">
        <f t="array" ref="N30">IFERROR(INDEX(_xlfn.UNIQUE(TRIM(_xlfn.TEXTSPLIT(Table26142567891112131617[[#This Row],[Selection Options]:[Selection Options]],","))),,N$11),"")</f>
        <v>100%: Fully comply with requirement</v>
      </c>
      <c r="O30" s="29" t="str" cm="1">
        <f t="array" ref="O30">IFERROR(INDEX(_xlfn.UNIQUE(TRIM(_xlfn.TEXTSPLIT(Table26142567891112131617[[#This Row],[Selection Options]:[Selection Options]],","))),,O$11),"")</f>
        <v xml:space="preserve">
50%: Partially compliant</v>
      </c>
      <c r="P30" s="29" t="str" cm="1">
        <f t="array" ref="P30">IFERROR(INDEX(_xlfn.UNIQUE(TRIM(_xlfn.TEXTSPLIT(Table26142567891112131617[[#This Row],[Selection Options]:[Selection Options]],","))),,P$11),"")</f>
        <v xml:space="preserve">
0%: No compliance</v>
      </c>
      <c r="Q30" s="29" t="str" cm="1">
        <f t="array" ref="Q30">IFERROR(INDEX(_xlfn.UNIQUE(TRIM(_xlfn.TEXTSPLIT(Table26142567891112131617[[#This Row],[Selection Options]:[Selection Options]],","))),,Q$11),"")</f>
        <v/>
      </c>
      <c r="R30" s="29" t="str" cm="1">
        <f t="array" ref="R30">IFERROR(INDEX(_xlfn.UNIQUE(TRIM(_xlfn.TEXTSPLIT(Table26142567891112131617[[#This Row],[Selection Options]:[Selection Options]],","))),,R$11),"")</f>
        <v/>
      </c>
      <c r="S30" s="29" t="str" cm="1">
        <f t="array" ref="S30">IFERROR(INDEX(_xlfn.UNIQUE(TRIM(_xlfn.TEXTSPLIT(Table26142567891112131617[[#This Row],[Selection Options]:[Selection Options]],","))),,S$11),"")</f>
        <v/>
      </c>
      <c r="T30" s="29" t="str" cm="1">
        <f t="array" ref="T30">IFERROR(INDEX(_xlfn.UNIQUE(TRIM(_xlfn.TEXTSPLIT(Table26142567891112131617[[#This Row],[Selection Options]:[Selection Options]],","))),,T$11),"")</f>
        <v/>
      </c>
      <c r="U30" s="29" t="str" cm="1">
        <f t="array" ref="U30">IFERROR(INDEX(_xlfn.UNIQUE(TRIM(_xlfn.TEXTSPLIT(Table26142567891112131617[[#This Row],[Selection Options]:[Selection Options]],","))),,U$11),"")</f>
        <v/>
      </c>
      <c r="V30" s="29" t="str" cm="1">
        <f t="array" ref="V30">IFERROR(INDEX(_xlfn.UNIQUE(TRIM(_xlfn.TEXTSPLIT(Table26142567891112131617[[#This Row],[Selection Options]:[Selection Options]],","))),,V$11),"")</f>
        <v/>
      </c>
      <c r="W30" s="29" t="str" cm="1">
        <f t="array" ref="W30">IFERROR(INDEX(_xlfn.UNIQUE(TRIM(_xlfn.TEXTSPLIT(Table26142567891112131617[[#This Row],[Selection Options]:[Selection Options]],","))),,W$11),"")</f>
        <v/>
      </c>
      <c r="X30" s="29" t="str" cm="1">
        <f t="array" ref="X30">IFERROR(INDEX(_xlfn.UNIQUE(TRIM(_xlfn.TEXTSPLIT(Table26142567891112131617[[#This Row],[Selection Options]:[Selection Options]],","))),,X$11),"")</f>
        <v/>
      </c>
      <c r="Y30" s="30" cm="1">
        <f t="array" ref="Y30">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8.8495575221238937E-4</v>
      </c>
      <c r="Z30" s="30" cm="1">
        <f t="array" ref="Z30">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4.4247787610619468E-4</v>
      </c>
      <c r="AA30" s="30" cm="1">
        <f t="array" ref="AA30">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0" s="30" t="str" cm="1">
        <f t="array" ref="AB30">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0" s="30" t="str" cm="1">
        <f t="array" ref="AC30">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0" s="30" t="str" cm="1">
        <f t="array" ref="AD30">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0" s="30" t="str" cm="1">
        <f t="array" ref="AE30">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0" s="30" t="str" cm="1">
        <f t="array" ref="AF30">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0" s="30" t="str" cm="1">
        <f t="array" ref="AG30">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0" s="30" t="str" cm="1">
        <f t="array" ref="AH30">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0" s="30" t="str" cm="1">
        <f t="array" ref="AI30">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1" spans="1:35" ht="48" x14ac:dyDescent="0.2">
      <c r="A31" s="20">
        <v>19</v>
      </c>
      <c r="B31" s="21" t="s">
        <v>709</v>
      </c>
      <c r="C31" s="21" t="s">
        <v>710</v>
      </c>
      <c r="D31" s="28"/>
      <c r="E31" s="28"/>
      <c r="F31" s="159" t="s">
        <v>188</v>
      </c>
      <c r="G31" s="155" cm="1">
        <f t="array" ref="G31">_xlfn.IFS(F31="","",F31="No interest",0,F31="Nice to have",1,F31="Useful",2,F31="Important",3,F31="Very important",4,F31="Critical",5,F31="Show stopper",6)</f>
        <v>5</v>
      </c>
      <c r="H31" s="156">
        <f t="shared" si="2"/>
        <v>1.1061946902654867E-3</v>
      </c>
      <c r="I31" s="154" t="s">
        <v>683</v>
      </c>
      <c r="J31" s="35" t="str" cm="1">
        <f t="array" ref="J31">_xlfn.TEXTJOIN(","&amp;CHAR(10),,TEXT(Table26142567891112131617[[#This Row],[12]:[22]],"0,00%"))</f>
        <v>0,00%,
0,00%,
0,00%</v>
      </c>
      <c r="K31" s="26"/>
      <c r="L31" s="27" t="e">
        <f>H31-(H31*((MATCH(Table26142567891112131617[[#This Row],[Evaluators Response (SELECT)]],Table26142567891112131617[[#This Row],[1]:[11]],0)-1)/(COUNTA(Table26142567891112131617[[#This Row],[1]:[11]])-COUNTBLANK(Table26142567891112131617[[#This Row],[1]:[11]])-1)))</f>
        <v>#N/A</v>
      </c>
      <c r="M31" s="28"/>
      <c r="N31" s="29" t="str" cm="1">
        <f t="array" ref="N31">IFERROR(INDEX(_xlfn.UNIQUE(TRIM(_xlfn.TEXTSPLIT(Table26142567891112131617[[#This Row],[Selection Options]:[Selection Options]],","))),,N$11),"")</f>
        <v>100%: Fully comply with requirement</v>
      </c>
      <c r="O31" s="29" t="str" cm="1">
        <f t="array" ref="O31">IFERROR(INDEX(_xlfn.UNIQUE(TRIM(_xlfn.TEXTSPLIT(Table26142567891112131617[[#This Row],[Selection Options]:[Selection Options]],","))),,O$11),"")</f>
        <v xml:space="preserve">
50%: Partially compliant</v>
      </c>
      <c r="P31" s="29" t="str" cm="1">
        <f t="array" ref="P31">IFERROR(INDEX(_xlfn.UNIQUE(TRIM(_xlfn.TEXTSPLIT(Table26142567891112131617[[#This Row],[Selection Options]:[Selection Options]],","))),,P$11),"")</f>
        <v xml:space="preserve">
0%: No compliance</v>
      </c>
      <c r="Q31" s="29" t="str" cm="1">
        <f t="array" ref="Q31">IFERROR(INDEX(_xlfn.UNIQUE(TRIM(_xlfn.TEXTSPLIT(Table26142567891112131617[[#This Row],[Selection Options]:[Selection Options]],","))),,Q$11),"")</f>
        <v/>
      </c>
      <c r="R31" s="29" t="str" cm="1">
        <f t="array" ref="R31">IFERROR(INDEX(_xlfn.UNIQUE(TRIM(_xlfn.TEXTSPLIT(Table26142567891112131617[[#This Row],[Selection Options]:[Selection Options]],","))),,R$11),"")</f>
        <v/>
      </c>
      <c r="S31" s="29" t="str" cm="1">
        <f t="array" ref="S31">IFERROR(INDEX(_xlfn.UNIQUE(TRIM(_xlfn.TEXTSPLIT(Table26142567891112131617[[#This Row],[Selection Options]:[Selection Options]],","))),,S$11),"")</f>
        <v/>
      </c>
      <c r="T31" s="29" t="str" cm="1">
        <f t="array" ref="T31">IFERROR(INDEX(_xlfn.UNIQUE(TRIM(_xlfn.TEXTSPLIT(Table26142567891112131617[[#This Row],[Selection Options]:[Selection Options]],","))),,T$11),"")</f>
        <v/>
      </c>
      <c r="U31" s="29" t="str" cm="1">
        <f t="array" ref="U31">IFERROR(INDEX(_xlfn.UNIQUE(TRIM(_xlfn.TEXTSPLIT(Table26142567891112131617[[#This Row],[Selection Options]:[Selection Options]],","))),,U$11),"")</f>
        <v/>
      </c>
      <c r="V31" s="29" t="str" cm="1">
        <f t="array" ref="V31">IFERROR(INDEX(_xlfn.UNIQUE(TRIM(_xlfn.TEXTSPLIT(Table26142567891112131617[[#This Row],[Selection Options]:[Selection Options]],","))),,V$11),"")</f>
        <v/>
      </c>
      <c r="W31" s="29" t="str" cm="1">
        <f t="array" ref="W31">IFERROR(INDEX(_xlfn.UNIQUE(TRIM(_xlfn.TEXTSPLIT(Table26142567891112131617[[#This Row],[Selection Options]:[Selection Options]],","))),,W$11),"")</f>
        <v/>
      </c>
      <c r="X31" s="29" t="str" cm="1">
        <f t="array" ref="X31">IFERROR(INDEX(_xlfn.UNIQUE(TRIM(_xlfn.TEXTSPLIT(Table26142567891112131617[[#This Row],[Selection Options]:[Selection Options]],","))),,X$11),"")</f>
        <v/>
      </c>
      <c r="Y31" s="30" cm="1">
        <f t="array" ref="Y31">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31" s="30" cm="1">
        <f t="array" ref="Z31">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31" s="30" cm="1">
        <f t="array" ref="AA31">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1" s="30" t="str" cm="1">
        <f t="array" ref="AB31">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1" s="30" t="str" cm="1">
        <f t="array" ref="AC31">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1" s="30" t="str" cm="1">
        <f t="array" ref="AD31">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1" s="30" t="str" cm="1">
        <f t="array" ref="AE31">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1" s="30" t="str" cm="1">
        <f t="array" ref="AF31">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1" s="30" t="str" cm="1">
        <f t="array" ref="AG31">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1" s="30" t="str" cm="1">
        <f t="array" ref="AH31">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1" s="30" t="str" cm="1">
        <f t="array" ref="AI31">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2" spans="1:35" ht="48" x14ac:dyDescent="0.2">
      <c r="A32" s="20">
        <v>20</v>
      </c>
      <c r="B32" s="21" t="s">
        <v>711</v>
      </c>
      <c r="C32" s="162" t="s">
        <v>712</v>
      </c>
      <c r="D32" s="28"/>
      <c r="E32" s="28"/>
      <c r="F32" s="159" t="s">
        <v>183</v>
      </c>
      <c r="G32" s="155" cm="1">
        <f t="array" ref="G32">_xlfn.IFS(F32="","",F32="No interest",0,F32="Nice to have",1,F32="Useful",2,F32="Important",3,F32="Very important",4,F32="Critical",5,F32="Show stopper",6)</f>
        <v>4</v>
      </c>
      <c r="H32" s="156">
        <f t="shared" si="2"/>
        <v>8.8495575221238937E-4</v>
      </c>
      <c r="I32" s="154" t="s">
        <v>683</v>
      </c>
      <c r="J32" s="35" t="str" cm="1">
        <f t="array" ref="J32">_xlfn.TEXTJOIN(","&amp;CHAR(10),,TEXT(Table26142567891112131617[[#This Row],[12]:[22]],"0,00%"))</f>
        <v>0,00%,
0,00%,
0,00%</v>
      </c>
      <c r="K32" s="26"/>
      <c r="L32" s="27" t="e">
        <f>H32-(H32*((MATCH(Table26142567891112131617[[#This Row],[Evaluators Response (SELECT)]],Table26142567891112131617[[#This Row],[1]:[11]],0)-1)/(COUNTA(Table26142567891112131617[[#This Row],[1]:[11]])-COUNTBLANK(Table26142567891112131617[[#This Row],[1]:[11]])-1)))</f>
        <v>#N/A</v>
      </c>
      <c r="M32" s="28"/>
      <c r="N32" s="29" t="str" cm="1">
        <f t="array" ref="N32">IFERROR(INDEX(_xlfn.UNIQUE(TRIM(_xlfn.TEXTSPLIT(Table26142567891112131617[[#This Row],[Selection Options]:[Selection Options]],","))),,N$11),"")</f>
        <v>100%: Fully comply with requirement</v>
      </c>
      <c r="O32" s="29" t="str" cm="1">
        <f t="array" ref="O32">IFERROR(INDEX(_xlfn.UNIQUE(TRIM(_xlfn.TEXTSPLIT(Table26142567891112131617[[#This Row],[Selection Options]:[Selection Options]],","))),,O$11),"")</f>
        <v xml:space="preserve">
50%: Partially compliant</v>
      </c>
      <c r="P32" s="29" t="str" cm="1">
        <f t="array" ref="P32">IFERROR(INDEX(_xlfn.UNIQUE(TRIM(_xlfn.TEXTSPLIT(Table26142567891112131617[[#This Row],[Selection Options]:[Selection Options]],","))),,P$11),"")</f>
        <v xml:space="preserve">
0%: No compliance</v>
      </c>
      <c r="Q32" s="29" t="str" cm="1">
        <f t="array" ref="Q32">IFERROR(INDEX(_xlfn.UNIQUE(TRIM(_xlfn.TEXTSPLIT(Table26142567891112131617[[#This Row],[Selection Options]:[Selection Options]],","))),,Q$11),"")</f>
        <v/>
      </c>
      <c r="R32" s="29" t="str" cm="1">
        <f t="array" ref="R32">IFERROR(INDEX(_xlfn.UNIQUE(TRIM(_xlfn.TEXTSPLIT(Table26142567891112131617[[#This Row],[Selection Options]:[Selection Options]],","))),,R$11),"")</f>
        <v/>
      </c>
      <c r="S32" s="29" t="str" cm="1">
        <f t="array" ref="S32">IFERROR(INDEX(_xlfn.UNIQUE(TRIM(_xlfn.TEXTSPLIT(Table26142567891112131617[[#This Row],[Selection Options]:[Selection Options]],","))),,S$11),"")</f>
        <v/>
      </c>
      <c r="T32" s="29" t="str" cm="1">
        <f t="array" ref="T32">IFERROR(INDEX(_xlfn.UNIQUE(TRIM(_xlfn.TEXTSPLIT(Table26142567891112131617[[#This Row],[Selection Options]:[Selection Options]],","))),,T$11),"")</f>
        <v/>
      </c>
      <c r="U32" s="29" t="str" cm="1">
        <f t="array" ref="U32">IFERROR(INDEX(_xlfn.UNIQUE(TRIM(_xlfn.TEXTSPLIT(Table26142567891112131617[[#This Row],[Selection Options]:[Selection Options]],","))),,U$11),"")</f>
        <v/>
      </c>
      <c r="V32" s="29" t="str" cm="1">
        <f t="array" ref="V32">IFERROR(INDEX(_xlfn.UNIQUE(TRIM(_xlfn.TEXTSPLIT(Table26142567891112131617[[#This Row],[Selection Options]:[Selection Options]],","))),,V$11),"")</f>
        <v/>
      </c>
      <c r="W32" s="29" t="str" cm="1">
        <f t="array" ref="W32">IFERROR(INDEX(_xlfn.UNIQUE(TRIM(_xlfn.TEXTSPLIT(Table26142567891112131617[[#This Row],[Selection Options]:[Selection Options]],","))),,W$11),"")</f>
        <v/>
      </c>
      <c r="X32" s="29" t="str" cm="1">
        <f t="array" ref="X32">IFERROR(INDEX(_xlfn.UNIQUE(TRIM(_xlfn.TEXTSPLIT(Table26142567891112131617[[#This Row],[Selection Options]:[Selection Options]],","))),,X$11),"")</f>
        <v/>
      </c>
      <c r="Y32" s="30" cm="1">
        <f t="array" ref="Y32">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8.8495575221238937E-4</v>
      </c>
      <c r="Z32" s="30" cm="1">
        <f t="array" ref="Z32">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4.4247787610619468E-4</v>
      </c>
      <c r="AA32" s="30" cm="1">
        <f t="array" ref="AA32">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2" s="30" t="str" cm="1">
        <f t="array" ref="AB32">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2" s="30" t="str" cm="1">
        <f t="array" ref="AC32">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2" s="30" t="str" cm="1">
        <f t="array" ref="AD32">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2" s="30" t="str" cm="1">
        <f t="array" ref="AE32">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2" s="30" t="str" cm="1">
        <f t="array" ref="AF32">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2" s="30" t="str" cm="1">
        <f t="array" ref="AG32">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2" s="30" t="str" cm="1">
        <f t="array" ref="AH32">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2" s="30" t="str" cm="1">
        <f t="array" ref="AI32">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3" spans="1:35" ht="48" x14ac:dyDescent="0.2">
      <c r="A33" s="20">
        <v>21</v>
      </c>
      <c r="B33" s="21" t="s">
        <v>713</v>
      </c>
      <c r="C33" s="162" t="s">
        <v>714</v>
      </c>
      <c r="D33" s="28"/>
      <c r="E33" s="28"/>
      <c r="F33" s="159" t="s">
        <v>56</v>
      </c>
      <c r="G33" s="155" cm="1">
        <f t="array" ref="G33">_xlfn.IFS(F33="","",F33="No interest",0,F33="Nice to have",1,F33="Useful",2,F33="Important",3,F33="Very important",4,F33="Critical",5,F33="Show stopper",6)</f>
        <v>3</v>
      </c>
      <c r="H33" s="156">
        <f t="shared" si="2"/>
        <v>6.6371681415929203E-4</v>
      </c>
      <c r="I33" s="154" t="s">
        <v>683</v>
      </c>
      <c r="J33" s="35" t="str" cm="1">
        <f t="array" ref="J33">_xlfn.TEXTJOIN(","&amp;CHAR(10),,TEXT(Table26142567891112131617[[#This Row],[12]:[22]],"0,00%"))</f>
        <v>0,00%,
0,00%,
0,00%</v>
      </c>
      <c r="K33" s="26"/>
      <c r="L33" s="27" t="e">
        <f>H33-(H33*((MATCH(Table26142567891112131617[[#This Row],[Evaluators Response (SELECT)]],Table26142567891112131617[[#This Row],[1]:[11]],0)-1)/(COUNTA(Table26142567891112131617[[#This Row],[1]:[11]])-COUNTBLANK(Table26142567891112131617[[#This Row],[1]:[11]])-1)))</f>
        <v>#N/A</v>
      </c>
      <c r="M33" s="28"/>
      <c r="N33" s="29" t="str" cm="1">
        <f t="array" ref="N33">IFERROR(INDEX(_xlfn.UNIQUE(TRIM(_xlfn.TEXTSPLIT(Table26142567891112131617[[#This Row],[Selection Options]:[Selection Options]],","))),,N$11),"")</f>
        <v>100%: Fully comply with requirement</v>
      </c>
      <c r="O33" s="29" t="str" cm="1">
        <f t="array" ref="O33">IFERROR(INDEX(_xlfn.UNIQUE(TRIM(_xlfn.TEXTSPLIT(Table26142567891112131617[[#This Row],[Selection Options]:[Selection Options]],","))),,O$11),"")</f>
        <v xml:space="preserve">
50%: Partially compliant</v>
      </c>
      <c r="P33" s="29" t="str" cm="1">
        <f t="array" ref="P33">IFERROR(INDEX(_xlfn.UNIQUE(TRIM(_xlfn.TEXTSPLIT(Table26142567891112131617[[#This Row],[Selection Options]:[Selection Options]],","))),,P$11),"")</f>
        <v xml:space="preserve">
0%: No compliance</v>
      </c>
      <c r="Q33" s="29" t="str" cm="1">
        <f t="array" ref="Q33">IFERROR(INDEX(_xlfn.UNIQUE(TRIM(_xlfn.TEXTSPLIT(Table26142567891112131617[[#This Row],[Selection Options]:[Selection Options]],","))),,Q$11),"")</f>
        <v/>
      </c>
      <c r="R33" s="29" t="str" cm="1">
        <f t="array" ref="R33">IFERROR(INDEX(_xlfn.UNIQUE(TRIM(_xlfn.TEXTSPLIT(Table26142567891112131617[[#This Row],[Selection Options]:[Selection Options]],","))),,R$11),"")</f>
        <v/>
      </c>
      <c r="S33" s="29" t="str" cm="1">
        <f t="array" ref="S33">IFERROR(INDEX(_xlfn.UNIQUE(TRIM(_xlfn.TEXTSPLIT(Table26142567891112131617[[#This Row],[Selection Options]:[Selection Options]],","))),,S$11),"")</f>
        <v/>
      </c>
      <c r="T33" s="29" t="str" cm="1">
        <f t="array" ref="T33">IFERROR(INDEX(_xlfn.UNIQUE(TRIM(_xlfn.TEXTSPLIT(Table26142567891112131617[[#This Row],[Selection Options]:[Selection Options]],","))),,T$11),"")</f>
        <v/>
      </c>
      <c r="U33" s="29" t="str" cm="1">
        <f t="array" ref="U33">IFERROR(INDEX(_xlfn.UNIQUE(TRIM(_xlfn.TEXTSPLIT(Table26142567891112131617[[#This Row],[Selection Options]:[Selection Options]],","))),,U$11),"")</f>
        <v/>
      </c>
      <c r="V33" s="29" t="str" cm="1">
        <f t="array" ref="V33">IFERROR(INDEX(_xlfn.UNIQUE(TRIM(_xlfn.TEXTSPLIT(Table26142567891112131617[[#This Row],[Selection Options]:[Selection Options]],","))),,V$11),"")</f>
        <v/>
      </c>
      <c r="W33" s="29" t="str" cm="1">
        <f t="array" ref="W33">IFERROR(INDEX(_xlfn.UNIQUE(TRIM(_xlfn.TEXTSPLIT(Table26142567891112131617[[#This Row],[Selection Options]:[Selection Options]],","))),,W$11),"")</f>
        <v/>
      </c>
      <c r="X33" s="29" t="str" cm="1">
        <f t="array" ref="X33">IFERROR(INDEX(_xlfn.UNIQUE(TRIM(_xlfn.TEXTSPLIT(Table26142567891112131617[[#This Row],[Selection Options]:[Selection Options]],","))),,X$11),"")</f>
        <v/>
      </c>
      <c r="Y33" s="30" cm="1">
        <f t="array" ref="Y33">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6.6371681415929203E-4</v>
      </c>
      <c r="Z33" s="30" cm="1">
        <f t="array" ref="Z33">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3.3185840707964601E-4</v>
      </c>
      <c r="AA33" s="30" cm="1">
        <f t="array" ref="AA33">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3" s="30" t="str" cm="1">
        <f t="array" ref="AB33">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3" s="30" t="str" cm="1">
        <f t="array" ref="AC33">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3" s="30" t="str" cm="1">
        <f t="array" ref="AD33">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3" s="30" t="str" cm="1">
        <f t="array" ref="AE33">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3" s="30" t="str" cm="1">
        <f t="array" ref="AF33">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3" s="30" t="str" cm="1">
        <f t="array" ref="AG33">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3" s="30" t="str" cm="1">
        <f t="array" ref="AH33">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3" s="30" t="str" cm="1">
        <f t="array" ref="AI33">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4" spans="1:35" ht="48" x14ac:dyDescent="0.2">
      <c r="A34" s="20">
        <v>22</v>
      </c>
      <c r="B34" s="21" t="s">
        <v>715</v>
      </c>
      <c r="C34" s="21" t="s">
        <v>693</v>
      </c>
      <c r="D34" s="28"/>
      <c r="E34" s="28"/>
      <c r="F34" s="159" t="s">
        <v>256</v>
      </c>
      <c r="G34" s="155" cm="1">
        <f t="array" ref="G34">_xlfn.IFS(F34="","",F34="No interest",0,F34="Nice to have",1,F34="Useful",2,F34="Important",3,F34="Very important",4,F34="Critical",5,F34="Show stopper",6)</f>
        <v>2</v>
      </c>
      <c r="H34" s="156">
        <f t="shared" si="2"/>
        <v>4.4247787610619468E-4</v>
      </c>
      <c r="I34" s="154" t="s">
        <v>683</v>
      </c>
      <c r="J34" s="35" t="str" cm="1">
        <f t="array" ref="J34">_xlfn.TEXTJOIN(","&amp;CHAR(10),,TEXT(Table26142567891112131617[[#This Row],[12]:[22]],"0,00%"))</f>
        <v>0,00%,
0,00%,
0,00%</v>
      </c>
      <c r="K34" s="26"/>
      <c r="L34" s="27" t="e">
        <f>H34-(H34*((MATCH(Table26142567891112131617[[#This Row],[Evaluators Response (SELECT)]],Table26142567891112131617[[#This Row],[1]:[11]],0)-1)/(COUNTA(Table26142567891112131617[[#This Row],[1]:[11]])-COUNTBLANK(Table26142567891112131617[[#This Row],[1]:[11]])-1)))</f>
        <v>#N/A</v>
      </c>
      <c r="M34" s="28"/>
      <c r="N34" s="29" t="str" cm="1">
        <f t="array" ref="N34">IFERROR(INDEX(_xlfn.UNIQUE(TRIM(_xlfn.TEXTSPLIT(Table26142567891112131617[[#This Row],[Selection Options]:[Selection Options]],","))),,N$11),"")</f>
        <v>100%: Fully comply with requirement</v>
      </c>
      <c r="O34" s="29" t="str" cm="1">
        <f t="array" ref="O34">IFERROR(INDEX(_xlfn.UNIQUE(TRIM(_xlfn.TEXTSPLIT(Table26142567891112131617[[#This Row],[Selection Options]:[Selection Options]],","))),,O$11),"")</f>
        <v xml:space="preserve">
50%: Partially compliant</v>
      </c>
      <c r="P34" s="29" t="str" cm="1">
        <f t="array" ref="P34">IFERROR(INDEX(_xlfn.UNIQUE(TRIM(_xlfn.TEXTSPLIT(Table26142567891112131617[[#This Row],[Selection Options]:[Selection Options]],","))),,P$11),"")</f>
        <v xml:space="preserve">
0%: No compliance</v>
      </c>
      <c r="Q34" s="29" t="str" cm="1">
        <f t="array" ref="Q34">IFERROR(INDEX(_xlfn.UNIQUE(TRIM(_xlfn.TEXTSPLIT(Table26142567891112131617[[#This Row],[Selection Options]:[Selection Options]],","))),,Q$11),"")</f>
        <v/>
      </c>
      <c r="R34" s="29" t="str" cm="1">
        <f t="array" ref="R34">IFERROR(INDEX(_xlfn.UNIQUE(TRIM(_xlfn.TEXTSPLIT(Table26142567891112131617[[#This Row],[Selection Options]:[Selection Options]],","))),,R$11),"")</f>
        <v/>
      </c>
      <c r="S34" s="29" t="str" cm="1">
        <f t="array" ref="S34">IFERROR(INDEX(_xlfn.UNIQUE(TRIM(_xlfn.TEXTSPLIT(Table26142567891112131617[[#This Row],[Selection Options]:[Selection Options]],","))),,S$11),"")</f>
        <v/>
      </c>
      <c r="T34" s="29" t="str" cm="1">
        <f t="array" ref="T34">IFERROR(INDEX(_xlfn.UNIQUE(TRIM(_xlfn.TEXTSPLIT(Table26142567891112131617[[#This Row],[Selection Options]:[Selection Options]],","))),,T$11),"")</f>
        <v/>
      </c>
      <c r="U34" s="29" t="str" cm="1">
        <f t="array" ref="U34">IFERROR(INDEX(_xlfn.UNIQUE(TRIM(_xlfn.TEXTSPLIT(Table26142567891112131617[[#This Row],[Selection Options]:[Selection Options]],","))),,U$11),"")</f>
        <v/>
      </c>
      <c r="V34" s="29" t="str" cm="1">
        <f t="array" ref="V34">IFERROR(INDEX(_xlfn.UNIQUE(TRIM(_xlfn.TEXTSPLIT(Table26142567891112131617[[#This Row],[Selection Options]:[Selection Options]],","))),,V$11),"")</f>
        <v/>
      </c>
      <c r="W34" s="29" t="str" cm="1">
        <f t="array" ref="W34">IFERROR(INDEX(_xlfn.UNIQUE(TRIM(_xlfn.TEXTSPLIT(Table26142567891112131617[[#This Row],[Selection Options]:[Selection Options]],","))),,W$11),"")</f>
        <v/>
      </c>
      <c r="X34" s="29" t="str" cm="1">
        <f t="array" ref="X34">IFERROR(INDEX(_xlfn.UNIQUE(TRIM(_xlfn.TEXTSPLIT(Table26142567891112131617[[#This Row],[Selection Options]:[Selection Options]],","))),,X$11),"")</f>
        <v/>
      </c>
      <c r="Y34" s="30" cm="1">
        <f t="array" ref="Y34">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4.4247787610619468E-4</v>
      </c>
      <c r="Z34" s="30" cm="1">
        <f t="array" ref="Z34">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2.2123893805309734E-4</v>
      </c>
      <c r="AA34" s="30" cm="1">
        <f t="array" ref="AA34">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4" s="30" t="str" cm="1">
        <f t="array" ref="AB34">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4" s="30" t="str" cm="1">
        <f t="array" ref="AC34">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4" s="30" t="str" cm="1">
        <f t="array" ref="AD34">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4" s="30" t="str" cm="1">
        <f t="array" ref="AE34">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4" s="30" t="str" cm="1">
        <f t="array" ref="AF34">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4" s="30" t="str" cm="1">
        <f t="array" ref="AG34">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4" s="30" t="str" cm="1">
        <f t="array" ref="AH34">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4" s="30" t="str" cm="1">
        <f t="array" ref="AI34">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row r="35" spans="1:35" ht="48" x14ac:dyDescent="0.2">
      <c r="A35" s="20">
        <v>23</v>
      </c>
      <c r="B35" s="21" t="s">
        <v>716</v>
      </c>
      <c r="C35" s="141" t="s">
        <v>717</v>
      </c>
      <c r="D35" s="28"/>
      <c r="E35" s="28"/>
      <c r="F35" s="159" t="s">
        <v>188</v>
      </c>
      <c r="G35" s="155" cm="1">
        <f t="array" ref="G35">_xlfn.IFS(F35="","",F35="No interest",0,F35="Nice to have",1,F35="Useful",2,F35="Important",3,F35="Very important",4,F35="Critical",5,F35="Show stopper",6)</f>
        <v>5</v>
      </c>
      <c r="H35" s="156">
        <f t="shared" si="2"/>
        <v>1.1061946902654867E-3</v>
      </c>
      <c r="I35" s="154" t="s">
        <v>683</v>
      </c>
      <c r="J35" s="35" t="str" cm="1">
        <f t="array" ref="J35">_xlfn.TEXTJOIN(","&amp;CHAR(10),,TEXT(Table26142567891112131617[[#This Row],[12]:[22]],"0,00%"))</f>
        <v>0,00%,
0,00%,
0,00%</v>
      </c>
      <c r="K35" s="26"/>
      <c r="L35" s="27" t="e">
        <f>H35-(H35*((MATCH(Table26142567891112131617[[#This Row],[Evaluators Response (SELECT)]],Table26142567891112131617[[#This Row],[1]:[11]],0)-1)/(COUNTA(Table26142567891112131617[[#This Row],[1]:[11]])-COUNTBLANK(Table26142567891112131617[[#This Row],[1]:[11]])-1)))</f>
        <v>#N/A</v>
      </c>
      <c r="M35" s="28"/>
      <c r="N35" s="29" t="str" cm="1">
        <f t="array" ref="N35">IFERROR(INDEX(_xlfn.UNIQUE(TRIM(_xlfn.TEXTSPLIT(Table26142567891112131617[[#This Row],[Selection Options]:[Selection Options]],","))),,N$11),"")</f>
        <v>100%: Fully comply with requirement</v>
      </c>
      <c r="O35" s="29" t="str" cm="1">
        <f t="array" ref="O35">IFERROR(INDEX(_xlfn.UNIQUE(TRIM(_xlfn.TEXTSPLIT(Table26142567891112131617[[#This Row],[Selection Options]:[Selection Options]],","))),,O$11),"")</f>
        <v xml:space="preserve">
50%: Partially compliant</v>
      </c>
      <c r="P35" s="29" t="str" cm="1">
        <f t="array" ref="P35">IFERROR(INDEX(_xlfn.UNIQUE(TRIM(_xlfn.TEXTSPLIT(Table26142567891112131617[[#This Row],[Selection Options]:[Selection Options]],","))),,P$11),"")</f>
        <v xml:space="preserve">
0%: No compliance</v>
      </c>
      <c r="Q35" s="29" t="str" cm="1">
        <f t="array" ref="Q35">IFERROR(INDEX(_xlfn.UNIQUE(TRIM(_xlfn.TEXTSPLIT(Table26142567891112131617[[#This Row],[Selection Options]:[Selection Options]],","))),,Q$11),"")</f>
        <v/>
      </c>
      <c r="R35" s="29" t="str" cm="1">
        <f t="array" ref="R35">IFERROR(INDEX(_xlfn.UNIQUE(TRIM(_xlfn.TEXTSPLIT(Table26142567891112131617[[#This Row],[Selection Options]:[Selection Options]],","))),,R$11),"")</f>
        <v/>
      </c>
      <c r="S35" s="29" t="str" cm="1">
        <f t="array" ref="S35">IFERROR(INDEX(_xlfn.UNIQUE(TRIM(_xlfn.TEXTSPLIT(Table26142567891112131617[[#This Row],[Selection Options]:[Selection Options]],","))),,S$11),"")</f>
        <v/>
      </c>
      <c r="T35" s="29" t="str" cm="1">
        <f t="array" ref="T35">IFERROR(INDEX(_xlfn.UNIQUE(TRIM(_xlfn.TEXTSPLIT(Table26142567891112131617[[#This Row],[Selection Options]:[Selection Options]],","))),,T$11),"")</f>
        <v/>
      </c>
      <c r="U35" s="29" t="str" cm="1">
        <f t="array" ref="U35">IFERROR(INDEX(_xlfn.UNIQUE(TRIM(_xlfn.TEXTSPLIT(Table26142567891112131617[[#This Row],[Selection Options]:[Selection Options]],","))),,U$11),"")</f>
        <v/>
      </c>
      <c r="V35" s="29" t="str" cm="1">
        <f t="array" ref="V35">IFERROR(INDEX(_xlfn.UNIQUE(TRIM(_xlfn.TEXTSPLIT(Table26142567891112131617[[#This Row],[Selection Options]:[Selection Options]],","))),,V$11),"")</f>
        <v/>
      </c>
      <c r="W35" s="29" t="str" cm="1">
        <f t="array" ref="W35">IFERROR(INDEX(_xlfn.UNIQUE(TRIM(_xlfn.TEXTSPLIT(Table26142567891112131617[[#This Row],[Selection Options]:[Selection Options]],","))),,W$11),"")</f>
        <v/>
      </c>
      <c r="X35" s="29" t="str" cm="1">
        <f t="array" ref="X35">IFERROR(INDEX(_xlfn.UNIQUE(TRIM(_xlfn.TEXTSPLIT(Table26142567891112131617[[#This Row],[Selection Options]:[Selection Options]],","))),,X$11),"")</f>
        <v/>
      </c>
      <c r="Y35" s="30" cm="1">
        <f t="array" ref="Y35">IF(Table26142567891112131617[[#This Row],[1]]="","",Table26142567891112131617[[#This Row],[Weight]:[Weight]]-(Table26142567891112131617[[#This Row],[Weight]:[Weight]]*((_xlfn.XMATCH(Table26142567891112131617[[#This Row],[1]],Table26142567891112131617[[#This Row],[1]:[11]],0))-1)/(COUNTA(Table26142567891112131617[[#This Row],[1]:[11]])-COUNTBLANK(Table26142567891112131617[[#This Row],[1]:[11]])-1)))</f>
        <v>1.1061946902654867E-3</v>
      </c>
      <c r="Z35" s="30" cm="1">
        <f t="array" ref="Z35">IF(Table26142567891112131617[[#This Row],[2]]="","",Table26142567891112131617[[#This Row],[Weight]:[Weight]]-(Table26142567891112131617[[#This Row],[Weight]:[Weight]]*((_xlfn.XMATCH(Table26142567891112131617[[#This Row],[2]],Table26142567891112131617[[#This Row],[1]:[11]],0))-1)/(COUNTA(Table26142567891112131617[[#This Row],[1]:[11]])-COUNTBLANK(Table26142567891112131617[[#This Row],[1]:[11]])-1)))</f>
        <v>5.5309734513274336E-4</v>
      </c>
      <c r="AA35" s="30" cm="1">
        <f t="array" ref="AA35">IF(Table26142567891112131617[[#This Row],[3]]="","",Table26142567891112131617[[#This Row],[Weight]:[Weight]]-(Table26142567891112131617[[#This Row],[Weight]:[Weight]]*((_xlfn.XMATCH(Table26142567891112131617[[#This Row],[3]],Table26142567891112131617[[#This Row],[1]:[11]],0))-1)/(COUNTA(Table26142567891112131617[[#This Row],[1]:[11]])-COUNTBLANK(Table26142567891112131617[[#This Row],[1]:[11]])-1)))</f>
        <v>0</v>
      </c>
      <c r="AB35" s="30" t="str" cm="1">
        <f t="array" ref="AB35">IF(Table26142567891112131617[[#This Row],[4]]="","",Table26142567891112131617[[#This Row],[Weight]:[Weight]]-(Table26142567891112131617[[#This Row],[Weight]:[Weight]]*((_xlfn.XMATCH(Table26142567891112131617[[#This Row],[4]],Table26142567891112131617[[#This Row],[1]:[11]],0))-1)/(COUNTA(Table26142567891112131617[[#This Row],[1]:[11]])-COUNTBLANK(Table26142567891112131617[[#This Row],[1]:[11]])-1)))</f>
        <v/>
      </c>
      <c r="AC35" s="30" t="str" cm="1">
        <f t="array" ref="AC35">IF(Table26142567891112131617[[#This Row],[5]]="","",Table26142567891112131617[[#This Row],[Weight]:[Weight]]-(Table26142567891112131617[[#This Row],[Weight]:[Weight]]*((_xlfn.XMATCH(Table26142567891112131617[[#This Row],[5]],Table26142567891112131617[[#This Row],[1]:[11]],0))-1)/(COUNTA(Table26142567891112131617[[#This Row],[1]:[11]])-COUNTBLANK(Table26142567891112131617[[#This Row],[1]:[11]])-1)))</f>
        <v/>
      </c>
      <c r="AD35" s="30" t="str" cm="1">
        <f t="array" ref="AD35">IF(Table26142567891112131617[[#This Row],[6]]="","",Table26142567891112131617[[#This Row],[Weight]:[Weight]]-(Table26142567891112131617[[#This Row],[Weight]:[Weight]]*((_xlfn.XMATCH(Table26142567891112131617[[#This Row],[6]],Table26142567891112131617[[#This Row],[1]:[11]],0))-1)/(COUNTA(Table26142567891112131617[[#This Row],[1]:[11]])-COUNTBLANK(Table26142567891112131617[[#This Row],[1]:[11]])-1)))</f>
        <v/>
      </c>
      <c r="AE35" s="30" t="str" cm="1">
        <f t="array" ref="AE35">IF(Table26142567891112131617[[#This Row],[7]]="","",Table26142567891112131617[[#This Row],[Weight]:[Weight]]-(Table26142567891112131617[[#This Row],[Weight]:[Weight]]*((_xlfn.XMATCH(Table26142567891112131617[[#This Row],[7]],Table26142567891112131617[[#This Row],[1]:[11]],0))-1)/(COUNTA(Table26142567891112131617[[#This Row],[1]:[11]])-COUNTBLANK(Table26142567891112131617[[#This Row],[1]:[11]])-1)))</f>
        <v/>
      </c>
      <c r="AF35" s="30" t="str" cm="1">
        <f t="array" ref="AF35">IF(Table26142567891112131617[[#This Row],[8]]="","",Table26142567891112131617[[#This Row],[Weight]:[Weight]]-(Table26142567891112131617[[#This Row],[Weight]:[Weight]]*((_xlfn.XMATCH(Table26142567891112131617[[#This Row],[8]],Table26142567891112131617[[#This Row],[1]:[11]],0))-1)/(COUNTA(Table26142567891112131617[[#This Row],[1]:[11]])-COUNTBLANK(Table26142567891112131617[[#This Row],[1]:[11]])-1)))</f>
        <v/>
      </c>
      <c r="AG35" s="30" t="str" cm="1">
        <f t="array" ref="AG35">IF(Table26142567891112131617[[#This Row],[9]]="","",Table26142567891112131617[[#This Row],[Weight]:[Weight]]-(Table26142567891112131617[[#This Row],[Weight]:[Weight]]*((_xlfn.XMATCH(Table26142567891112131617[[#This Row],[9]],Table26142567891112131617[[#This Row],[1]:[11]],0))-1)/(COUNTA(Table26142567891112131617[[#This Row],[1]:[11]])-COUNTBLANK(Table26142567891112131617[[#This Row],[1]:[11]])-1)))</f>
        <v/>
      </c>
      <c r="AH35" s="30" t="str" cm="1">
        <f t="array" ref="AH35">IF(Table26142567891112131617[[#This Row],[10]]="","",Table26142567891112131617[[#This Row],[Weight]:[Weight]]-(Table26142567891112131617[[#This Row],[Weight]:[Weight]]*((_xlfn.XMATCH(Table26142567891112131617[[#This Row],[10]],Table26142567891112131617[[#This Row],[1]:[11]],0))-1)/(COUNTA(Table26142567891112131617[[#This Row],[1]:[11]])-COUNTBLANK(Table26142567891112131617[[#This Row],[1]:[11]])-1)))</f>
        <v/>
      </c>
      <c r="AI35" s="30" t="str" cm="1">
        <f t="array" ref="AI35">IF(Table26142567891112131617[[#This Row],[11]]="","",Table26142567891112131617[[#This Row],[Weight]:[Weight]]-(Table26142567891112131617[[#This Row],[Weight]:[Weight]]*((_xlfn.XMATCH(Table26142567891112131617[[#This Row],[11]],Table26142567891112131617[[#This Row],[1]:[11]],0))-1)/(COUNTA(Table26142567891112131617[[#This Row],[1]:[11]])-COUNTBLANK(Table26142567891112131617[[#This Row],[1]:[11]])-1)))</f>
        <v/>
      </c>
    </row>
  </sheetData>
  <sheetProtection insertRows="0" insertHyperlinks="0" deleteRows="0" autoFilter="0"/>
  <mergeCells count="4">
    <mergeCell ref="E2:F3"/>
    <mergeCell ref="A10:A11"/>
    <mergeCell ref="B10:C11"/>
    <mergeCell ref="D10:E11"/>
  </mergeCells>
  <conditionalFormatting sqref="K13:K35">
    <cfRule type="expression" dxfId="122" priority="1">
      <formula>COUNTIF(N13:X13,K13)&lt;&gt;1</formula>
    </cfRule>
  </conditionalFormatting>
  <dataValidations count="4">
    <dataValidation type="list" allowBlank="1" showInputMessage="1" showErrorMessage="1" sqref="K13:K35" xr:uid="{013FBB0E-F51A-4C12-A7C8-05F339AA1FB9}">
      <formula1>$N13:$X13</formula1>
    </dataValidation>
    <dataValidation type="list" allowBlank="1" showInputMessage="1" showErrorMessage="1" sqref="H13:H35" xr:uid="{8AAFF195-665F-4061-BA9D-2A6D7A514734}">
      <formula1>N13:R13</formula1>
    </dataValidation>
    <dataValidation type="list" allowBlank="1" showInputMessage="1" showErrorMessage="1" sqref="F13:F35" xr:uid="{39717AE5-33E1-43E5-93A0-0857AF868468}">
      <formula1>"No interest,Nice to have,Useful,Important,Very important,Critical,Show stopper"</formula1>
    </dataValidation>
    <dataValidation type="list" allowBlank="1" showInputMessage="1" showErrorMessage="1" sqref="M14" xr:uid="{2400870B-9BD5-4E12-BEC1-17408FAAE686}">
      <formula1>_xlfn.UNIQUE(TRIM(_xlfn.TEXTSPLIT(#REF!,",")))</formula1>
    </dataValidation>
  </dataValidations>
  <pageMargins left="0.7" right="0.7" top="0.75" bottom="0.75" header="0.3" footer="0.3"/>
  <pageSetup paperSize="9" scale="50" fitToHeight="0" orientation="landscape" r:id="rId1"/>
  <drawing r:id="rId2"/>
  <tableParts count="1">
    <tablePart r:id="rId3"/>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FC709-C3ED-41BD-9607-C8D80803FB1A}">
  <sheetPr>
    <tabColor rgb="FF92D050"/>
    <pageSetUpPr fitToPage="1"/>
  </sheetPr>
  <dimension ref="A2:AI36"/>
  <sheetViews>
    <sheetView zoomScale="80" zoomScaleNormal="100" workbookViewId="0">
      <pane xSplit="1" ySplit="11" topLeftCell="C12" activePane="bottomRight" state="frozen"/>
      <selection pane="topRight" activeCell="D7" sqref="D7"/>
      <selection pane="bottomLeft" activeCell="D7" sqref="D7"/>
      <selection pane="bottomRight" activeCell="C12" sqref="C12"/>
    </sheetView>
  </sheetViews>
  <sheetFormatPr defaultColWidth="5.42578125" defaultRowHeight="12" x14ac:dyDescent="0.2"/>
  <cols>
    <col min="1" max="1" width="3" style="6" bestFit="1" customWidth="1"/>
    <col min="2" max="2" width="38.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19.42578125" style="6" bestFit="1" customWidth="1"/>
    <col min="10" max="10" width="8" style="6" customWidth="1"/>
    <col min="11" max="11" width="15.85546875" style="6" customWidth="1"/>
    <col min="12" max="12" width="7.85546875" style="40" bestFit="1" customWidth="1"/>
    <col min="13" max="13" width="19.7109375" style="6" bestFit="1" customWidth="1"/>
    <col min="14" max="24" width="6.42578125" style="41" customWidth="1"/>
    <col min="25" max="25" width="8" style="6" customWidth="1"/>
    <col min="26" max="26" width="7.140625" style="6" customWidth="1"/>
    <col min="27" max="32" width="6.140625" style="6" customWidth="1"/>
    <col min="33" max="35" width="5.42578125" style="6" customWidth="1"/>
    <col min="36" max="16384" width="5.42578125" style="6"/>
  </cols>
  <sheetData>
    <row r="2" spans="1:35" ht="15" x14ac:dyDescent="0.25">
      <c r="B2" s="64" t="s">
        <v>82</v>
      </c>
      <c r="C2" s="65" t="s">
        <v>83</v>
      </c>
      <c r="E2" s="374" t="s">
        <v>177</v>
      </c>
      <c r="F2" s="375"/>
    </row>
    <row r="3" spans="1:35" ht="15.75" customHeight="1" x14ac:dyDescent="0.25">
      <c r="B3" s="64" t="s">
        <v>84</v>
      </c>
      <c r="C3" s="65" t="s">
        <v>83</v>
      </c>
      <c r="E3" s="376"/>
      <c r="F3" s="377"/>
    </row>
    <row r="4" spans="1:35" ht="15" customHeight="1" x14ac:dyDescent="0.25">
      <c r="B4" s="64" t="s">
        <v>85</v>
      </c>
      <c r="C4" s="67" t="s">
        <v>86</v>
      </c>
      <c r="D4" s="140"/>
      <c r="E4" s="108" t="s">
        <v>73</v>
      </c>
      <c r="F4" s="114"/>
    </row>
    <row r="5" spans="1:35" ht="15.75" x14ac:dyDescent="0.25">
      <c r="B5" s="64" t="s">
        <v>87</v>
      </c>
      <c r="C5" s="67" t="s">
        <v>86</v>
      </c>
      <c r="D5" s="140"/>
      <c r="E5" s="110"/>
      <c r="F5" s="113"/>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36">
        <f>'Scoring Summary'!C26</f>
        <v>2.5000000000000001E-2</v>
      </c>
      <c r="G11" s="43">
        <f>SUM(Table2614256789111213161718[Priority])</f>
        <v>123</v>
      </c>
      <c r="H11" s="8">
        <f>SUM(Table2614256789111213161718[Weight])</f>
        <v>2.5000000000000015E-2</v>
      </c>
      <c r="I11" s="7"/>
      <c r="J11" s="7"/>
      <c r="K11" s="9" t="s">
        <v>17</v>
      </c>
      <c r="L11" s="8" t="e">
        <f>SUM(Table2614256789111213161718[Score])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60" x14ac:dyDescent="0.2">
      <c r="A13" s="20">
        <v>1</v>
      </c>
      <c r="B13" s="21" t="s">
        <v>718</v>
      </c>
      <c r="C13" s="21" t="s">
        <v>719</v>
      </c>
      <c r="D13" s="21"/>
      <c r="E13" s="21" t="s">
        <v>55</v>
      </c>
      <c r="F13" s="87" t="s">
        <v>60</v>
      </c>
      <c r="G13" s="155" cm="1">
        <f t="array" ref="G13">_xlfn.IFS(F13="","",F13="No interest",0,F13="Nice to have",1,F13="Useful",2,F13="Important",3,F13="Very important",4,F13="Critical",5,F13="Show stopper",6)</f>
        <v>6</v>
      </c>
      <c r="H13" s="156">
        <f t="shared" ref="H13:H16" si="0">(G13/$G$11)*$F$11</f>
        <v>1.2195121951219514E-3</v>
      </c>
      <c r="I13" s="157" t="s">
        <v>720</v>
      </c>
      <c r="J13" s="21" t="str" cm="1">
        <f t="array" ref="J13">_xlfn.TEXTJOIN(","&amp;CHAR(10),,TEXT(Table2614256789111213161718[[#This Row],[12]:[22]],"0,00%"))</f>
        <v>0,00%,
0,00%</v>
      </c>
      <c r="K13" s="26"/>
      <c r="L13" s="27" t="e">
        <f>H13-(H13*((MATCH(Table2614256789111213161718[[#This Row],[Evaluators Response (SELECT)]],Table2614256789111213161718[[#This Row],[1]:[11]],0)-1)/(COUNTA(Table2614256789111213161718[[#This Row],[1]:[11]])-COUNTBLANK(Table2614256789111213161718[[#This Row],[1]:[11]])-1)))</f>
        <v>#N/A</v>
      </c>
      <c r="M13" s="28"/>
      <c r="N13" s="29" t="str" cm="1">
        <f t="array" ref="N13">IFERROR(INDEX(_xlfn.UNIQUE(TRIM(_xlfn.TEXTSPLIT(Table2614256789111213161718[[#This Row],[Selection Options]:[Selection Options]],","))),,N$11),"")</f>
        <v>100%: Fully Comply</v>
      </c>
      <c r="O13" s="29" t="str" cm="1">
        <f t="array" ref="O13">IFERROR(INDEX(_xlfn.UNIQUE(TRIM(_xlfn.TEXTSPLIT(Table2614256789111213161718[[#This Row],[Selection Options]:[Selection Options]],","))),,O$11),"")</f>
        <v xml:space="preserve">
0%: No Compliance</v>
      </c>
      <c r="P13" s="29" t="str" cm="1">
        <f t="array" ref="P13">IFERROR(INDEX(_xlfn.UNIQUE(TRIM(_xlfn.TEXTSPLIT(Table2614256789111213161718[[#This Row],[Selection Options]:[Selection Options]],","))),,P$11),"")</f>
        <v/>
      </c>
      <c r="Q13" s="29" t="str" cm="1">
        <f t="array" ref="Q13">IFERROR(INDEX(_xlfn.UNIQUE(TRIM(_xlfn.TEXTSPLIT(Table2614256789111213161718[[#This Row],[Selection Options]:[Selection Options]],","))),,Q$11),"")</f>
        <v/>
      </c>
      <c r="R13" s="29" t="str" cm="1">
        <f t="array" ref="R13">IFERROR(INDEX(_xlfn.UNIQUE(TRIM(_xlfn.TEXTSPLIT(Table2614256789111213161718[[#This Row],[Selection Options]:[Selection Options]],","))),,R$11),"")</f>
        <v/>
      </c>
      <c r="S13" s="29" t="str" cm="1">
        <f t="array" ref="S13">IFERROR(INDEX(_xlfn.UNIQUE(TRIM(_xlfn.TEXTSPLIT(Table2614256789111213161718[[#This Row],[Selection Options]:[Selection Options]],","))),,S$11),"")</f>
        <v/>
      </c>
      <c r="T13" s="29" t="str" cm="1">
        <f t="array" ref="T13">IFERROR(INDEX(_xlfn.UNIQUE(TRIM(_xlfn.TEXTSPLIT(Table2614256789111213161718[[#This Row],[Selection Options]:[Selection Options]],","))),,T$11),"")</f>
        <v/>
      </c>
      <c r="U13" s="29" t="str" cm="1">
        <f t="array" ref="U13">IFERROR(INDEX(_xlfn.UNIQUE(TRIM(_xlfn.TEXTSPLIT(Table2614256789111213161718[[#This Row],[Selection Options]:[Selection Options]],","))),,U$11),"")</f>
        <v/>
      </c>
      <c r="V13" s="29" t="str" cm="1">
        <f t="array" ref="V13">IFERROR(INDEX(_xlfn.UNIQUE(TRIM(_xlfn.TEXTSPLIT(Table2614256789111213161718[[#This Row],[Selection Options]:[Selection Options]],","))),,V$11),"")</f>
        <v/>
      </c>
      <c r="W13" s="29" t="str" cm="1">
        <f t="array" ref="W13">IFERROR(INDEX(_xlfn.UNIQUE(TRIM(_xlfn.TEXTSPLIT(Table2614256789111213161718[[#This Row],[Selection Options]:[Selection Options]],","))),,W$11),"")</f>
        <v/>
      </c>
      <c r="X13" s="29" t="str" cm="1">
        <f t="array" ref="X13">IFERROR(INDEX(_xlfn.UNIQUE(TRIM(_xlfn.TEXTSPLIT(Table2614256789111213161718[[#This Row],[Selection Options]:[Selection Options]],","))),,X$11),"")</f>
        <v/>
      </c>
      <c r="Y13" s="30" cm="1">
        <f t="array" ref="Y13">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13" s="30" cm="1">
        <f t="array" ref="Z13">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3" s="30" t="str" cm="1">
        <f t="array" ref="AA13">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3" s="30" t="str" cm="1">
        <f t="array" ref="AB13">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3" s="30" t="str" cm="1">
        <f t="array" ref="AC13">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3" s="30" t="str" cm="1">
        <f t="array" ref="AD13">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3" s="30" t="str" cm="1">
        <f t="array" ref="AE13">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3" s="30" t="str" cm="1">
        <f t="array" ref="AF13">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3" s="30" t="str" cm="1">
        <f t="array" ref="AG13">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3" s="30" t="str" cm="1">
        <f t="array" ref="AH13">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3" s="30" t="str" cm="1">
        <f t="array" ref="AI13">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4" spans="1:35" ht="36" x14ac:dyDescent="0.2">
      <c r="A14" s="20">
        <v>2</v>
      </c>
      <c r="B14" s="21" t="s">
        <v>721</v>
      </c>
      <c r="C14" s="21" t="s">
        <v>722</v>
      </c>
      <c r="D14" s="31"/>
      <c r="E14" s="31"/>
      <c r="F14" s="87" t="s">
        <v>188</v>
      </c>
      <c r="G14" s="155" cm="1">
        <f t="array" ref="G14">_xlfn.IFS(F14="","",F14="No interest",0,F14="Nice to have",1,F14="Useful",2,F14="Important",3,F14="Very important",4,F14="Critical",5,F14="Show stopper",6)</f>
        <v>5</v>
      </c>
      <c r="H14" s="156">
        <f t="shared" si="0"/>
        <v>1.0162601626016261E-3</v>
      </c>
      <c r="I14" s="157" t="s">
        <v>720</v>
      </c>
      <c r="J14" s="21" t="str" cm="1">
        <f t="array" ref="J14">_xlfn.TEXTJOIN(","&amp;CHAR(10),,TEXT(Table2614256789111213161718[[#This Row],[12]:[22]],"0,00%"))</f>
        <v>0,00%,
0,00%</v>
      </c>
      <c r="K14" s="26"/>
      <c r="L14" s="27" t="e">
        <f>H14-(H14*((MATCH(Table2614256789111213161718[[#This Row],[Evaluators Response (SELECT)]],Table2614256789111213161718[[#This Row],[1]:[11]],0)-1)/(COUNTA(Table2614256789111213161718[[#This Row],[1]:[11]])-COUNTBLANK(Table2614256789111213161718[[#This Row],[1]:[11]])-1)))</f>
        <v>#N/A</v>
      </c>
      <c r="M14" s="28"/>
      <c r="N14" s="29" t="str" cm="1">
        <f t="array" ref="N14">IFERROR(INDEX(_xlfn.UNIQUE(TRIM(_xlfn.TEXTSPLIT(Table2614256789111213161718[[#This Row],[Selection Options]:[Selection Options]],","))),,N$11),"")</f>
        <v>100%: Fully Comply</v>
      </c>
      <c r="O14" s="29" t="str" cm="1">
        <f t="array" ref="O14">IFERROR(INDEX(_xlfn.UNIQUE(TRIM(_xlfn.TEXTSPLIT(Table2614256789111213161718[[#This Row],[Selection Options]:[Selection Options]],","))),,O$11),"")</f>
        <v xml:space="preserve">
0%: No Compliance</v>
      </c>
      <c r="P14" s="29" t="str" cm="1">
        <f t="array" ref="P14">IFERROR(INDEX(_xlfn.UNIQUE(TRIM(_xlfn.TEXTSPLIT(Table2614256789111213161718[[#This Row],[Selection Options]:[Selection Options]],","))),,P$11),"")</f>
        <v/>
      </c>
      <c r="Q14" s="29" t="str" cm="1">
        <f t="array" ref="Q14">IFERROR(INDEX(_xlfn.UNIQUE(TRIM(_xlfn.TEXTSPLIT(Table2614256789111213161718[[#This Row],[Selection Options]:[Selection Options]],","))),,Q$11),"")</f>
        <v/>
      </c>
      <c r="R14" s="29" t="str" cm="1">
        <f t="array" ref="R14">IFERROR(INDEX(_xlfn.UNIQUE(TRIM(_xlfn.TEXTSPLIT(Table2614256789111213161718[[#This Row],[Selection Options]:[Selection Options]],","))),,R$11),"")</f>
        <v/>
      </c>
      <c r="S14" s="29" t="str" cm="1">
        <f t="array" ref="S14">IFERROR(INDEX(_xlfn.UNIQUE(TRIM(_xlfn.TEXTSPLIT(Table2614256789111213161718[[#This Row],[Selection Options]:[Selection Options]],","))),,S$11),"")</f>
        <v/>
      </c>
      <c r="T14" s="29" t="str" cm="1">
        <f t="array" ref="T14">IFERROR(INDEX(_xlfn.UNIQUE(TRIM(_xlfn.TEXTSPLIT(Table2614256789111213161718[[#This Row],[Selection Options]:[Selection Options]],","))),,T$11),"")</f>
        <v/>
      </c>
      <c r="U14" s="29" t="str" cm="1">
        <f t="array" ref="U14">IFERROR(INDEX(_xlfn.UNIQUE(TRIM(_xlfn.TEXTSPLIT(Table2614256789111213161718[[#This Row],[Selection Options]:[Selection Options]],","))),,U$11),"")</f>
        <v/>
      </c>
      <c r="V14" s="29" t="str" cm="1">
        <f t="array" ref="V14">IFERROR(INDEX(_xlfn.UNIQUE(TRIM(_xlfn.TEXTSPLIT(Table2614256789111213161718[[#This Row],[Selection Options]:[Selection Options]],","))),,V$11),"")</f>
        <v/>
      </c>
      <c r="W14" s="29" t="str" cm="1">
        <f t="array" ref="W14">IFERROR(INDEX(_xlfn.UNIQUE(TRIM(_xlfn.TEXTSPLIT(Table2614256789111213161718[[#This Row],[Selection Options]:[Selection Options]],","))),,W$11),"")</f>
        <v/>
      </c>
      <c r="X14" s="29" t="str" cm="1">
        <f t="array" ref="X14">IFERROR(INDEX(_xlfn.UNIQUE(TRIM(_xlfn.TEXTSPLIT(Table2614256789111213161718[[#This Row],[Selection Options]:[Selection Options]],","))),,X$11),"")</f>
        <v/>
      </c>
      <c r="Y14" s="30" cm="1">
        <f t="array" ref="Y14">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14" s="30" cm="1">
        <f t="array" ref="Z14">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4" s="30" t="str" cm="1">
        <f t="array" ref="AA14">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4" s="30" t="str" cm="1">
        <f t="array" ref="AB14">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4" s="30" t="str" cm="1">
        <f t="array" ref="AC14">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4" s="30" t="str" cm="1">
        <f t="array" ref="AD14">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4" s="30" t="str" cm="1">
        <f t="array" ref="AE14">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4" s="30" t="str" cm="1">
        <f t="array" ref="AF14">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4" s="30" t="str" cm="1">
        <f t="array" ref="AG14">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4" s="30" t="str" cm="1">
        <f t="array" ref="AH14">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4" s="30" t="str" cm="1">
        <f t="array" ref="AI14">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5" spans="1:35" ht="36" x14ac:dyDescent="0.2">
      <c r="A15" s="20">
        <v>3</v>
      </c>
      <c r="B15" s="21" t="s">
        <v>723</v>
      </c>
      <c r="C15" s="21" t="s">
        <v>724</v>
      </c>
      <c r="D15" s="32"/>
      <c r="E15" s="32"/>
      <c r="F15" s="159" t="s">
        <v>188</v>
      </c>
      <c r="G15" s="160" cm="1">
        <f t="array" ref="G15">_xlfn.IFS(F15="","",F15="No interest",0,F15="Nice to have",1,F15="Useful",2,F15="Important",3,F15="Very important",4,F15="Critical",5,F15="Show stopper",6)</f>
        <v>5</v>
      </c>
      <c r="H15" s="161">
        <f t="shared" si="0"/>
        <v>1.0162601626016261E-3</v>
      </c>
      <c r="I15" s="158" t="s">
        <v>720</v>
      </c>
      <c r="J15" s="158" t="str" cm="1">
        <f t="array" ref="J15">_xlfn.TEXTJOIN(","&amp;CHAR(10),,TEXT(Table2614256789111213161718[[#This Row],[12]:[22]],"0,00%"))</f>
        <v>0,00%,
0,00%</v>
      </c>
      <c r="K15" s="26"/>
      <c r="L15" s="37" t="e">
        <f>H15-(H15*((MATCH(Table2614256789111213161718[[#This Row],[Evaluators Response (SELECT)]],Table2614256789111213161718[[#This Row],[1]:[11]],0)-1)/(COUNTA(Table2614256789111213161718[[#This Row],[1]:[11]])-COUNTBLANK(Table2614256789111213161718[[#This Row],[1]:[11]])-1)))</f>
        <v>#N/A</v>
      </c>
      <c r="M15" s="38"/>
      <c r="N15" s="29" t="str" cm="1">
        <f t="array" ref="N15">IFERROR(INDEX(_xlfn.UNIQUE(TRIM(_xlfn.TEXTSPLIT(Table2614256789111213161718[[#This Row],[Selection Options]:[Selection Options]],","))),,N$11),"")</f>
        <v>100%: Fully Comply</v>
      </c>
      <c r="O15" s="29" t="str" cm="1">
        <f t="array" ref="O15">IFERROR(INDEX(_xlfn.UNIQUE(TRIM(_xlfn.TEXTSPLIT(Table2614256789111213161718[[#This Row],[Selection Options]:[Selection Options]],","))),,O$11),"")</f>
        <v xml:space="preserve">
0%: No Compliance</v>
      </c>
      <c r="P15" s="29" t="str" cm="1">
        <f t="array" ref="P15">IFERROR(INDEX(_xlfn.UNIQUE(TRIM(_xlfn.TEXTSPLIT(Table2614256789111213161718[[#This Row],[Selection Options]:[Selection Options]],","))),,P$11),"")</f>
        <v/>
      </c>
      <c r="Q15" s="29" t="str" cm="1">
        <f t="array" ref="Q15">IFERROR(INDEX(_xlfn.UNIQUE(TRIM(_xlfn.TEXTSPLIT(Table2614256789111213161718[[#This Row],[Selection Options]:[Selection Options]],","))),,Q$11),"")</f>
        <v/>
      </c>
      <c r="R15" s="29" t="str" cm="1">
        <f t="array" ref="R15">IFERROR(INDEX(_xlfn.UNIQUE(TRIM(_xlfn.TEXTSPLIT(Table2614256789111213161718[[#This Row],[Selection Options]:[Selection Options]],","))),,R$11),"")</f>
        <v/>
      </c>
      <c r="S15" s="29" t="str" cm="1">
        <f t="array" ref="S15">IFERROR(INDEX(_xlfn.UNIQUE(TRIM(_xlfn.TEXTSPLIT(Table2614256789111213161718[[#This Row],[Selection Options]:[Selection Options]],","))),,S$11),"")</f>
        <v/>
      </c>
      <c r="T15" s="29" t="str" cm="1">
        <f t="array" ref="T15">IFERROR(INDEX(_xlfn.UNIQUE(TRIM(_xlfn.TEXTSPLIT(Table2614256789111213161718[[#This Row],[Selection Options]:[Selection Options]],","))),,T$11),"")</f>
        <v/>
      </c>
      <c r="U15" s="29" t="str" cm="1">
        <f t="array" ref="U15">IFERROR(INDEX(_xlfn.UNIQUE(TRIM(_xlfn.TEXTSPLIT(Table2614256789111213161718[[#This Row],[Selection Options]:[Selection Options]],","))),,U$11),"")</f>
        <v/>
      </c>
      <c r="V15" s="29" t="str" cm="1">
        <f t="array" ref="V15">IFERROR(INDEX(_xlfn.UNIQUE(TRIM(_xlfn.TEXTSPLIT(Table2614256789111213161718[[#This Row],[Selection Options]:[Selection Options]],","))),,V$11),"")</f>
        <v/>
      </c>
      <c r="W15" s="29" t="str" cm="1">
        <f t="array" ref="W15">IFERROR(INDEX(_xlfn.UNIQUE(TRIM(_xlfn.TEXTSPLIT(Table2614256789111213161718[[#This Row],[Selection Options]:[Selection Options]],","))),,W$11),"")</f>
        <v/>
      </c>
      <c r="X15" s="29" t="str" cm="1">
        <f t="array" ref="X15">IFERROR(INDEX(_xlfn.UNIQUE(TRIM(_xlfn.TEXTSPLIT(Table2614256789111213161718[[#This Row],[Selection Options]:[Selection Options]],","))),,X$11),"")</f>
        <v/>
      </c>
      <c r="Y15" s="30" cm="1">
        <f t="array" ref="Y15">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15" s="30" cm="1">
        <f t="array" ref="Z15">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5" s="30" t="str" cm="1">
        <f t="array" ref="AA15">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5" s="30" t="str" cm="1">
        <f t="array" ref="AB15">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5" s="30" t="str" cm="1">
        <f t="array" ref="AC15">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5" s="30" t="str" cm="1">
        <f t="array" ref="AD15">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5" s="30" t="str" cm="1">
        <f t="array" ref="AE15">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5" s="30" t="str" cm="1">
        <f t="array" ref="AF15">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5" s="30" t="str" cm="1">
        <f t="array" ref="AG15">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5" s="30" t="str" cm="1">
        <f t="array" ref="AH15">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5" s="30" t="str" cm="1">
        <f t="array" ref="AI15">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6" spans="1:35" ht="36" x14ac:dyDescent="0.2">
      <c r="A16" s="20">
        <v>4</v>
      </c>
      <c r="B16" s="21" t="s">
        <v>725</v>
      </c>
      <c r="C16" s="21" t="s">
        <v>726</v>
      </c>
      <c r="D16" s="31"/>
      <c r="E16" s="31"/>
      <c r="F16" s="87" t="s">
        <v>188</v>
      </c>
      <c r="G16" s="155" cm="1">
        <f t="array" ref="G16">_xlfn.IFS(F16="","",F16="No interest",0,F16="Nice to have",1,F16="Useful",2,F16="Important",3,F16="Very important",4,F16="Critical",5,F16="Show stopper",6)</f>
        <v>5</v>
      </c>
      <c r="H16" s="156">
        <f t="shared" si="0"/>
        <v>1.0162601626016261E-3</v>
      </c>
      <c r="I16" s="21" t="s">
        <v>720</v>
      </c>
      <c r="J16" s="21" t="str" cm="1">
        <f t="array" ref="J16">_xlfn.TEXTJOIN(","&amp;CHAR(10),,TEXT(Table2614256789111213161718[[#This Row],[12]:[22]],"0,00%"))</f>
        <v>0,00%,
0,00%</v>
      </c>
      <c r="K16" s="26"/>
      <c r="L16" s="27" t="e">
        <f>H16-(H16*((MATCH(Table2614256789111213161718[[#This Row],[Evaluators Response (SELECT)]],Table2614256789111213161718[[#This Row],[1]:[11]],0)-1)/(COUNTA(Table2614256789111213161718[[#This Row],[1]:[11]])-COUNTBLANK(Table2614256789111213161718[[#This Row],[1]:[11]])-1)))</f>
        <v>#N/A</v>
      </c>
      <c r="M16" s="28"/>
      <c r="N16" s="29" t="str" cm="1">
        <f t="array" ref="N16">IFERROR(INDEX(_xlfn.UNIQUE(TRIM(_xlfn.TEXTSPLIT(Table2614256789111213161718[[#This Row],[Selection Options]:[Selection Options]],","))),,N$11),"")</f>
        <v>100%: Fully Comply</v>
      </c>
      <c r="O16" s="29" t="str" cm="1">
        <f t="array" ref="O16">IFERROR(INDEX(_xlfn.UNIQUE(TRIM(_xlfn.TEXTSPLIT(Table2614256789111213161718[[#This Row],[Selection Options]:[Selection Options]],","))),,O$11),"")</f>
        <v xml:space="preserve">
0%: No Compliance</v>
      </c>
      <c r="P16" s="29" t="str" cm="1">
        <f t="array" ref="P16">IFERROR(INDEX(_xlfn.UNIQUE(TRIM(_xlfn.TEXTSPLIT(Table2614256789111213161718[[#This Row],[Selection Options]:[Selection Options]],","))),,P$11),"")</f>
        <v/>
      </c>
      <c r="Q16" s="29" t="str" cm="1">
        <f t="array" ref="Q16">IFERROR(INDEX(_xlfn.UNIQUE(TRIM(_xlfn.TEXTSPLIT(Table2614256789111213161718[[#This Row],[Selection Options]:[Selection Options]],","))),,Q$11),"")</f>
        <v/>
      </c>
      <c r="R16" s="29" t="str" cm="1">
        <f t="array" ref="R16">IFERROR(INDEX(_xlfn.UNIQUE(TRIM(_xlfn.TEXTSPLIT(Table2614256789111213161718[[#This Row],[Selection Options]:[Selection Options]],","))),,R$11),"")</f>
        <v/>
      </c>
      <c r="S16" s="29" t="str" cm="1">
        <f t="array" ref="S16">IFERROR(INDEX(_xlfn.UNIQUE(TRIM(_xlfn.TEXTSPLIT(Table2614256789111213161718[[#This Row],[Selection Options]:[Selection Options]],","))),,S$11),"")</f>
        <v/>
      </c>
      <c r="T16" s="29" t="str" cm="1">
        <f t="array" ref="T16">IFERROR(INDEX(_xlfn.UNIQUE(TRIM(_xlfn.TEXTSPLIT(Table2614256789111213161718[[#This Row],[Selection Options]:[Selection Options]],","))),,T$11),"")</f>
        <v/>
      </c>
      <c r="U16" s="29" t="str" cm="1">
        <f t="array" ref="U16">IFERROR(INDEX(_xlfn.UNIQUE(TRIM(_xlfn.TEXTSPLIT(Table2614256789111213161718[[#This Row],[Selection Options]:[Selection Options]],","))),,U$11),"")</f>
        <v/>
      </c>
      <c r="V16" s="29" t="str" cm="1">
        <f t="array" ref="V16">IFERROR(INDEX(_xlfn.UNIQUE(TRIM(_xlfn.TEXTSPLIT(Table2614256789111213161718[[#This Row],[Selection Options]:[Selection Options]],","))),,V$11),"")</f>
        <v/>
      </c>
      <c r="W16" s="29" t="str" cm="1">
        <f t="array" ref="W16">IFERROR(INDEX(_xlfn.UNIQUE(TRIM(_xlfn.TEXTSPLIT(Table2614256789111213161718[[#This Row],[Selection Options]:[Selection Options]],","))),,W$11),"")</f>
        <v/>
      </c>
      <c r="X16" s="29" t="str" cm="1">
        <f t="array" ref="X16">IFERROR(INDEX(_xlfn.UNIQUE(TRIM(_xlfn.TEXTSPLIT(Table2614256789111213161718[[#This Row],[Selection Options]:[Selection Options]],","))),,X$11),"")</f>
        <v/>
      </c>
      <c r="Y16" s="30" cm="1">
        <f t="array" ref="Y16">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16" s="30" cm="1">
        <f t="array" ref="Z16">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6" s="30" t="str" cm="1">
        <f t="array" ref="AA16">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6" s="30" t="str" cm="1">
        <f t="array" ref="AB16">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6" s="30" t="str" cm="1">
        <f t="array" ref="AC16">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6" s="30" t="str" cm="1">
        <f t="array" ref="AD16">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6" s="30" t="str" cm="1">
        <f t="array" ref="AE16">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6" s="30" t="str" cm="1">
        <f t="array" ref="AF16">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6" s="30" t="str" cm="1">
        <f t="array" ref="AG16">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6" s="30" t="str" cm="1">
        <f t="array" ref="AH16">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6" s="30" t="str" cm="1">
        <f t="array" ref="AI16">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7" spans="1:35" ht="72" x14ac:dyDescent="0.2">
      <c r="A17" s="20">
        <v>5</v>
      </c>
      <c r="B17" s="158" t="s">
        <v>727</v>
      </c>
      <c r="C17" s="158" t="s">
        <v>728</v>
      </c>
      <c r="D17" s="31"/>
      <c r="E17" s="31"/>
      <c r="F17" s="87" t="s">
        <v>60</v>
      </c>
      <c r="G17" s="155" cm="1">
        <f t="array" ref="G17">_xlfn.IFS(F17="","",F17="No interest",0,F17="Nice to have",1,F17="Useful",2,F17="Important",3,F17="Very important",4,F17="Critical",5,F17="Show stopper",6)</f>
        <v>6</v>
      </c>
      <c r="H17" s="156">
        <f>(G17/$G$11)*$F$11</f>
        <v>1.2195121951219514E-3</v>
      </c>
      <c r="I17" s="157" t="s">
        <v>720</v>
      </c>
      <c r="J17" s="158" t="str" cm="1">
        <f t="array" ref="J17">_xlfn.TEXTJOIN(","&amp;CHAR(10),,TEXT(Table2614256789111213161718[[#This Row],[12]:[22]],"0,00%"))</f>
        <v>0,00%,
0,00%</v>
      </c>
      <c r="K17" s="26"/>
      <c r="L17" s="27" t="e">
        <f>H17-(H17*((MATCH(Table2614256789111213161718[[#This Row],[Evaluators Response (SELECT)]],Table2614256789111213161718[[#This Row],[1]:[11]],0)-1)/(COUNTA(Table2614256789111213161718[[#This Row],[1]:[11]])-COUNTBLANK(Table2614256789111213161718[[#This Row],[1]:[11]])-1)))</f>
        <v>#N/A</v>
      </c>
      <c r="M17" s="28"/>
      <c r="N17" s="29" t="str" cm="1">
        <f t="array" ref="N17">IFERROR(INDEX(_xlfn.UNIQUE(TRIM(_xlfn.TEXTSPLIT(Table2614256789111213161718[[#This Row],[Selection Options]:[Selection Options]],","))),,N$11),"")</f>
        <v>100%: Fully Comply</v>
      </c>
      <c r="O17" s="29" t="str" cm="1">
        <f t="array" ref="O17">IFERROR(INDEX(_xlfn.UNIQUE(TRIM(_xlfn.TEXTSPLIT(Table2614256789111213161718[[#This Row],[Selection Options]:[Selection Options]],","))),,O$11),"")</f>
        <v xml:space="preserve">
0%: No Compliance</v>
      </c>
      <c r="P17" s="29" t="str" cm="1">
        <f t="array" ref="P17">IFERROR(INDEX(_xlfn.UNIQUE(TRIM(_xlfn.TEXTSPLIT(Table2614256789111213161718[[#This Row],[Selection Options]:[Selection Options]],","))),,P$11),"")</f>
        <v/>
      </c>
      <c r="Q17" s="29" t="str" cm="1">
        <f t="array" ref="Q17">IFERROR(INDEX(_xlfn.UNIQUE(TRIM(_xlfn.TEXTSPLIT(Table2614256789111213161718[[#This Row],[Selection Options]:[Selection Options]],","))),,Q$11),"")</f>
        <v/>
      </c>
      <c r="R17" s="29" t="str" cm="1">
        <f t="array" ref="R17">IFERROR(INDEX(_xlfn.UNIQUE(TRIM(_xlfn.TEXTSPLIT(Table2614256789111213161718[[#This Row],[Selection Options]:[Selection Options]],","))),,R$11),"")</f>
        <v/>
      </c>
      <c r="S17" s="29" t="str" cm="1">
        <f t="array" ref="S17">IFERROR(INDEX(_xlfn.UNIQUE(TRIM(_xlfn.TEXTSPLIT(Table2614256789111213161718[[#This Row],[Selection Options]:[Selection Options]],","))),,S$11),"")</f>
        <v/>
      </c>
      <c r="T17" s="29" t="str" cm="1">
        <f t="array" ref="T17">IFERROR(INDEX(_xlfn.UNIQUE(TRIM(_xlfn.TEXTSPLIT(Table2614256789111213161718[[#This Row],[Selection Options]:[Selection Options]],","))),,T$11),"")</f>
        <v/>
      </c>
      <c r="U17" s="29" t="str" cm="1">
        <f t="array" ref="U17">IFERROR(INDEX(_xlfn.UNIQUE(TRIM(_xlfn.TEXTSPLIT(Table2614256789111213161718[[#This Row],[Selection Options]:[Selection Options]],","))),,U$11),"")</f>
        <v/>
      </c>
      <c r="V17" s="29" t="str" cm="1">
        <f t="array" ref="V17">IFERROR(INDEX(_xlfn.UNIQUE(TRIM(_xlfn.TEXTSPLIT(Table2614256789111213161718[[#This Row],[Selection Options]:[Selection Options]],","))),,V$11),"")</f>
        <v/>
      </c>
      <c r="W17" s="29" t="str" cm="1">
        <f t="array" ref="W17">IFERROR(INDEX(_xlfn.UNIQUE(TRIM(_xlfn.TEXTSPLIT(Table2614256789111213161718[[#This Row],[Selection Options]:[Selection Options]],","))),,W$11),"")</f>
        <v/>
      </c>
      <c r="X17" s="29" t="str" cm="1">
        <f t="array" ref="X17">IFERROR(INDEX(_xlfn.UNIQUE(TRIM(_xlfn.TEXTSPLIT(Table2614256789111213161718[[#This Row],[Selection Options]:[Selection Options]],","))),,X$11),"")</f>
        <v/>
      </c>
      <c r="Y17" s="30" cm="1">
        <f t="array" ref="Y17">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17" s="30" cm="1">
        <f t="array" ref="Z17">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7" s="30" t="str" cm="1">
        <f t="array" ref="AA17">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7" s="30" t="str" cm="1">
        <f t="array" ref="AB17">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7" s="30" t="str" cm="1">
        <f t="array" ref="AC17">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7" s="30" t="str" cm="1">
        <f t="array" ref="AD17">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7" s="30" t="str" cm="1">
        <f t="array" ref="AE17">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7" s="30" t="str" cm="1">
        <f t="array" ref="AF17">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7" s="30" t="str" cm="1">
        <f t="array" ref="AG17">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7" s="30" t="str" cm="1">
        <f t="array" ref="AH17">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7" s="30" t="str" cm="1">
        <f t="array" ref="AI17">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8" spans="1:35" ht="36" x14ac:dyDescent="0.2">
      <c r="A18" s="20">
        <v>6</v>
      </c>
      <c r="B18" s="158" t="s">
        <v>729</v>
      </c>
      <c r="C18" s="158" t="s">
        <v>728</v>
      </c>
      <c r="D18" s="32"/>
      <c r="E18" s="32"/>
      <c r="F18" s="159" t="s">
        <v>188</v>
      </c>
      <c r="G18" s="160" cm="1">
        <f t="array" ref="G18">_xlfn.IFS(F18="","",F18="No interest",0,F18="Nice to have",1,F18="Useful",2,F18="Important",3,F18="Very important",4,F18="Critical",5,F18="Show stopper",6)</f>
        <v>5</v>
      </c>
      <c r="H18" s="161">
        <f t="shared" ref="H18:H35" si="1">(G18/$G$11)*$F$11</f>
        <v>1.0162601626016261E-3</v>
      </c>
      <c r="I18" s="154" t="s">
        <v>720</v>
      </c>
      <c r="J18" s="158" t="str" cm="1">
        <f t="array" ref="J18">_xlfn.TEXTJOIN(","&amp;CHAR(10),,TEXT(Table2614256789111213161718[[#This Row],[12]:[22]],"0,00%"))</f>
        <v>0,00%,
0,00%</v>
      </c>
      <c r="K18" s="26"/>
      <c r="L18" s="37" t="e">
        <f>H18-(H18*((MATCH(Table2614256789111213161718[[#This Row],[Evaluators Response (SELECT)]],Table2614256789111213161718[[#This Row],[1]:[11]],0)-1)/(COUNTA(Table2614256789111213161718[[#This Row],[1]:[11]])-COUNTBLANK(Table2614256789111213161718[[#This Row],[1]:[11]])-1)))</f>
        <v>#N/A</v>
      </c>
      <c r="M18" s="38"/>
      <c r="N18" s="29" t="str" cm="1">
        <f t="array" ref="N18">IFERROR(INDEX(_xlfn.UNIQUE(TRIM(_xlfn.TEXTSPLIT(Table2614256789111213161718[[#This Row],[Selection Options]:[Selection Options]],","))),,N$11),"")</f>
        <v>100%: Fully Comply</v>
      </c>
      <c r="O18" s="29" t="str" cm="1">
        <f t="array" ref="O18">IFERROR(INDEX(_xlfn.UNIQUE(TRIM(_xlfn.TEXTSPLIT(Table2614256789111213161718[[#This Row],[Selection Options]:[Selection Options]],","))),,O$11),"")</f>
        <v xml:space="preserve">
0%: No Compliance</v>
      </c>
      <c r="P18" s="29" t="str" cm="1">
        <f t="array" ref="P18">IFERROR(INDEX(_xlfn.UNIQUE(TRIM(_xlfn.TEXTSPLIT(Table2614256789111213161718[[#This Row],[Selection Options]:[Selection Options]],","))),,P$11),"")</f>
        <v/>
      </c>
      <c r="Q18" s="29" t="str" cm="1">
        <f t="array" ref="Q18">IFERROR(INDEX(_xlfn.UNIQUE(TRIM(_xlfn.TEXTSPLIT(Table2614256789111213161718[[#This Row],[Selection Options]:[Selection Options]],","))),,Q$11),"")</f>
        <v/>
      </c>
      <c r="R18" s="29" t="str" cm="1">
        <f t="array" ref="R18">IFERROR(INDEX(_xlfn.UNIQUE(TRIM(_xlfn.TEXTSPLIT(Table2614256789111213161718[[#This Row],[Selection Options]:[Selection Options]],","))),,R$11),"")</f>
        <v/>
      </c>
      <c r="S18" s="29" t="str" cm="1">
        <f t="array" ref="S18">IFERROR(INDEX(_xlfn.UNIQUE(TRIM(_xlfn.TEXTSPLIT(Table2614256789111213161718[[#This Row],[Selection Options]:[Selection Options]],","))),,S$11),"")</f>
        <v/>
      </c>
      <c r="T18" s="29" t="str" cm="1">
        <f t="array" ref="T18">IFERROR(INDEX(_xlfn.UNIQUE(TRIM(_xlfn.TEXTSPLIT(Table2614256789111213161718[[#This Row],[Selection Options]:[Selection Options]],","))),,T$11),"")</f>
        <v/>
      </c>
      <c r="U18" s="29" t="str" cm="1">
        <f t="array" ref="U18">IFERROR(INDEX(_xlfn.UNIQUE(TRIM(_xlfn.TEXTSPLIT(Table2614256789111213161718[[#This Row],[Selection Options]:[Selection Options]],","))),,U$11),"")</f>
        <v/>
      </c>
      <c r="V18" s="29" t="str" cm="1">
        <f t="array" ref="V18">IFERROR(INDEX(_xlfn.UNIQUE(TRIM(_xlfn.TEXTSPLIT(Table2614256789111213161718[[#This Row],[Selection Options]:[Selection Options]],","))),,V$11),"")</f>
        <v/>
      </c>
      <c r="W18" s="29" t="str" cm="1">
        <f t="array" ref="W18">IFERROR(INDEX(_xlfn.UNIQUE(TRIM(_xlfn.TEXTSPLIT(Table2614256789111213161718[[#This Row],[Selection Options]:[Selection Options]],","))),,W$11),"")</f>
        <v/>
      </c>
      <c r="X18" s="29" t="str" cm="1">
        <f t="array" ref="X18">IFERROR(INDEX(_xlfn.UNIQUE(TRIM(_xlfn.TEXTSPLIT(Table2614256789111213161718[[#This Row],[Selection Options]:[Selection Options]],","))),,X$11),"")</f>
        <v/>
      </c>
      <c r="Y18" s="30" cm="1">
        <f t="array" ref="Y18">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18" s="30" cm="1">
        <f t="array" ref="Z18">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8" s="30" t="str" cm="1">
        <f t="array" ref="AA18">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8" s="30" t="str" cm="1">
        <f t="array" ref="AB18">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8" s="30" t="str" cm="1">
        <f t="array" ref="AC18">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8" s="30" t="str" cm="1">
        <f t="array" ref="AD18">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8" s="30" t="str" cm="1">
        <f t="array" ref="AE18">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8" s="30" t="str" cm="1">
        <f t="array" ref="AF18">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8" s="30" t="str" cm="1">
        <f t="array" ref="AG18">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8" s="30" t="str" cm="1">
        <f t="array" ref="AH18">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8" s="30" t="str" cm="1">
        <f t="array" ref="AI18">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19" spans="1:35" ht="60" x14ac:dyDescent="0.2">
      <c r="A19" s="20">
        <v>7</v>
      </c>
      <c r="B19" s="158" t="s">
        <v>730</v>
      </c>
      <c r="C19" s="158" t="s">
        <v>728</v>
      </c>
      <c r="D19" s="32"/>
      <c r="E19" s="32"/>
      <c r="F19" s="159" t="s">
        <v>60</v>
      </c>
      <c r="G19" s="160" cm="1">
        <f t="array" ref="G19">_xlfn.IFS(F19="","",F19="No interest",0,F19="Nice to have",1,F19="Useful",2,F19="Important",3,F19="Very important",4,F19="Critical",5,F19="Show stopper",6)</f>
        <v>6</v>
      </c>
      <c r="H19" s="161">
        <f t="shared" si="1"/>
        <v>1.2195121951219514E-3</v>
      </c>
      <c r="I19" s="154" t="s">
        <v>720</v>
      </c>
      <c r="J19" s="158" t="str" cm="1">
        <f t="array" ref="J19">_xlfn.TEXTJOIN(","&amp;CHAR(10),,TEXT(Table2614256789111213161718[[#This Row],[12]:[22]],"0,00%"))</f>
        <v>0,00%,
0,00%</v>
      </c>
      <c r="K19" s="26"/>
      <c r="L19" s="37" t="e">
        <f>H19-(H19*((MATCH(Table2614256789111213161718[[#This Row],[Evaluators Response (SELECT)]],Table2614256789111213161718[[#This Row],[1]:[11]],0)-1)/(COUNTA(Table2614256789111213161718[[#This Row],[1]:[11]])-COUNTBLANK(Table2614256789111213161718[[#This Row],[1]:[11]])-1)))</f>
        <v>#N/A</v>
      </c>
      <c r="M19" s="38"/>
      <c r="N19" s="29" t="str" cm="1">
        <f t="array" ref="N19">IFERROR(INDEX(_xlfn.UNIQUE(TRIM(_xlfn.TEXTSPLIT(Table2614256789111213161718[[#This Row],[Selection Options]:[Selection Options]],","))),,N$11),"")</f>
        <v>100%: Fully Comply</v>
      </c>
      <c r="O19" s="29" t="str" cm="1">
        <f t="array" ref="O19">IFERROR(INDEX(_xlfn.UNIQUE(TRIM(_xlfn.TEXTSPLIT(Table2614256789111213161718[[#This Row],[Selection Options]:[Selection Options]],","))),,O$11),"")</f>
        <v xml:space="preserve">
0%: No Compliance</v>
      </c>
      <c r="P19" s="29" t="str" cm="1">
        <f t="array" ref="P19">IFERROR(INDEX(_xlfn.UNIQUE(TRIM(_xlfn.TEXTSPLIT(Table2614256789111213161718[[#This Row],[Selection Options]:[Selection Options]],","))),,P$11),"")</f>
        <v/>
      </c>
      <c r="Q19" s="29" t="str" cm="1">
        <f t="array" ref="Q19">IFERROR(INDEX(_xlfn.UNIQUE(TRIM(_xlfn.TEXTSPLIT(Table2614256789111213161718[[#This Row],[Selection Options]:[Selection Options]],","))),,Q$11),"")</f>
        <v/>
      </c>
      <c r="R19" s="29" t="str" cm="1">
        <f t="array" ref="R19">IFERROR(INDEX(_xlfn.UNIQUE(TRIM(_xlfn.TEXTSPLIT(Table2614256789111213161718[[#This Row],[Selection Options]:[Selection Options]],","))),,R$11),"")</f>
        <v/>
      </c>
      <c r="S19" s="29" t="str" cm="1">
        <f t="array" ref="S19">IFERROR(INDEX(_xlfn.UNIQUE(TRIM(_xlfn.TEXTSPLIT(Table2614256789111213161718[[#This Row],[Selection Options]:[Selection Options]],","))),,S$11),"")</f>
        <v/>
      </c>
      <c r="T19" s="29" t="str" cm="1">
        <f t="array" ref="T19">IFERROR(INDEX(_xlfn.UNIQUE(TRIM(_xlfn.TEXTSPLIT(Table2614256789111213161718[[#This Row],[Selection Options]:[Selection Options]],","))),,T$11),"")</f>
        <v/>
      </c>
      <c r="U19" s="29" t="str" cm="1">
        <f t="array" ref="U19">IFERROR(INDEX(_xlfn.UNIQUE(TRIM(_xlfn.TEXTSPLIT(Table2614256789111213161718[[#This Row],[Selection Options]:[Selection Options]],","))),,U$11),"")</f>
        <v/>
      </c>
      <c r="V19" s="29" t="str" cm="1">
        <f t="array" ref="V19">IFERROR(INDEX(_xlfn.UNIQUE(TRIM(_xlfn.TEXTSPLIT(Table2614256789111213161718[[#This Row],[Selection Options]:[Selection Options]],","))),,V$11),"")</f>
        <v/>
      </c>
      <c r="W19" s="29" t="str" cm="1">
        <f t="array" ref="W19">IFERROR(INDEX(_xlfn.UNIQUE(TRIM(_xlfn.TEXTSPLIT(Table2614256789111213161718[[#This Row],[Selection Options]:[Selection Options]],","))),,W$11),"")</f>
        <v/>
      </c>
      <c r="X19" s="29" t="str" cm="1">
        <f t="array" ref="X19">IFERROR(INDEX(_xlfn.UNIQUE(TRIM(_xlfn.TEXTSPLIT(Table2614256789111213161718[[#This Row],[Selection Options]:[Selection Options]],","))),,X$11),"")</f>
        <v/>
      </c>
      <c r="Y19" s="30" cm="1">
        <f t="array" ref="Y19">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19" s="30" cm="1">
        <f t="array" ref="Z19">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19" s="30" t="str" cm="1">
        <f t="array" ref="AA19">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19" s="30" t="str" cm="1">
        <f t="array" ref="AB19">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19" s="30" t="str" cm="1">
        <f t="array" ref="AC19">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19" s="30" t="str" cm="1">
        <f t="array" ref="AD19">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19" s="30" t="str" cm="1">
        <f t="array" ref="AE19">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19" s="30" t="str" cm="1">
        <f t="array" ref="AF19">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19" s="30" t="str" cm="1">
        <f t="array" ref="AG19">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19" s="30" t="str" cm="1">
        <f t="array" ref="AH19">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19" s="30" t="str" cm="1">
        <f t="array" ref="AI19">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0" spans="1:35" ht="72" x14ac:dyDescent="0.2">
      <c r="A20" s="20">
        <v>8</v>
      </c>
      <c r="B20" s="21" t="s">
        <v>731</v>
      </c>
      <c r="C20" s="158" t="s">
        <v>728</v>
      </c>
      <c r="E20" s="32"/>
      <c r="F20" s="159" t="s">
        <v>60</v>
      </c>
      <c r="G20" s="160" cm="1">
        <f t="array" ref="G20">_xlfn.IFS(F20="","",F20="No interest",0,F20="Nice to have",1,F20="Useful",2,F20="Important",3,F20="Very important",4,F20="Critical",5,F20="Show stopper",6)</f>
        <v>6</v>
      </c>
      <c r="H20" s="161">
        <f t="shared" si="1"/>
        <v>1.2195121951219514E-3</v>
      </c>
      <c r="I20" s="154" t="s">
        <v>720</v>
      </c>
      <c r="J20" s="158" t="str" cm="1">
        <f t="array" ref="J20">_xlfn.TEXTJOIN(","&amp;CHAR(10),,TEXT(Table2614256789111213161718[[#This Row],[12]:[22]],"0,00%"))</f>
        <v>0,00%,
0,00%</v>
      </c>
      <c r="K20" s="26"/>
      <c r="L20" s="37" t="e">
        <f>H20-(H20*((MATCH(Table2614256789111213161718[[#This Row],[Evaluators Response (SELECT)]],Table2614256789111213161718[[#This Row],[1]:[11]],0)-1)/(COUNTA(Table2614256789111213161718[[#This Row],[1]:[11]])-COUNTBLANK(Table2614256789111213161718[[#This Row],[1]:[11]])-1)))</f>
        <v>#N/A</v>
      </c>
      <c r="M20" s="38"/>
      <c r="N20" s="29" t="str" cm="1">
        <f t="array" ref="N20">IFERROR(INDEX(_xlfn.UNIQUE(TRIM(_xlfn.TEXTSPLIT(Table2614256789111213161718[[#This Row],[Selection Options]:[Selection Options]],","))),,N$11),"")</f>
        <v>100%: Fully Comply</v>
      </c>
      <c r="O20" s="29" t="str" cm="1">
        <f t="array" ref="O20">IFERROR(INDEX(_xlfn.UNIQUE(TRIM(_xlfn.TEXTSPLIT(Table2614256789111213161718[[#This Row],[Selection Options]:[Selection Options]],","))),,O$11),"")</f>
        <v xml:space="preserve">
0%: No Compliance</v>
      </c>
      <c r="P20" s="29" t="str" cm="1">
        <f t="array" ref="P20">IFERROR(INDEX(_xlfn.UNIQUE(TRIM(_xlfn.TEXTSPLIT(Table2614256789111213161718[[#This Row],[Selection Options]:[Selection Options]],","))),,P$11),"")</f>
        <v/>
      </c>
      <c r="Q20" s="29" t="str" cm="1">
        <f t="array" ref="Q20">IFERROR(INDEX(_xlfn.UNIQUE(TRIM(_xlfn.TEXTSPLIT(Table2614256789111213161718[[#This Row],[Selection Options]:[Selection Options]],","))),,Q$11),"")</f>
        <v/>
      </c>
      <c r="R20" s="29" t="str" cm="1">
        <f t="array" ref="R20">IFERROR(INDEX(_xlfn.UNIQUE(TRIM(_xlfn.TEXTSPLIT(Table2614256789111213161718[[#This Row],[Selection Options]:[Selection Options]],","))),,R$11),"")</f>
        <v/>
      </c>
      <c r="S20" s="29" t="str" cm="1">
        <f t="array" ref="S20">IFERROR(INDEX(_xlfn.UNIQUE(TRIM(_xlfn.TEXTSPLIT(Table2614256789111213161718[[#This Row],[Selection Options]:[Selection Options]],","))),,S$11),"")</f>
        <v/>
      </c>
      <c r="T20" s="29" t="str" cm="1">
        <f t="array" ref="T20">IFERROR(INDEX(_xlfn.UNIQUE(TRIM(_xlfn.TEXTSPLIT(Table2614256789111213161718[[#This Row],[Selection Options]:[Selection Options]],","))),,T$11),"")</f>
        <v/>
      </c>
      <c r="U20" s="29" t="str" cm="1">
        <f t="array" ref="U20">IFERROR(INDEX(_xlfn.UNIQUE(TRIM(_xlfn.TEXTSPLIT(Table2614256789111213161718[[#This Row],[Selection Options]:[Selection Options]],","))),,U$11),"")</f>
        <v/>
      </c>
      <c r="V20" s="29" t="str" cm="1">
        <f t="array" ref="V20">IFERROR(INDEX(_xlfn.UNIQUE(TRIM(_xlfn.TEXTSPLIT(Table2614256789111213161718[[#This Row],[Selection Options]:[Selection Options]],","))),,V$11),"")</f>
        <v/>
      </c>
      <c r="W20" s="29" t="str" cm="1">
        <f t="array" ref="W20">IFERROR(INDEX(_xlfn.UNIQUE(TRIM(_xlfn.TEXTSPLIT(Table2614256789111213161718[[#This Row],[Selection Options]:[Selection Options]],","))),,W$11),"")</f>
        <v/>
      </c>
      <c r="X20" s="29" t="str" cm="1">
        <f t="array" ref="X20">IFERROR(INDEX(_xlfn.UNIQUE(TRIM(_xlfn.TEXTSPLIT(Table2614256789111213161718[[#This Row],[Selection Options]:[Selection Options]],","))),,X$11),"")</f>
        <v/>
      </c>
      <c r="Y20" s="30" cm="1">
        <f t="array" ref="Y20">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20" s="30" cm="1">
        <f t="array" ref="Z20">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0" s="30" t="str" cm="1">
        <f t="array" ref="AA20">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0" s="30" t="str" cm="1">
        <f t="array" ref="AB20">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0" s="30" t="str" cm="1">
        <f t="array" ref="AC20">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0" s="30" t="str" cm="1">
        <f t="array" ref="AD20">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0" s="30" t="str" cm="1">
        <f t="array" ref="AE20">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0" s="30" t="str" cm="1">
        <f t="array" ref="AF20">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0" s="30" t="str" cm="1">
        <f t="array" ref="AG20">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0" s="30" t="str" cm="1">
        <f t="array" ref="AH20">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0" s="30" t="str" cm="1">
        <f t="array" ref="AI20">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1" spans="1:35" ht="48" x14ac:dyDescent="0.2">
      <c r="A21" s="20">
        <v>9</v>
      </c>
      <c r="B21" s="21" t="s">
        <v>732</v>
      </c>
      <c r="C21" s="21" t="s">
        <v>728</v>
      </c>
      <c r="D21" s="31"/>
      <c r="E21" s="31"/>
      <c r="F21" s="159" t="s">
        <v>60</v>
      </c>
      <c r="G21" s="155" cm="1">
        <f t="array" ref="G21">_xlfn.IFS(F21="","",F21="No interest",0,F21="Nice to have",1,F21="Useful",2,F21="Important",3,F21="Very important",4,F21="Critical",5,F21="Show stopper",6)</f>
        <v>6</v>
      </c>
      <c r="H21" s="156">
        <f t="shared" si="1"/>
        <v>1.2195121951219514E-3</v>
      </c>
      <c r="I21" s="154" t="s">
        <v>720</v>
      </c>
      <c r="J21" s="158" t="str" cm="1">
        <f t="array" ref="J21">_xlfn.TEXTJOIN(","&amp;CHAR(10),,TEXT(Table2614256789111213161718[[#This Row],[12]:[22]],"0,00%"))</f>
        <v>0,00%,
0,00%</v>
      </c>
      <c r="K21" s="26"/>
      <c r="L21" s="27" t="e">
        <f>H21-(H21*((MATCH(Table2614256789111213161718[[#This Row],[Evaluators Response (SELECT)]],Table2614256789111213161718[[#This Row],[1]:[11]],0)-1)/(COUNTA(Table2614256789111213161718[[#This Row],[1]:[11]])-COUNTBLANK(Table2614256789111213161718[[#This Row],[1]:[11]])-1)))</f>
        <v>#N/A</v>
      </c>
      <c r="M21" s="28"/>
      <c r="N21" s="29" t="str" cm="1">
        <f t="array" ref="N21">IFERROR(INDEX(_xlfn.UNIQUE(TRIM(_xlfn.TEXTSPLIT(Table2614256789111213161718[[#This Row],[Selection Options]:[Selection Options]],","))),,N$11),"")</f>
        <v>100%: Fully Comply</v>
      </c>
      <c r="O21" s="29" t="str" cm="1">
        <f t="array" ref="O21">IFERROR(INDEX(_xlfn.UNIQUE(TRIM(_xlfn.TEXTSPLIT(Table2614256789111213161718[[#This Row],[Selection Options]:[Selection Options]],","))),,O$11),"")</f>
        <v xml:space="preserve">
0%: No Compliance</v>
      </c>
      <c r="P21" s="29" t="str" cm="1">
        <f t="array" ref="P21">IFERROR(INDEX(_xlfn.UNIQUE(TRIM(_xlfn.TEXTSPLIT(Table2614256789111213161718[[#This Row],[Selection Options]:[Selection Options]],","))),,P$11),"")</f>
        <v/>
      </c>
      <c r="Q21" s="29" t="str" cm="1">
        <f t="array" ref="Q21">IFERROR(INDEX(_xlfn.UNIQUE(TRIM(_xlfn.TEXTSPLIT(Table2614256789111213161718[[#This Row],[Selection Options]:[Selection Options]],","))),,Q$11),"")</f>
        <v/>
      </c>
      <c r="R21" s="29" t="str" cm="1">
        <f t="array" ref="R21">IFERROR(INDEX(_xlfn.UNIQUE(TRIM(_xlfn.TEXTSPLIT(Table2614256789111213161718[[#This Row],[Selection Options]:[Selection Options]],","))),,R$11),"")</f>
        <v/>
      </c>
      <c r="S21" s="29" t="str" cm="1">
        <f t="array" ref="S21">IFERROR(INDEX(_xlfn.UNIQUE(TRIM(_xlfn.TEXTSPLIT(Table2614256789111213161718[[#This Row],[Selection Options]:[Selection Options]],","))),,S$11),"")</f>
        <v/>
      </c>
      <c r="T21" s="29" t="str" cm="1">
        <f t="array" ref="T21">IFERROR(INDEX(_xlfn.UNIQUE(TRIM(_xlfn.TEXTSPLIT(Table2614256789111213161718[[#This Row],[Selection Options]:[Selection Options]],","))),,T$11),"")</f>
        <v/>
      </c>
      <c r="U21" s="29" t="str" cm="1">
        <f t="array" ref="U21">IFERROR(INDEX(_xlfn.UNIQUE(TRIM(_xlfn.TEXTSPLIT(Table2614256789111213161718[[#This Row],[Selection Options]:[Selection Options]],","))),,U$11),"")</f>
        <v/>
      </c>
      <c r="V21" s="29" t="str" cm="1">
        <f t="array" ref="V21">IFERROR(INDEX(_xlfn.UNIQUE(TRIM(_xlfn.TEXTSPLIT(Table2614256789111213161718[[#This Row],[Selection Options]:[Selection Options]],","))),,V$11),"")</f>
        <v/>
      </c>
      <c r="W21" s="29" t="str" cm="1">
        <f t="array" ref="W21">IFERROR(INDEX(_xlfn.UNIQUE(TRIM(_xlfn.TEXTSPLIT(Table2614256789111213161718[[#This Row],[Selection Options]:[Selection Options]],","))),,W$11),"")</f>
        <v/>
      </c>
      <c r="X21" s="29" t="str" cm="1">
        <f t="array" ref="X21">IFERROR(INDEX(_xlfn.UNIQUE(TRIM(_xlfn.TEXTSPLIT(Table2614256789111213161718[[#This Row],[Selection Options]:[Selection Options]],","))),,X$11),"")</f>
        <v/>
      </c>
      <c r="Y21" s="30" cm="1">
        <f t="array" ref="Y21">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21" s="30" cm="1">
        <f t="array" ref="Z21">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1" s="30" t="str" cm="1">
        <f t="array" ref="AA21">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1" s="30" t="str" cm="1">
        <f t="array" ref="AB21">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1" s="30" t="str" cm="1">
        <f t="array" ref="AC21">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1" s="30" t="str" cm="1">
        <f t="array" ref="AD21">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1" s="30" t="str" cm="1">
        <f t="array" ref="AE21">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1" s="30" t="str" cm="1">
        <f t="array" ref="AF21">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1" s="30" t="str" cm="1">
        <f t="array" ref="AG21">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1" s="30" t="str" cm="1">
        <f t="array" ref="AH21">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1" s="30" t="str" cm="1">
        <f t="array" ref="AI21">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2" spans="1:35" ht="48" x14ac:dyDescent="0.2">
      <c r="A22" s="20">
        <v>10</v>
      </c>
      <c r="B22" s="21" t="s">
        <v>733</v>
      </c>
      <c r="C22" s="21" t="s">
        <v>728</v>
      </c>
      <c r="D22" s="31"/>
      <c r="E22" s="31"/>
      <c r="F22" s="159" t="s">
        <v>60</v>
      </c>
      <c r="G22" s="155" cm="1">
        <f t="array" ref="G22">_xlfn.IFS(F22="","",F22="No interest",0,F22="Nice to have",1,F22="Useful",2,F22="Important",3,F22="Very important",4,F22="Critical",5,F22="Show stopper",6)</f>
        <v>6</v>
      </c>
      <c r="H22" s="156">
        <f t="shared" si="1"/>
        <v>1.2195121951219514E-3</v>
      </c>
      <c r="I22" s="154" t="s">
        <v>720</v>
      </c>
      <c r="J22" s="158" t="str" cm="1">
        <f t="array" ref="J22">_xlfn.TEXTJOIN(","&amp;CHAR(10),,TEXT(Table2614256789111213161718[[#This Row],[12]:[22]],"0,00%"))</f>
        <v>0,00%,
0,00%</v>
      </c>
      <c r="K22" s="26"/>
      <c r="L22" s="27" t="e">
        <f>H22-(H22*((MATCH(Table2614256789111213161718[[#This Row],[Evaluators Response (SELECT)]],Table2614256789111213161718[[#This Row],[1]:[11]],0)-1)/(COUNTA(Table2614256789111213161718[[#This Row],[1]:[11]])-COUNTBLANK(Table2614256789111213161718[[#This Row],[1]:[11]])-1)))</f>
        <v>#N/A</v>
      </c>
      <c r="M22" s="28"/>
      <c r="N22" s="29" t="str" cm="1">
        <f t="array" ref="N22">IFERROR(INDEX(_xlfn.UNIQUE(TRIM(_xlfn.TEXTSPLIT(Table2614256789111213161718[[#This Row],[Selection Options]:[Selection Options]],","))),,N$11),"")</f>
        <v>100%: Fully Comply</v>
      </c>
      <c r="O22" s="29" t="str" cm="1">
        <f t="array" ref="O22">IFERROR(INDEX(_xlfn.UNIQUE(TRIM(_xlfn.TEXTSPLIT(Table2614256789111213161718[[#This Row],[Selection Options]:[Selection Options]],","))),,O$11),"")</f>
        <v xml:space="preserve">
0%: No Compliance</v>
      </c>
      <c r="P22" s="29" t="str" cm="1">
        <f t="array" ref="P22">IFERROR(INDEX(_xlfn.UNIQUE(TRIM(_xlfn.TEXTSPLIT(Table2614256789111213161718[[#This Row],[Selection Options]:[Selection Options]],","))),,P$11),"")</f>
        <v/>
      </c>
      <c r="Q22" s="29" t="str" cm="1">
        <f t="array" ref="Q22">IFERROR(INDEX(_xlfn.UNIQUE(TRIM(_xlfn.TEXTSPLIT(Table2614256789111213161718[[#This Row],[Selection Options]:[Selection Options]],","))),,Q$11),"")</f>
        <v/>
      </c>
      <c r="R22" s="29" t="str" cm="1">
        <f t="array" ref="R22">IFERROR(INDEX(_xlfn.UNIQUE(TRIM(_xlfn.TEXTSPLIT(Table2614256789111213161718[[#This Row],[Selection Options]:[Selection Options]],","))),,R$11),"")</f>
        <v/>
      </c>
      <c r="S22" s="29" t="str" cm="1">
        <f t="array" ref="S22">IFERROR(INDEX(_xlfn.UNIQUE(TRIM(_xlfn.TEXTSPLIT(Table2614256789111213161718[[#This Row],[Selection Options]:[Selection Options]],","))),,S$11),"")</f>
        <v/>
      </c>
      <c r="T22" s="29" t="str" cm="1">
        <f t="array" ref="T22">IFERROR(INDEX(_xlfn.UNIQUE(TRIM(_xlfn.TEXTSPLIT(Table2614256789111213161718[[#This Row],[Selection Options]:[Selection Options]],","))),,T$11),"")</f>
        <v/>
      </c>
      <c r="U22" s="29" t="str" cm="1">
        <f t="array" ref="U22">IFERROR(INDEX(_xlfn.UNIQUE(TRIM(_xlfn.TEXTSPLIT(Table2614256789111213161718[[#This Row],[Selection Options]:[Selection Options]],","))),,U$11),"")</f>
        <v/>
      </c>
      <c r="V22" s="29" t="str" cm="1">
        <f t="array" ref="V22">IFERROR(INDEX(_xlfn.UNIQUE(TRIM(_xlfn.TEXTSPLIT(Table2614256789111213161718[[#This Row],[Selection Options]:[Selection Options]],","))),,V$11),"")</f>
        <v/>
      </c>
      <c r="W22" s="29" t="str" cm="1">
        <f t="array" ref="W22">IFERROR(INDEX(_xlfn.UNIQUE(TRIM(_xlfn.TEXTSPLIT(Table2614256789111213161718[[#This Row],[Selection Options]:[Selection Options]],","))),,W$11),"")</f>
        <v/>
      </c>
      <c r="X22" s="29" t="str" cm="1">
        <f t="array" ref="X22">IFERROR(INDEX(_xlfn.UNIQUE(TRIM(_xlfn.TEXTSPLIT(Table2614256789111213161718[[#This Row],[Selection Options]:[Selection Options]],","))),,X$11),"")</f>
        <v/>
      </c>
      <c r="Y22" s="30" cm="1">
        <f t="array" ref="Y22">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22" s="30" cm="1">
        <f t="array" ref="Z22">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2" s="30" t="str" cm="1">
        <f t="array" ref="AA22">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2" s="30" t="str" cm="1">
        <f t="array" ref="AB22">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2" s="30" t="str" cm="1">
        <f t="array" ref="AC22">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2" s="30" t="str" cm="1">
        <f t="array" ref="AD22">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2" s="30" t="str" cm="1">
        <f t="array" ref="AE22">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2" s="30" t="str" cm="1">
        <f t="array" ref="AF22">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2" s="30" t="str" cm="1">
        <f t="array" ref="AG22">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2" s="30" t="str" cm="1">
        <f t="array" ref="AH22">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2" s="30" t="str" cm="1">
        <f t="array" ref="AI22">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3" spans="1:35" ht="72" x14ac:dyDescent="0.2">
      <c r="A23" s="20">
        <v>11</v>
      </c>
      <c r="B23" s="21" t="s">
        <v>734</v>
      </c>
      <c r="C23" s="21" t="s">
        <v>728</v>
      </c>
      <c r="D23" s="31"/>
      <c r="E23" s="31"/>
      <c r="F23" s="159" t="s">
        <v>56</v>
      </c>
      <c r="G23" s="155" cm="1">
        <f t="array" ref="G23">_xlfn.IFS(F23="","",F23="No interest",0,F23="Nice to have",1,F23="Useful",2,F23="Important",3,F23="Very important",4,F23="Critical",5,F23="Show stopper",6)</f>
        <v>3</v>
      </c>
      <c r="H23" s="156">
        <f t="shared" si="1"/>
        <v>6.0975609756097572E-4</v>
      </c>
      <c r="I23" s="154" t="s">
        <v>720</v>
      </c>
      <c r="J23" s="158" t="str" cm="1">
        <f t="array" ref="J23">_xlfn.TEXTJOIN(","&amp;CHAR(10),,TEXT(Table2614256789111213161718[[#This Row],[12]:[22]],"0,00%"))</f>
        <v>0,00%,
0,00%</v>
      </c>
      <c r="K23" s="26"/>
      <c r="L23" s="27" t="e">
        <f>H23-(H23*((MATCH(Table2614256789111213161718[[#This Row],[Evaluators Response (SELECT)]],Table2614256789111213161718[[#This Row],[1]:[11]],0)-1)/(COUNTA(Table2614256789111213161718[[#This Row],[1]:[11]])-COUNTBLANK(Table2614256789111213161718[[#This Row],[1]:[11]])-1)))</f>
        <v>#N/A</v>
      </c>
      <c r="M23" s="28"/>
      <c r="N23" s="29" t="str" cm="1">
        <f t="array" ref="N23">IFERROR(INDEX(_xlfn.UNIQUE(TRIM(_xlfn.TEXTSPLIT(Table2614256789111213161718[[#This Row],[Selection Options]:[Selection Options]],","))),,N$11),"")</f>
        <v>100%: Fully Comply</v>
      </c>
      <c r="O23" s="29" t="str" cm="1">
        <f t="array" ref="O23">IFERROR(INDEX(_xlfn.UNIQUE(TRIM(_xlfn.TEXTSPLIT(Table2614256789111213161718[[#This Row],[Selection Options]:[Selection Options]],","))),,O$11),"")</f>
        <v xml:space="preserve">
0%: No Compliance</v>
      </c>
      <c r="P23" s="29" t="str" cm="1">
        <f t="array" ref="P23">IFERROR(INDEX(_xlfn.UNIQUE(TRIM(_xlfn.TEXTSPLIT(Table2614256789111213161718[[#This Row],[Selection Options]:[Selection Options]],","))),,P$11),"")</f>
        <v/>
      </c>
      <c r="Q23" s="29" t="str" cm="1">
        <f t="array" ref="Q23">IFERROR(INDEX(_xlfn.UNIQUE(TRIM(_xlfn.TEXTSPLIT(Table2614256789111213161718[[#This Row],[Selection Options]:[Selection Options]],","))),,Q$11),"")</f>
        <v/>
      </c>
      <c r="R23" s="29" t="str" cm="1">
        <f t="array" ref="R23">IFERROR(INDEX(_xlfn.UNIQUE(TRIM(_xlfn.TEXTSPLIT(Table2614256789111213161718[[#This Row],[Selection Options]:[Selection Options]],","))),,R$11),"")</f>
        <v/>
      </c>
      <c r="S23" s="29" t="str" cm="1">
        <f t="array" ref="S23">IFERROR(INDEX(_xlfn.UNIQUE(TRIM(_xlfn.TEXTSPLIT(Table2614256789111213161718[[#This Row],[Selection Options]:[Selection Options]],","))),,S$11),"")</f>
        <v/>
      </c>
      <c r="T23" s="29" t="str" cm="1">
        <f t="array" ref="T23">IFERROR(INDEX(_xlfn.UNIQUE(TRIM(_xlfn.TEXTSPLIT(Table2614256789111213161718[[#This Row],[Selection Options]:[Selection Options]],","))),,T$11),"")</f>
        <v/>
      </c>
      <c r="U23" s="29" t="str" cm="1">
        <f t="array" ref="U23">IFERROR(INDEX(_xlfn.UNIQUE(TRIM(_xlfn.TEXTSPLIT(Table2614256789111213161718[[#This Row],[Selection Options]:[Selection Options]],","))),,U$11),"")</f>
        <v/>
      </c>
      <c r="V23" s="29" t="str" cm="1">
        <f t="array" ref="V23">IFERROR(INDEX(_xlfn.UNIQUE(TRIM(_xlfn.TEXTSPLIT(Table2614256789111213161718[[#This Row],[Selection Options]:[Selection Options]],","))),,V$11),"")</f>
        <v/>
      </c>
      <c r="W23" s="29" t="str" cm="1">
        <f t="array" ref="W23">IFERROR(INDEX(_xlfn.UNIQUE(TRIM(_xlfn.TEXTSPLIT(Table2614256789111213161718[[#This Row],[Selection Options]:[Selection Options]],","))),,W$11),"")</f>
        <v/>
      </c>
      <c r="X23" s="29" t="str" cm="1">
        <f t="array" ref="X23">IFERROR(INDEX(_xlfn.UNIQUE(TRIM(_xlfn.TEXTSPLIT(Table2614256789111213161718[[#This Row],[Selection Options]:[Selection Options]],","))),,X$11),"")</f>
        <v/>
      </c>
      <c r="Y23" s="30" cm="1">
        <f t="array" ref="Y23">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6.0975609756097572E-4</v>
      </c>
      <c r="Z23" s="30" cm="1">
        <f t="array" ref="Z23">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3" s="30" t="str" cm="1">
        <f t="array" ref="AA23">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3" s="30" t="str" cm="1">
        <f t="array" ref="AB23">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3" s="30" t="str" cm="1">
        <f t="array" ref="AC23">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3" s="30" t="str" cm="1">
        <f t="array" ref="AD23">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3" s="30" t="str" cm="1">
        <f t="array" ref="AE23">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3" s="30" t="str" cm="1">
        <f t="array" ref="AF23">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3" s="30" t="str" cm="1">
        <f t="array" ref="AG23">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3" s="30" t="str" cm="1">
        <f t="array" ref="AH23">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3" s="30" t="str" cm="1">
        <f t="array" ref="AI23">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4" spans="1:35" ht="60" x14ac:dyDescent="0.2">
      <c r="A24" s="20">
        <v>12</v>
      </c>
      <c r="B24" s="21" t="s">
        <v>735</v>
      </c>
      <c r="C24" s="21" t="s">
        <v>728</v>
      </c>
      <c r="D24" s="31"/>
      <c r="E24" s="31"/>
      <c r="F24" s="159" t="s">
        <v>60</v>
      </c>
      <c r="G24" s="155" cm="1">
        <f t="array" ref="G24">_xlfn.IFS(F24="","",F24="No interest",0,F24="Nice to have",1,F24="Useful",2,F24="Important",3,F24="Very important",4,F24="Critical",5,F24="Show stopper",6)</f>
        <v>6</v>
      </c>
      <c r="H24" s="156">
        <f t="shared" si="1"/>
        <v>1.2195121951219514E-3</v>
      </c>
      <c r="I24" s="154" t="s">
        <v>720</v>
      </c>
      <c r="J24" s="158" t="str" cm="1">
        <f t="array" ref="J24">_xlfn.TEXTJOIN(","&amp;CHAR(10),,TEXT(Table2614256789111213161718[[#This Row],[12]:[22]],"0,00%"))</f>
        <v>0,00%,
0,00%</v>
      </c>
      <c r="K24" s="26"/>
      <c r="L24" s="27" t="e">
        <f>H24-(H24*((MATCH(Table2614256789111213161718[[#This Row],[Evaluators Response (SELECT)]],Table2614256789111213161718[[#This Row],[1]:[11]],0)-1)/(COUNTA(Table2614256789111213161718[[#This Row],[1]:[11]])-COUNTBLANK(Table2614256789111213161718[[#This Row],[1]:[11]])-1)))</f>
        <v>#N/A</v>
      </c>
      <c r="M24" s="28"/>
      <c r="N24" s="29" t="str" cm="1">
        <f t="array" ref="N24">IFERROR(INDEX(_xlfn.UNIQUE(TRIM(_xlfn.TEXTSPLIT(Table2614256789111213161718[[#This Row],[Selection Options]:[Selection Options]],","))),,N$11),"")</f>
        <v>100%: Fully Comply</v>
      </c>
      <c r="O24" s="29" t="str" cm="1">
        <f t="array" ref="O24">IFERROR(INDEX(_xlfn.UNIQUE(TRIM(_xlfn.TEXTSPLIT(Table2614256789111213161718[[#This Row],[Selection Options]:[Selection Options]],","))),,O$11),"")</f>
        <v xml:space="preserve">
0%: No Compliance</v>
      </c>
      <c r="P24" s="29" t="str" cm="1">
        <f t="array" ref="P24">IFERROR(INDEX(_xlfn.UNIQUE(TRIM(_xlfn.TEXTSPLIT(Table2614256789111213161718[[#This Row],[Selection Options]:[Selection Options]],","))),,P$11),"")</f>
        <v/>
      </c>
      <c r="Q24" s="29" t="str" cm="1">
        <f t="array" ref="Q24">IFERROR(INDEX(_xlfn.UNIQUE(TRIM(_xlfn.TEXTSPLIT(Table2614256789111213161718[[#This Row],[Selection Options]:[Selection Options]],","))),,Q$11),"")</f>
        <v/>
      </c>
      <c r="R24" s="29" t="str" cm="1">
        <f t="array" ref="R24">IFERROR(INDEX(_xlfn.UNIQUE(TRIM(_xlfn.TEXTSPLIT(Table2614256789111213161718[[#This Row],[Selection Options]:[Selection Options]],","))),,R$11),"")</f>
        <v/>
      </c>
      <c r="S24" s="29" t="str" cm="1">
        <f t="array" ref="S24">IFERROR(INDEX(_xlfn.UNIQUE(TRIM(_xlfn.TEXTSPLIT(Table2614256789111213161718[[#This Row],[Selection Options]:[Selection Options]],","))),,S$11),"")</f>
        <v/>
      </c>
      <c r="T24" s="29" t="str" cm="1">
        <f t="array" ref="T24">IFERROR(INDEX(_xlfn.UNIQUE(TRIM(_xlfn.TEXTSPLIT(Table2614256789111213161718[[#This Row],[Selection Options]:[Selection Options]],","))),,T$11),"")</f>
        <v/>
      </c>
      <c r="U24" s="29" t="str" cm="1">
        <f t="array" ref="U24">IFERROR(INDEX(_xlfn.UNIQUE(TRIM(_xlfn.TEXTSPLIT(Table2614256789111213161718[[#This Row],[Selection Options]:[Selection Options]],","))),,U$11),"")</f>
        <v/>
      </c>
      <c r="V24" s="29" t="str" cm="1">
        <f t="array" ref="V24">IFERROR(INDEX(_xlfn.UNIQUE(TRIM(_xlfn.TEXTSPLIT(Table2614256789111213161718[[#This Row],[Selection Options]:[Selection Options]],","))),,V$11),"")</f>
        <v/>
      </c>
      <c r="W24" s="29" t="str" cm="1">
        <f t="array" ref="W24">IFERROR(INDEX(_xlfn.UNIQUE(TRIM(_xlfn.TEXTSPLIT(Table2614256789111213161718[[#This Row],[Selection Options]:[Selection Options]],","))),,W$11),"")</f>
        <v/>
      </c>
      <c r="X24" s="29" t="str" cm="1">
        <f t="array" ref="X24">IFERROR(INDEX(_xlfn.UNIQUE(TRIM(_xlfn.TEXTSPLIT(Table2614256789111213161718[[#This Row],[Selection Options]:[Selection Options]],","))),,X$11),"")</f>
        <v/>
      </c>
      <c r="Y24" s="30" cm="1">
        <f t="array" ref="Y24">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24" s="30" cm="1">
        <f t="array" ref="Z24">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4" s="30" t="str" cm="1">
        <f t="array" ref="AA24">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4" s="30" t="str" cm="1">
        <f t="array" ref="AB24">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4" s="30" t="str" cm="1">
        <f t="array" ref="AC24">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4" s="30" t="str" cm="1">
        <f t="array" ref="AD24">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4" s="30" t="str" cm="1">
        <f t="array" ref="AE24">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4" s="30" t="str" cm="1">
        <f t="array" ref="AF24">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4" s="30" t="str" cm="1">
        <f t="array" ref="AG24">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4" s="30" t="str" cm="1">
        <f t="array" ref="AH24">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4" s="30" t="str" cm="1">
        <f t="array" ref="AI24">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5" spans="1:35" ht="132" x14ac:dyDescent="0.2">
      <c r="A25" s="20">
        <v>13</v>
      </c>
      <c r="B25" s="21" t="s">
        <v>736</v>
      </c>
      <c r="C25" s="21" t="s">
        <v>737</v>
      </c>
      <c r="D25" s="31"/>
      <c r="E25" s="31"/>
      <c r="F25" s="159" t="s">
        <v>188</v>
      </c>
      <c r="G25" s="155" cm="1">
        <f t="array" ref="G25">_xlfn.IFS(F25="","",F25="No interest",0,F25="Nice to have",1,F25="Useful",2,F25="Important",3,F25="Very important",4,F25="Critical",5,F25="Show stopper",6)</f>
        <v>5</v>
      </c>
      <c r="H25" s="156">
        <f t="shared" si="1"/>
        <v>1.0162601626016261E-3</v>
      </c>
      <c r="I25" s="154" t="s">
        <v>720</v>
      </c>
      <c r="J25" s="158" t="str" cm="1">
        <f t="array" ref="J25">_xlfn.TEXTJOIN(","&amp;CHAR(10),,TEXT(Table2614256789111213161718[[#This Row],[12]:[22]],"0,00%"))</f>
        <v>0,00%,
0,00%</v>
      </c>
      <c r="K25" s="26"/>
      <c r="L25" s="27" t="e">
        <f>H25-(H25*((MATCH(Table2614256789111213161718[[#This Row],[Evaluators Response (SELECT)]],Table2614256789111213161718[[#This Row],[1]:[11]],0)-1)/(COUNTA(Table2614256789111213161718[[#This Row],[1]:[11]])-COUNTBLANK(Table2614256789111213161718[[#This Row],[1]:[11]])-1)))</f>
        <v>#N/A</v>
      </c>
      <c r="M25" s="28"/>
      <c r="N25" s="29" t="str" cm="1">
        <f t="array" ref="N25">IFERROR(INDEX(_xlfn.UNIQUE(TRIM(_xlfn.TEXTSPLIT(Table2614256789111213161718[[#This Row],[Selection Options]:[Selection Options]],","))),,N$11),"")</f>
        <v>100%: Fully Comply</v>
      </c>
      <c r="O25" s="29" t="str" cm="1">
        <f t="array" ref="O25">IFERROR(INDEX(_xlfn.UNIQUE(TRIM(_xlfn.TEXTSPLIT(Table2614256789111213161718[[#This Row],[Selection Options]:[Selection Options]],","))),,O$11),"")</f>
        <v xml:space="preserve">
0%: No Compliance</v>
      </c>
      <c r="P25" s="29" t="str" cm="1">
        <f t="array" ref="P25">IFERROR(INDEX(_xlfn.UNIQUE(TRIM(_xlfn.TEXTSPLIT(Table2614256789111213161718[[#This Row],[Selection Options]:[Selection Options]],","))),,P$11),"")</f>
        <v/>
      </c>
      <c r="Q25" s="29" t="str" cm="1">
        <f t="array" ref="Q25">IFERROR(INDEX(_xlfn.UNIQUE(TRIM(_xlfn.TEXTSPLIT(Table2614256789111213161718[[#This Row],[Selection Options]:[Selection Options]],","))),,Q$11),"")</f>
        <v/>
      </c>
      <c r="R25" s="29" t="str" cm="1">
        <f t="array" ref="R25">IFERROR(INDEX(_xlfn.UNIQUE(TRIM(_xlfn.TEXTSPLIT(Table2614256789111213161718[[#This Row],[Selection Options]:[Selection Options]],","))),,R$11),"")</f>
        <v/>
      </c>
      <c r="S25" s="29" t="str" cm="1">
        <f t="array" ref="S25">IFERROR(INDEX(_xlfn.UNIQUE(TRIM(_xlfn.TEXTSPLIT(Table2614256789111213161718[[#This Row],[Selection Options]:[Selection Options]],","))),,S$11),"")</f>
        <v/>
      </c>
      <c r="T25" s="29" t="str" cm="1">
        <f t="array" ref="T25">IFERROR(INDEX(_xlfn.UNIQUE(TRIM(_xlfn.TEXTSPLIT(Table2614256789111213161718[[#This Row],[Selection Options]:[Selection Options]],","))),,T$11),"")</f>
        <v/>
      </c>
      <c r="U25" s="29" t="str" cm="1">
        <f t="array" ref="U25">IFERROR(INDEX(_xlfn.UNIQUE(TRIM(_xlfn.TEXTSPLIT(Table2614256789111213161718[[#This Row],[Selection Options]:[Selection Options]],","))),,U$11),"")</f>
        <v/>
      </c>
      <c r="V25" s="29" t="str" cm="1">
        <f t="array" ref="V25">IFERROR(INDEX(_xlfn.UNIQUE(TRIM(_xlfn.TEXTSPLIT(Table2614256789111213161718[[#This Row],[Selection Options]:[Selection Options]],","))),,V$11),"")</f>
        <v/>
      </c>
      <c r="W25" s="29" t="str" cm="1">
        <f t="array" ref="W25">IFERROR(INDEX(_xlfn.UNIQUE(TRIM(_xlfn.TEXTSPLIT(Table2614256789111213161718[[#This Row],[Selection Options]:[Selection Options]],","))),,W$11),"")</f>
        <v/>
      </c>
      <c r="X25" s="29" t="str" cm="1">
        <f t="array" ref="X25">IFERROR(INDEX(_xlfn.UNIQUE(TRIM(_xlfn.TEXTSPLIT(Table2614256789111213161718[[#This Row],[Selection Options]:[Selection Options]],","))),,X$11),"")</f>
        <v/>
      </c>
      <c r="Y25" s="30" cm="1">
        <f t="array" ref="Y25">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25" s="30" cm="1">
        <f t="array" ref="Z25">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5" s="30" t="str" cm="1">
        <f t="array" ref="AA25">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5" s="30" t="str" cm="1">
        <f t="array" ref="AB25">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5" s="30" t="str" cm="1">
        <f t="array" ref="AC25">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5" s="30" t="str" cm="1">
        <f t="array" ref="AD25">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5" s="30" t="str" cm="1">
        <f t="array" ref="AE25">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5" s="30" t="str" cm="1">
        <f t="array" ref="AF25">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5" s="30" t="str" cm="1">
        <f t="array" ref="AG25">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5" s="30" t="str" cm="1">
        <f t="array" ref="AH25">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5" s="30" t="str" cm="1">
        <f t="array" ref="AI25">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6" spans="1:35" ht="48" x14ac:dyDescent="0.2">
      <c r="A26" s="20">
        <v>14</v>
      </c>
      <c r="B26" s="21" t="s">
        <v>738</v>
      </c>
      <c r="C26" s="21" t="s">
        <v>739</v>
      </c>
      <c r="D26" s="28"/>
      <c r="E26" s="28"/>
      <c r="F26" s="159" t="s">
        <v>56</v>
      </c>
      <c r="G26" s="155" cm="1">
        <f t="array" ref="G26">_xlfn.IFS(F26="","",F26="No interest",0,F26="Nice to have",1,F26="Useful",2,F26="Important",3,F26="Very important",4,F26="Critical",5,F26="Show stopper",6)</f>
        <v>3</v>
      </c>
      <c r="H26" s="156">
        <f t="shared" si="1"/>
        <v>6.0975609756097572E-4</v>
      </c>
      <c r="I26" s="154" t="s">
        <v>720</v>
      </c>
      <c r="J26" s="158" t="str" cm="1">
        <f t="array" ref="J26">_xlfn.TEXTJOIN(","&amp;CHAR(10),,TEXT(Table2614256789111213161718[[#This Row],[12]:[22]],"0,00%"))</f>
        <v>0,00%,
0,00%</v>
      </c>
      <c r="K26" s="26"/>
      <c r="L26" s="27" t="e">
        <f>H26-(H26*((MATCH(Table2614256789111213161718[[#This Row],[Evaluators Response (SELECT)]],Table2614256789111213161718[[#This Row],[1]:[11]],0)-1)/(COUNTA(Table2614256789111213161718[[#This Row],[1]:[11]])-COUNTBLANK(Table2614256789111213161718[[#This Row],[1]:[11]])-1)))</f>
        <v>#N/A</v>
      </c>
      <c r="M26" s="28"/>
      <c r="N26" s="29" t="str" cm="1">
        <f t="array" ref="N26">IFERROR(INDEX(_xlfn.UNIQUE(TRIM(_xlfn.TEXTSPLIT(Table2614256789111213161718[[#This Row],[Selection Options]:[Selection Options]],","))),,N$11),"")</f>
        <v>100%: Fully Comply</v>
      </c>
      <c r="O26" s="29" t="str" cm="1">
        <f t="array" ref="O26">IFERROR(INDEX(_xlfn.UNIQUE(TRIM(_xlfn.TEXTSPLIT(Table2614256789111213161718[[#This Row],[Selection Options]:[Selection Options]],","))),,O$11),"")</f>
        <v xml:space="preserve">
0%: No Compliance</v>
      </c>
      <c r="P26" s="29" t="str" cm="1">
        <f t="array" ref="P26">IFERROR(INDEX(_xlfn.UNIQUE(TRIM(_xlfn.TEXTSPLIT(Table2614256789111213161718[[#This Row],[Selection Options]:[Selection Options]],","))),,P$11),"")</f>
        <v/>
      </c>
      <c r="Q26" s="29" t="str" cm="1">
        <f t="array" ref="Q26">IFERROR(INDEX(_xlfn.UNIQUE(TRIM(_xlfn.TEXTSPLIT(Table2614256789111213161718[[#This Row],[Selection Options]:[Selection Options]],","))),,Q$11),"")</f>
        <v/>
      </c>
      <c r="R26" s="29" t="str" cm="1">
        <f t="array" ref="R26">IFERROR(INDEX(_xlfn.UNIQUE(TRIM(_xlfn.TEXTSPLIT(Table2614256789111213161718[[#This Row],[Selection Options]:[Selection Options]],","))),,R$11),"")</f>
        <v/>
      </c>
      <c r="S26" s="29" t="str" cm="1">
        <f t="array" ref="S26">IFERROR(INDEX(_xlfn.UNIQUE(TRIM(_xlfn.TEXTSPLIT(Table2614256789111213161718[[#This Row],[Selection Options]:[Selection Options]],","))),,S$11),"")</f>
        <v/>
      </c>
      <c r="T26" s="29" t="str" cm="1">
        <f t="array" ref="T26">IFERROR(INDEX(_xlfn.UNIQUE(TRIM(_xlfn.TEXTSPLIT(Table2614256789111213161718[[#This Row],[Selection Options]:[Selection Options]],","))),,T$11),"")</f>
        <v/>
      </c>
      <c r="U26" s="29" t="str" cm="1">
        <f t="array" ref="U26">IFERROR(INDEX(_xlfn.UNIQUE(TRIM(_xlfn.TEXTSPLIT(Table2614256789111213161718[[#This Row],[Selection Options]:[Selection Options]],","))),,U$11),"")</f>
        <v/>
      </c>
      <c r="V26" s="29" t="str" cm="1">
        <f t="array" ref="V26">IFERROR(INDEX(_xlfn.UNIQUE(TRIM(_xlfn.TEXTSPLIT(Table2614256789111213161718[[#This Row],[Selection Options]:[Selection Options]],","))),,V$11),"")</f>
        <v/>
      </c>
      <c r="W26" s="29" t="str" cm="1">
        <f t="array" ref="W26">IFERROR(INDEX(_xlfn.UNIQUE(TRIM(_xlfn.TEXTSPLIT(Table2614256789111213161718[[#This Row],[Selection Options]:[Selection Options]],","))),,W$11),"")</f>
        <v/>
      </c>
      <c r="X26" s="29" t="str" cm="1">
        <f t="array" ref="X26">IFERROR(INDEX(_xlfn.UNIQUE(TRIM(_xlfn.TEXTSPLIT(Table2614256789111213161718[[#This Row],[Selection Options]:[Selection Options]],","))),,X$11),"")</f>
        <v/>
      </c>
      <c r="Y26" s="30" cm="1">
        <f t="array" ref="Y26">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6.0975609756097572E-4</v>
      </c>
      <c r="Z26" s="30" cm="1">
        <f t="array" ref="Z26">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6" s="30" t="str" cm="1">
        <f t="array" ref="AA26">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6" s="30" t="str" cm="1">
        <f t="array" ref="AB26">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6" s="30" t="str" cm="1">
        <f t="array" ref="AC26">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6" s="30" t="str" cm="1">
        <f t="array" ref="AD26">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6" s="30" t="str" cm="1">
        <f t="array" ref="AE26">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6" s="30" t="str" cm="1">
        <f t="array" ref="AF26">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6" s="30" t="str" cm="1">
        <f t="array" ref="AG26">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6" s="30" t="str" cm="1">
        <f t="array" ref="AH26">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6" s="30" t="str" cm="1">
        <f t="array" ref="AI26">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7" spans="1:35" ht="72" x14ac:dyDescent="0.2">
      <c r="A27" s="20">
        <v>15</v>
      </c>
      <c r="B27" s="21" t="s">
        <v>740</v>
      </c>
      <c r="C27" s="21" t="s">
        <v>741</v>
      </c>
      <c r="D27" s="28"/>
      <c r="E27" s="28"/>
      <c r="F27" s="159" t="s">
        <v>56</v>
      </c>
      <c r="G27" s="155" cm="1">
        <f t="array" ref="G27">_xlfn.IFS(F27="","",F27="No interest",0,F27="Nice to have",1,F27="Useful",2,F27="Important",3,F27="Very important",4,F27="Critical",5,F27="Show stopper",6)</f>
        <v>3</v>
      </c>
      <c r="H27" s="156">
        <f t="shared" si="1"/>
        <v>6.0975609756097572E-4</v>
      </c>
      <c r="I27" s="154" t="s">
        <v>720</v>
      </c>
      <c r="J27" s="158" t="str" cm="1">
        <f t="array" ref="J27">_xlfn.TEXTJOIN(","&amp;CHAR(10),,TEXT(Table2614256789111213161718[[#This Row],[12]:[22]],"0,00%"))</f>
        <v>0,00%,
0,00%</v>
      </c>
      <c r="K27" s="26"/>
      <c r="L27" s="27" t="e">
        <f>H27-(H27*((MATCH(Table2614256789111213161718[[#This Row],[Evaluators Response (SELECT)]],Table2614256789111213161718[[#This Row],[1]:[11]],0)-1)/(COUNTA(Table2614256789111213161718[[#This Row],[1]:[11]])-COUNTBLANK(Table2614256789111213161718[[#This Row],[1]:[11]])-1)))</f>
        <v>#N/A</v>
      </c>
      <c r="M27" s="28"/>
      <c r="N27" s="29" t="str" cm="1">
        <f t="array" ref="N27">IFERROR(INDEX(_xlfn.UNIQUE(TRIM(_xlfn.TEXTSPLIT(Table2614256789111213161718[[#This Row],[Selection Options]:[Selection Options]],","))),,N$11),"")</f>
        <v>100%: Fully Comply</v>
      </c>
      <c r="O27" s="29" t="str" cm="1">
        <f t="array" ref="O27">IFERROR(INDEX(_xlfn.UNIQUE(TRIM(_xlfn.TEXTSPLIT(Table2614256789111213161718[[#This Row],[Selection Options]:[Selection Options]],","))),,O$11),"")</f>
        <v xml:space="preserve">
0%: No Compliance</v>
      </c>
      <c r="P27" s="29" t="str" cm="1">
        <f t="array" ref="P27">IFERROR(INDEX(_xlfn.UNIQUE(TRIM(_xlfn.TEXTSPLIT(Table2614256789111213161718[[#This Row],[Selection Options]:[Selection Options]],","))),,P$11),"")</f>
        <v/>
      </c>
      <c r="Q27" s="29" t="str" cm="1">
        <f t="array" ref="Q27">IFERROR(INDEX(_xlfn.UNIQUE(TRIM(_xlfn.TEXTSPLIT(Table2614256789111213161718[[#This Row],[Selection Options]:[Selection Options]],","))),,Q$11),"")</f>
        <v/>
      </c>
      <c r="R27" s="29" t="str" cm="1">
        <f t="array" ref="R27">IFERROR(INDEX(_xlfn.UNIQUE(TRIM(_xlfn.TEXTSPLIT(Table2614256789111213161718[[#This Row],[Selection Options]:[Selection Options]],","))),,R$11),"")</f>
        <v/>
      </c>
      <c r="S27" s="29" t="str" cm="1">
        <f t="array" ref="S27">IFERROR(INDEX(_xlfn.UNIQUE(TRIM(_xlfn.TEXTSPLIT(Table2614256789111213161718[[#This Row],[Selection Options]:[Selection Options]],","))),,S$11),"")</f>
        <v/>
      </c>
      <c r="T27" s="29" t="str" cm="1">
        <f t="array" ref="T27">IFERROR(INDEX(_xlfn.UNIQUE(TRIM(_xlfn.TEXTSPLIT(Table2614256789111213161718[[#This Row],[Selection Options]:[Selection Options]],","))),,T$11),"")</f>
        <v/>
      </c>
      <c r="U27" s="29" t="str" cm="1">
        <f t="array" ref="U27">IFERROR(INDEX(_xlfn.UNIQUE(TRIM(_xlfn.TEXTSPLIT(Table2614256789111213161718[[#This Row],[Selection Options]:[Selection Options]],","))),,U$11),"")</f>
        <v/>
      </c>
      <c r="V27" s="29" t="str" cm="1">
        <f t="array" ref="V27">IFERROR(INDEX(_xlfn.UNIQUE(TRIM(_xlfn.TEXTSPLIT(Table2614256789111213161718[[#This Row],[Selection Options]:[Selection Options]],","))),,V$11),"")</f>
        <v/>
      </c>
      <c r="W27" s="29" t="str" cm="1">
        <f t="array" ref="W27">IFERROR(INDEX(_xlfn.UNIQUE(TRIM(_xlfn.TEXTSPLIT(Table2614256789111213161718[[#This Row],[Selection Options]:[Selection Options]],","))),,W$11),"")</f>
        <v/>
      </c>
      <c r="X27" s="29" t="str" cm="1">
        <f t="array" ref="X27">IFERROR(INDEX(_xlfn.UNIQUE(TRIM(_xlfn.TEXTSPLIT(Table2614256789111213161718[[#This Row],[Selection Options]:[Selection Options]],","))),,X$11),"")</f>
        <v/>
      </c>
      <c r="Y27" s="30" cm="1">
        <f t="array" ref="Y27">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6.0975609756097572E-4</v>
      </c>
      <c r="Z27" s="30" cm="1">
        <f t="array" ref="Z27">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7" s="30" t="str" cm="1">
        <f t="array" ref="AA27">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7" s="30" t="str" cm="1">
        <f t="array" ref="AB27">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7" s="30" t="str" cm="1">
        <f t="array" ref="AC27">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7" s="30" t="str" cm="1">
        <f t="array" ref="AD27">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7" s="30" t="str" cm="1">
        <f t="array" ref="AE27">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7" s="30" t="str" cm="1">
        <f t="array" ref="AF27">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7" s="30" t="str" cm="1">
        <f t="array" ref="AG27">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7" s="30" t="str" cm="1">
        <f t="array" ref="AH27">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7" s="30" t="str" cm="1">
        <f t="array" ref="AI27">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8" spans="1:35" ht="60" x14ac:dyDescent="0.2">
      <c r="A28" s="20">
        <v>16</v>
      </c>
      <c r="B28" s="21" t="s">
        <v>742</v>
      </c>
      <c r="C28" s="21" t="s">
        <v>743</v>
      </c>
      <c r="D28" s="28"/>
      <c r="E28" s="28"/>
      <c r="F28" s="159" t="s">
        <v>188</v>
      </c>
      <c r="G28" s="155" cm="1">
        <f t="array" ref="G28">_xlfn.IFS(F28="","",F28="No interest",0,F28="Nice to have",1,F28="Useful",2,F28="Important",3,F28="Very important",4,F28="Critical",5,F28="Show stopper",6)</f>
        <v>5</v>
      </c>
      <c r="H28" s="156">
        <f t="shared" si="1"/>
        <v>1.0162601626016261E-3</v>
      </c>
      <c r="I28" s="154" t="s">
        <v>720</v>
      </c>
      <c r="J28" s="158" t="str" cm="1">
        <f t="array" ref="J28">_xlfn.TEXTJOIN(","&amp;CHAR(10),,TEXT(Table2614256789111213161718[[#This Row],[12]:[22]],"0,00%"))</f>
        <v>0,00%,
0,00%</v>
      </c>
      <c r="K28" s="26"/>
      <c r="L28" s="27" t="e">
        <f>H28-(H28*((MATCH(Table2614256789111213161718[[#This Row],[Evaluators Response (SELECT)]],Table2614256789111213161718[[#This Row],[1]:[11]],0)-1)/(COUNTA(Table2614256789111213161718[[#This Row],[1]:[11]])-COUNTBLANK(Table2614256789111213161718[[#This Row],[1]:[11]])-1)))</f>
        <v>#N/A</v>
      </c>
      <c r="M28" s="28"/>
      <c r="N28" s="29" t="str" cm="1">
        <f t="array" ref="N28">IFERROR(INDEX(_xlfn.UNIQUE(TRIM(_xlfn.TEXTSPLIT(Table2614256789111213161718[[#This Row],[Selection Options]:[Selection Options]],","))),,N$11),"")</f>
        <v>100%: Fully Comply</v>
      </c>
      <c r="O28" s="29" t="str" cm="1">
        <f t="array" ref="O28">IFERROR(INDEX(_xlfn.UNIQUE(TRIM(_xlfn.TEXTSPLIT(Table2614256789111213161718[[#This Row],[Selection Options]:[Selection Options]],","))),,O$11),"")</f>
        <v xml:space="preserve">
0%: No Compliance</v>
      </c>
      <c r="P28" s="29" t="str" cm="1">
        <f t="array" ref="P28">IFERROR(INDEX(_xlfn.UNIQUE(TRIM(_xlfn.TEXTSPLIT(Table2614256789111213161718[[#This Row],[Selection Options]:[Selection Options]],","))),,P$11),"")</f>
        <v/>
      </c>
      <c r="Q28" s="29" t="str" cm="1">
        <f t="array" ref="Q28">IFERROR(INDEX(_xlfn.UNIQUE(TRIM(_xlfn.TEXTSPLIT(Table2614256789111213161718[[#This Row],[Selection Options]:[Selection Options]],","))),,Q$11),"")</f>
        <v/>
      </c>
      <c r="R28" s="29" t="str" cm="1">
        <f t="array" ref="R28">IFERROR(INDEX(_xlfn.UNIQUE(TRIM(_xlfn.TEXTSPLIT(Table2614256789111213161718[[#This Row],[Selection Options]:[Selection Options]],","))),,R$11),"")</f>
        <v/>
      </c>
      <c r="S28" s="29" t="str" cm="1">
        <f t="array" ref="S28">IFERROR(INDEX(_xlfn.UNIQUE(TRIM(_xlfn.TEXTSPLIT(Table2614256789111213161718[[#This Row],[Selection Options]:[Selection Options]],","))),,S$11),"")</f>
        <v/>
      </c>
      <c r="T28" s="29" t="str" cm="1">
        <f t="array" ref="T28">IFERROR(INDEX(_xlfn.UNIQUE(TRIM(_xlfn.TEXTSPLIT(Table2614256789111213161718[[#This Row],[Selection Options]:[Selection Options]],","))),,T$11),"")</f>
        <v/>
      </c>
      <c r="U28" s="29" t="str" cm="1">
        <f t="array" ref="U28">IFERROR(INDEX(_xlfn.UNIQUE(TRIM(_xlfn.TEXTSPLIT(Table2614256789111213161718[[#This Row],[Selection Options]:[Selection Options]],","))),,U$11),"")</f>
        <v/>
      </c>
      <c r="V28" s="29" t="str" cm="1">
        <f t="array" ref="V28">IFERROR(INDEX(_xlfn.UNIQUE(TRIM(_xlfn.TEXTSPLIT(Table2614256789111213161718[[#This Row],[Selection Options]:[Selection Options]],","))),,V$11),"")</f>
        <v/>
      </c>
      <c r="W28" s="29" t="str" cm="1">
        <f t="array" ref="W28">IFERROR(INDEX(_xlfn.UNIQUE(TRIM(_xlfn.TEXTSPLIT(Table2614256789111213161718[[#This Row],[Selection Options]:[Selection Options]],","))),,W$11),"")</f>
        <v/>
      </c>
      <c r="X28" s="29" t="str" cm="1">
        <f t="array" ref="X28">IFERROR(INDEX(_xlfn.UNIQUE(TRIM(_xlfn.TEXTSPLIT(Table2614256789111213161718[[#This Row],[Selection Options]:[Selection Options]],","))),,X$11),"")</f>
        <v/>
      </c>
      <c r="Y28" s="30" cm="1">
        <f t="array" ref="Y28">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1.0162601626016261E-3</v>
      </c>
      <c r="Z28" s="30" cm="1">
        <f t="array" ref="Z28">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8" s="30" t="str" cm="1">
        <f t="array" ref="AA28">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8" s="30" t="str" cm="1">
        <f t="array" ref="AB28">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8" s="30" t="str" cm="1">
        <f t="array" ref="AC28">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8" s="30" t="str" cm="1">
        <f t="array" ref="AD28">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8" s="30" t="str" cm="1">
        <f t="array" ref="AE28">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8" s="30" t="str" cm="1">
        <f t="array" ref="AF28">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8" s="30" t="str" cm="1">
        <f t="array" ref="AG28">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8" s="30" t="str" cm="1">
        <f t="array" ref="AH28">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8" s="30" t="str" cm="1">
        <f t="array" ref="AI28">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29" spans="1:35" ht="120" x14ac:dyDescent="0.2">
      <c r="A29" s="20">
        <v>17</v>
      </c>
      <c r="B29" s="21" t="s">
        <v>744</v>
      </c>
      <c r="C29" s="21" t="s">
        <v>743</v>
      </c>
      <c r="D29" s="28"/>
      <c r="E29" s="28"/>
      <c r="F29" s="159" t="s">
        <v>56</v>
      </c>
      <c r="G29" s="155" cm="1">
        <f t="array" ref="G29">_xlfn.IFS(F29="","",F29="No interest",0,F29="Nice to have",1,F29="Useful",2,F29="Important",3,F29="Very important",4,F29="Critical",5,F29="Show stopper",6)</f>
        <v>3</v>
      </c>
      <c r="H29" s="156">
        <f t="shared" si="1"/>
        <v>6.0975609756097572E-4</v>
      </c>
      <c r="I29" s="154" t="s">
        <v>720</v>
      </c>
      <c r="J29" s="158" t="str" cm="1">
        <f t="array" ref="J29">_xlfn.TEXTJOIN(","&amp;CHAR(10),,TEXT(Table2614256789111213161718[[#This Row],[12]:[22]],"0,00%"))</f>
        <v>0,00%,
0,00%</v>
      </c>
      <c r="K29" s="26"/>
      <c r="L29" s="27" t="e">
        <f>H29-(H29*((MATCH(Table2614256789111213161718[[#This Row],[Evaluators Response (SELECT)]],Table2614256789111213161718[[#This Row],[1]:[11]],0)-1)/(COUNTA(Table2614256789111213161718[[#This Row],[1]:[11]])-COUNTBLANK(Table2614256789111213161718[[#This Row],[1]:[11]])-1)))</f>
        <v>#N/A</v>
      </c>
      <c r="M29" s="28"/>
      <c r="N29" s="29" t="str" cm="1">
        <f t="array" ref="N29">IFERROR(INDEX(_xlfn.UNIQUE(TRIM(_xlfn.TEXTSPLIT(Table2614256789111213161718[[#This Row],[Selection Options]:[Selection Options]],","))),,N$11),"")</f>
        <v>100%: Fully Comply</v>
      </c>
      <c r="O29" s="29" t="str" cm="1">
        <f t="array" ref="O29">IFERROR(INDEX(_xlfn.UNIQUE(TRIM(_xlfn.TEXTSPLIT(Table2614256789111213161718[[#This Row],[Selection Options]:[Selection Options]],","))),,O$11),"")</f>
        <v xml:space="preserve">
0%: No Compliance</v>
      </c>
      <c r="P29" s="29" t="str" cm="1">
        <f t="array" ref="P29">IFERROR(INDEX(_xlfn.UNIQUE(TRIM(_xlfn.TEXTSPLIT(Table2614256789111213161718[[#This Row],[Selection Options]:[Selection Options]],","))),,P$11),"")</f>
        <v/>
      </c>
      <c r="Q29" s="29" t="str" cm="1">
        <f t="array" ref="Q29">IFERROR(INDEX(_xlfn.UNIQUE(TRIM(_xlfn.TEXTSPLIT(Table2614256789111213161718[[#This Row],[Selection Options]:[Selection Options]],","))),,Q$11),"")</f>
        <v/>
      </c>
      <c r="R29" s="29" t="str" cm="1">
        <f t="array" ref="R29">IFERROR(INDEX(_xlfn.UNIQUE(TRIM(_xlfn.TEXTSPLIT(Table2614256789111213161718[[#This Row],[Selection Options]:[Selection Options]],","))),,R$11),"")</f>
        <v/>
      </c>
      <c r="S29" s="29" t="str" cm="1">
        <f t="array" ref="S29">IFERROR(INDEX(_xlfn.UNIQUE(TRIM(_xlfn.TEXTSPLIT(Table2614256789111213161718[[#This Row],[Selection Options]:[Selection Options]],","))),,S$11),"")</f>
        <v/>
      </c>
      <c r="T29" s="29" t="str" cm="1">
        <f t="array" ref="T29">IFERROR(INDEX(_xlfn.UNIQUE(TRIM(_xlfn.TEXTSPLIT(Table2614256789111213161718[[#This Row],[Selection Options]:[Selection Options]],","))),,T$11),"")</f>
        <v/>
      </c>
      <c r="U29" s="29" t="str" cm="1">
        <f t="array" ref="U29">IFERROR(INDEX(_xlfn.UNIQUE(TRIM(_xlfn.TEXTSPLIT(Table2614256789111213161718[[#This Row],[Selection Options]:[Selection Options]],","))),,U$11),"")</f>
        <v/>
      </c>
      <c r="V29" s="29" t="str" cm="1">
        <f t="array" ref="V29">IFERROR(INDEX(_xlfn.UNIQUE(TRIM(_xlfn.TEXTSPLIT(Table2614256789111213161718[[#This Row],[Selection Options]:[Selection Options]],","))),,V$11),"")</f>
        <v/>
      </c>
      <c r="W29" s="29" t="str" cm="1">
        <f t="array" ref="W29">IFERROR(INDEX(_xlfn.UNIQUE(TRIM(_xlfn.TEXTSPLIT(Table2614256789111213161718[[#This Row],[Selection Options]:[Selection Options]],","))),,W$11),"")</f>
        <v/>
      </c>
      <c r="X29" s="29" t="str" cm="1">
        <f t="array" ref="X29">IFERROR(INDEX(_xlfn.UNIQUE(TRIM(_xlfn.TEXTSPLIT(Table2614256789111213161718[[#This Row],[Selection Options]:[Selection Options]],","))),,X$11),"")</f>
        <v/>
      </c>
      <c r="Y29" s="30" cm="1">
        <f t="array" ref="Y29">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6.0975609756097572E-4</v>
      </c>
      <c r="Z29" s="30" cm="1">
        <f t="array" ref="Z29">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29" s="30" t="str" cm="1">
        <f t="array" ref="AA29">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29" s="30" t="str" cm="1">
        <f t="array" ref="AB29">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29" s="30" t="str" cm="1">
        <f t="array" ref="AC29">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29" s="30" t="str" cm="1">
        <f t="array" ref="AD29">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29" s="30" t="str" cm="1">
        <f t="array" ref="AE29">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29" s="30" t="str" cm="1">
        <f t="array" ref="AF29">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29" s="30" t="str" cm="1">
        <f t="array" ref="AG29">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29" s="30" t="str" cm="1">
        <f t="array" ref="AH29">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29" s="30" t="str" cm="1">
        <f t="array" ref="AI29">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0" spans="1:35" ht="120" x14ac:dyDescent="0.2">
      <c r="A30" s="20">
        <v>18</v>
      </c>
      <c r="B30" s="21" t="s">
        <v>745</v>
      </c>
      <c r="C30" s="21" t="s">
        <v>728</v>
      </c>
      <c r="D30" s="28"/>
      <c r="E30" s="28"/>
      <c r="F30" s="159" t="s">
        <v>56</v>
      </c>
      <c r="G30" s="155" cm="1">
        <f t="array" ref="G30">_xlfn.IFS(F30="","",F30="No interest",0,F30="Nice to have",1,F30="Useful",2,F30="Important",3,F30="Very important",4,F30="Critical",5,F30="Show stopper",6)</f>
        <v>3</v>
      </c>
      <c r="H30" s="156">
        <f t="shared" si="1"/>
        <v>6.0975609756097572E-4</v>
      </c>
      <c r="I30" s="154" t="s">
        <v>720</v>
      </c>
      <c r="J30" s="158" t="str" cm="1">
        <f t="array" ref="J30">_xlfn.TEXTJOIN(","&amp;CHAR(10),,TEXT(Table2614256789111213161718[[#This Row],[12]:[22]],"0,00%"))</f>
        <v>0,00%,
0,00%</v>
      </c>
      <c r="K30" s="26"/>
      <c r="L30" s="27" t="e">
        <f>H30-(H30*((MATCH(Table2614256789111213161718[[#This Row],[Evaluators Response (SELECT)]],Table2614256789111213161718[[#This Row],[1]:[11]],0)-1)/(COUNTA(Table2614256789111213161718[[#This Row],[1]:[11]])-COUNTBLANK(Table2614256789111213161718[[#This Row],[1]:[11]])-1)))</f>
        <v>#N/A</v>
      </c>
      <c r="M30" s="28"/>
      <c r="N30" s="29" t="str" cm="1">
        <f t="array" ref="N30">IFERROR(INDEX(_xlfn.UNIQUE(TRIM(_xlfn.TEXTSPLIT(Table2614256789111213161718[[#This Row],[Selection Options]:[Selection Options]],","))),,N$11),"")</f>
        <v>100%: Fully Comply</v>
      </c>
      <c r="O30" s="29" t="str" cm="1">
        <f t="array" ref="O30">IFERROR(INDEX(_xlfn.UNIQUE(TRIM(_xlfn.TEXTSPLIT(Table2614256789111213161718[[#This Row],[Selection Options]:[Selection Options]],","))),,O$11),"")</f>
        <v xml:space="preserve">
0%: No Compliance</v>
      </c>
      <c r="P30" s="29" t="str" cm="1">
        <f t="array" ref="P30">IFERROR(INDEX(_xlfn.UNIQUE(TRIM(_xlfn.TEXTSPLIT(Table2614256789111213161718[[#This Row],[Selection Options]:[Selection Options]],","))),,P$11),"")</f>
        <v/>
      </c>
      <c r="Q30" s="29" t="str" cm="1">
        <f t="array" ref="Q30">IFERROR(INDEX(_xlfn.UNIQUE(TRIM(_xlfn.TEXTSPLIT(Table2614256789111213161718[[#This Row],[Selection Options]:[Selection Options]],","))),,Q$11),"")</f>
        <v/>
      </c>
      <c r="R30" s="29" t="str" cm="1">
        <f t="array" ref="R30">IFERROR(INDEX(_xlfn.UNIQUE(TRIM(_xlfn.TEXTSPLIT(Table2614256789111213161718[[#This Row],[Selection Options]:[Selection Options]],","))),,R$11),"")</f>
        <v/>
      </c>
      <c r="S30" s="29" t="str" cm="1">
        <f t="array" ref="S30">IFERROR(INDEX(_xlfn.UNIQUE(TRIM(_xlfn.TEXTSPLIT(Table2614256789111213161718[[#This Row],[Selection Options]:[Selection Options]],","))),,S$11),"")</f>
        <v/>
      </c>
      <c r="T30" s="29" t="str" cm="1">
        <f t="array" ref="T30">IFERROR(INDEX(_xlfn.UNIQUE(TRIM(_xlfn.TEXTSPLIT(Table2614256789111213161718[[#This Row],[Selection Options]:[Selection Options]],","))),,T$11),"")</f>
        <v/>
      </c>
      <c r="U30" s="29" t="str" cm="1">
        <f t="array" ref="U30">IFERROR(INDEX(_xlfn.UNIQUE(TRIM(_xlfn.TEXTSPLIT(Table2614256789111213161718[[#This Row],[Selection Options]:[Selection Options]],","))),,U$11),"")</f>
        <v/>
      </c>
      <c r="V30" s="29" t="str" cm="1">
        <f t="array" ref="V30">IFERROR(INDEX(_xlfn.UNIQUE(TRIM(_xlfn.TEXTSPLIT(Table2614256789111213161718[[#This Row],[Selection Options]:[Selection Options]],","))),,V$11),"")</f>
        <v/>
      </c>
      <c r="W30" s="29" t="str" cm="1">
        <f t="array" ref="W30">IFERROR(INDEX(_xlfn.UNIQUE(TRIM(_xlfn.TEXTSPLIT(Table2614256789111213161718[[#This Row],[Selection Options]:[Selection Options]],","))),,W$11),"")</f>
        <v/>
      </c>
      <c r="X30" s="29" t="str" cm="1">
        <f t="array" ref="X30">IFERROR(INDEX(_xlfn.UNIQUE(TRIM(_xlfn.TEXTSPLIT(Table2614256789111213161718[[#This Row],[Selection Options]:[Selection Options]],","))),,X$11),"")</f>
        <v/>
      </c>
      <c r="Y30" s="30" cm="1">
        <f t="array" ref="Y30">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6.0975609756097572E-4</v>
      </c>
      <c r="Z30" s="30" cm="1">
        <f t="array" ref="Z30">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0" s="30" t="str" cm="1">
        <f t="array" ref="AA30">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0" s="30" t="str" cm="1">
        <f t="array" ref="AB30">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0" s="30" t="str" cm="1">
        <f t="array" ref="AC30">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0" s="30" t="str" cm="1">
        <f t="array" ref="AD30">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0" s="30" t="str" cm="1">
        <f t="array" ref="AE30">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0" s="30" t="str" cm="1">
        <f t="array" ref="AF30">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0" s="30" t="str" cm="1">
        <f t="array" ref="AG30">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0" s="30" t="str" cm="1">
        <f t="array" ref="AH30">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0" s="30" t="str" cm="1">
        <f t="array" ref="AI30">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1" spans="1:35" ht="48" x14ac:dyDescent="0.2">
      <c r="A31" s="20">
        <v>19</v>
      </c>
      <c r="B31" s="21" t="s">
        <v>746</v>
      </c>
      <c r="C31" s="21" t="s">
        <v>728</v>
      </c>
      <c r="D31" s="28"/>
      <c r="E31" s="28"/>
      <c r="F31" s="159" t="s">
        <v>60</v>
      </c>
      <c r="G31" s="155" cm="1">
        <f t="array" ref="G31">_xlfn.IFS(F31="","",F31="No interest",0,F31="Nice to have",1,F31="Useful",2,F31="Important",3,F31="Very important",4,F31="Critical",5,F31="Show stopper",6)</f>
        <v>6</v>
      </c>
      <c r="H31" s="156">
        <f t="shared" si="1"/>
        <v>1.2195121951219514E-3</v>
      </c>
      <c r="I31" s="154" t="s">
        <v>720</v>
      </c>
      <c r="J31" s="158" t="str" cm="1">
        <f t="array" ref="J31">_xlfn.TEXTJOIN(","&amp;CHAR(10),,TEXT(Table2614256789111213161718[[#This Row],[12]:[22]],"0,00%"))</f>
        <v>0,00%,
0,00%</v>
      </c>
      <c r="K31" s="26"/>
      <c r="L31" s="27" t="e">
        <f>H31-(H31*((MATCH(Table2614256789111213161718[[#This Row],[Evaluators Response (SELECT)]],Table2614256789111213161718[[#This Row],[1]:[11]],0)-1)/(COUNTA(Table2614256789111213161718[[#This Row],[1]:[11]])-COUNTBLANK(Table2614256789111213161718[[#This Row],[1]:[11]])-1)))</f>
        <v>#N/A</v>
      </c>
      <c r="M31" s="28"/>
      <c r="N31" s="29" t="str" cm="1">
        <f t="array" ref="N31">IFERROR(INDEX(_xlfn.UNIQUE(TRIM(_xlfn.TEXTSPLIT(Table2614256789111213161718[[#This Row],[Selection Options]:[Selection Options]],","))),,N$11),"")</f>
        <v>100%: Fully Comply</v>
      </c>
      <c r="O31" s="29" t="str" cm="1">
        <f t="array" ref="O31">IFERROR(INDEX(_xlfn.UNIQUE(TRIM(_xlfn.TEXTSPLIT(Table2614256789111213161718[[#This Row],[Selection Options]:[Selection Options]],","))),,O$11),"")</f>
        <v xml:space="preserve">
0%: No Compliance</v>
      </c>
      <c r="P31" s="29" t="str" cm="1">
        <f t="array" ref="P31">IFERROR(INDEX(_xlfn.UNIQUE(TRIM(_xlfn.TEXTSPLIT(Table2614256789111213161718[[#This Row],[Selection Options]:[Selection Options]],","))),,P$11),"")</f>
        <v/>
      </c>
      <c r="Q31" s="29" t="str" cm="1">
        <f t="array" ref="Q31">IFERROR(INDEX(_xlfn.UNIQUE(TRIM(_xlfn.TEXTSPLIT(Table2614256789111213161718[[#This Row],[Selection Options]:[Selection Options]],","))),,Q$11),"")</f>
        <v/>
      </c>
      <c r="R31" s="29" t="str" cm="1">
        <f t="array" ref="R31">IFERROR(INDEX(_xlfn.UNIQUE(TRIM(_xlfn.TEXTSPLIT(Table2614256789111213161718[[#This Row],[Selection Options]:[Selection Options]],","))),,R$11),"")</f>
        <v/>
      </c>
      <c r="S31" s="29" t="str" cm="1">
        <f t="array" ref="S31">IFERROR(INDEX(_xlfn.UNIQUE(TRIM(_xlfn.TEXTSPLIT(Table2614256789111213161718[[#This Row],[Selection Options]:[Selection Options]],","))),,S$11),"")</f>
        <v/>
      </c>
      <c r="T31" s="29" t="str" cm="1">
        <f t="array" ref="T31">IFERROR(INDEX(_xlfn.UNIQUE(TRIM(_xlfn.TEXTSPLIT(Table2614256789111213161718[[#This Row],[Selection Options]:[Selection Options]],","))),,T$11),"")</f>
        <v/>
      </c>
      <c r="U31" s="29" t="str" cm="1">
        <f t="array" ref="U31">IFERROR(INDEX(_xlfn.UNIQUE(TRIM(_xlfn.TEXTSPLIT(Table2614256789111213161718[[#This Row],[Selection Options]:[Selection Options]],","))),,U$11),"")</f>
        <v/>
      </c>
      <c r="V31" s="29" t="str" cm="1">
        <f t="array" ref="V31">IFERROR(INDEX(_xlfn.UNIQUE(TRIM(_xlfn.TEXTSPLIT(Table2614256789111213161718[[#This Row],[Selection Options]:[Selection Options]],","))),,V$11),"")</f>
        <v/>
      </c>
      <c r="W31" s="29" t="str" cm="1">
        <f t="array" ref="W31">IFERROR(INDEX(_xlfn.UNIQUE(TRIM(_xlfn.TEXTSPLIT(Table2614256789111213161718[[#This Row],[Selection Options]:[Selection Options]],","))),,W$11),"")</f>
        <v/>
      </c>
      <c r="X31" s="29" t="str" cm="1">
        <f t="array" ref="X31">IFERROR(INDEX(_xlfn.UNIQUE(TRIM(_xlfn.TEXTSPLIT(Table2614256789111213161718[[#This Row],[Selection Options]:[Selection Options]],","))),,X$11),"")</f>
        <v/>
      </c>
      <c r="Y31" s="30" cm="1">
        <f t="array" ref="Y31">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1" s="30" cm="1">
        <f t="array" ref="Z31">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1" s="30" t="str" cm="1">
        <f t="array" ref="AA31">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1" s="30" t="str" cm="1">
        <f t="array" ref="AB31">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1" s="30" t="str" cm="1">
        <f t="array" ref="AC31">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1" s="30" t="str" cm="1">
        <f t="array" ref="AD31">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1" s="30" t="str" cm="1">
        <f t="array" ref="AE31">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1" s="30" t="str" cm="1">
        <f t="array" ref="AF31">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1" s="30" t="str" cm="1">
        <f t="array" ref="AG31">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1" s="30" t="str" cm="1">
        <f t="array" ref="AH31">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1" s="30" t="str" cm="1">
        <f t="array" ref="AI31">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2" spans="1:35" ht="60" x14ac:dyDescent="0.2">
      <c r="A32" s="20">
        <v>20</v>
      </c>
      <c r="B32" s="21" t="s">
        <v>747</v>
      </c>
      <c r="C32" s="21" t="s">
        <v>728</v>
      </c>
      <c r="D32" s="28"/>
      <c r="E32" s="28"/>
      <c r="F32" s="159" t="s">
        <v>60</v>
      </c>
      <c r="G32" s="155" cm="1">
        <f t="array" ref="G32">_xlfn.IFS(F32="","",F32="No interest",0,F32="Nice to have",1,F32="Useful",2,F32="Important",3,F32="Very important",4,F32="Critical",5,F32="Show stopper",6)</f>
        <v>6</v>
      </c>
      <c r="H32" s="156">
        <f t="shared" si="1"/>
        <v>1.2195121951219514E-3</v>
      </c>
      <c r="I32" s="154" t="s">
        <v>720</v>
      </c>
      <c r="J32" s="158" t="str" cm="1">
        <f t="array" ref="J32">_xlfn.TEXTJOIN(","&amp;CHAR(10),,TEXT(Table2614256789111213161718[[#This Row],[12]:[22]],"0,00%"))</f>
        <v>0,00%,
0,00%</v>
      </c>
      <c r="K32" s="26"/>
      <c r="L32" s="27" t="e">
        <f>H32-(H32*((MATCH(Table2614256789111213161718[[#This Row],[Evaluators Response (SELECT)]],Table2614256789111213161718[[#This Row],[1]:[11]],0)-1)/(COUNTA(Table2614256789111213161718[[#This Row],[1]:[11]])-COUNTBLANK(Table2614256789111213161718[[#This Row],[1]:[11]])-1)))</f>
        <v>#N/A</v>
      </c>
      <c r="M32" s="28"/>
      <c r="N32" s="29" t="str" cm="1">
        <f t="array" ref="N32">IFERROR(INDEX(_xlfn.UNIQUE(TRIM(_xlfn.TEXTSPLIT(Table2614256789111213161718[[#This Row],[Selection Options]:[Selection Options]],","))),,N$11),"")</f>
        <v>100%: Fully Comply</v>
      </c>
      <c r="O32" s="29" t="str" cm="1">
        <f t="array" ref="O32">IFERROR(INDEX(_xlfn.UNIQUE(TRIM(_xlfn.TEXTSPLIT(Table2614256789111213161718[[#This Row],[Selection Options]:[Selection Options]],","))),,O$11),"")</f>
        <v xml:space="preserve">
0%: No Compliance</v>
      </c>
      <c r="P32" s="29" t="str" cm="1">
        <f t="array" ref="P32">IFERROR(INDEX(_xlfn.UNIQUE(TRIM(_xlfn.TEXTSPLIT(Table2614256789111213161718[[#This Row],[Selection Options]:[Selection Options]],","))),,P$11),"")</f>
        <v/>
      </c>
      <c r="Q32" s="29" t="str" cm="1">
        <f t="array" ref="Q32">IFERROR(INDEX(_xlfn.UNIQUE(TRIM(_xlfn.TEXTSPLIT(Table2614256789111213161718[[#This Row],[Selection Options]:[Selection Options]],","))),,Q$11),"")</f>
        <v/>
      </c>
      <c r="R32" s="29" t="str" cm="1">
        <f t="array" ref="R32">IFERROR(INDEX(_xlfn.UNIQUE(TRIM(_xlfn.TEXTSPLIT(Table2614256789111213161718[[#This Row],[Selection Options]:[Selection Options]],","))),,R$11),"")</f>
        <v/>
      </c>
      <c r="S32" s="29" t="str" cm="1">
        <f t="array" ref="S32">IFERROR(INDEX(_xlfn.UNIQUE(TRIM(_xlfn.TEXTSPLIT(Table2614256789111213161718[[#This Row],[Selection Options]:[Selection Options]],","))),,S$11),"")</f>
        <v/>
      </c>
      <c r="T32" s="29" t="str" cm="1">
        <f t="array" ref="T32">IFERROR(INDEX(_xlfn.UNIQUE(TRIM(_xlfn.TEXTSPLIT(Table2614256789111213161718[[#This Row],[Selection Options]:[Selection Options]],","))),,T$11),"")</f>
        <v/>
      </c>
      <c r="U32" s="29" t="str" cm="1">
        <f t="array" ref="U32">IFERROR(INDEX(_xlfn.UNIQUE(TRIM(_xlfn.TEXTSPLIT(Table2614256789111213161718[[#This Row],[Selection Options]:[Selection Options]],","))),,U$11),"")</f>
        <v/>
      </c>
      <c r="V32" s="29" t="str" cm="1">
        <f t="array" ref="V32">IFERROR(INDEX(_xlfn.UNIQUE(TRIM(_xlfn.TEXTSPLIT(Table2614256789111213161718[[#This Row],[Selection Options]:[Selection Options]],","))),,V$11),"")</f>
        <v/>
      </c>
      <c r="W32" s="29" t="str" cm="1">
        <f t="array" ref="W32">IFERROR(INDEX(_xlfn.UNIQUE(TRIM(_xlfn.TEXTSPLIT(Table2614256789111213161718[[#This Row],[Selection Options]:[Selection Options]],","))),,W$11),"")</f>
        <v/>
      </c>
      <c r="X32" s="29" t="str" cm="1">
        <f t="array" ref="X32">IFERROR(INDEX(_xlfn.UNIQUE(TRIM(_xlfn.TEXTSPLIT(Table2614256789111213161718[[#This Row],[Selection Options]:[Selection Options]],","))),,X$11),"")</f>
        <v/>
      </c>
      <c r="Y32" s="30" cm="1">
        <f t="array" ref="Y32">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2" s="30" cm="1">
        <f t="array" ref="Z32">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2" s="30" t="str" cm="1">
        <f t="array" ref="AA32">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2" s="30" t="str" cm="1">
        <f t="array" ref="AB32">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2" s="30" t="str" cm="1">
        <f t="array" ref="AC32">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2" s="30" t="str" cm="1">
        <f t="array" ref="AD32">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2" s="30" t="str" cm="1">
        <f t="array" ref="AE32">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2" s="30" t="str" cm="1">
        <f t="array" ref="AF32">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2" s="30" t="str" cm="1">
        <f t="array" ref="AG32">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2" s="30" t="str" cm="1">
        <f t="array" ref="AH32">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2" s="30" t="str" cm="1">
        <f t="array" ref="AI32">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3" spans="1:35" ht="96" x14ac:dyDescent="0.2">
      <c r="A33" s="20">
        <v>21</v>
      </c>
      <c r="B33" s="21" t="s">
        <v>748</v>
      </c>
      <c r="C33" s="21" t="s">
        <v>728</v>
      </c>
      <c r="D33" s="28"/>
      <c r="E33" s="28"/>
      <c r="F33" s="159" t="s">
        <v>60</v>
      </c>
      <c r="G33" s="155" cm="1">
        <f t="array" ref="G33">_xlfn.IFS(F33="","",F33="No interest",0,F33="Nice to have",1,F33="Useful",2,F33="Important",3,F33="Very important",4,F33="Critical",5,F33="Show stopper",6)</f>
        <v>6</v>
      </c>
      <c r="H33" s="156">
        <f t="shared" si="1"/>
        <v>1.2195121951219514E-3</v>
      </c>
      <c r="I33" s="154" t="s">
        <v>720</v>
      </c>
      <c r="J33" s="158" t="str" cm="1">
        <f t="array" ref="J33">_xlfn.TEXTJOIN(","&amp;CHAR(10),,TEXT(Table2614256789111213161718[[#This Row],[12]:[22]],"0,00%"))</f>
        <v>0,00%,
0,00%</v>
      </c>
      <c r="K33" s="26"/>
      <c r="L33" s="27" t="e">
        <f>H33-(H33*((MATCH(Table2614256789111213161718[[#This Row],[Evaluators Response (SELECT)]],Table2614256789111213161718[[#This Row],[1]:[11]],0)-1)/(COUNTA(Table2614256789111213161718[[#This Row],[1]:[11]])-COUNTBLANK(Table2614256789111213161718[[#This Row],[1]:[11]])-1)))</f>
        <v>#N/A</v>
      </c>
      <c r="M33" s="28"/>
      <c r="N33" s="29" t="str" cm="1">
        <f t="array" ref="N33">IFERROR(INDEX(_xlfn.UNIQUE(TRIM(_xlfn.TEXTSPLIT(Table2614256789111213161718[[#This Row],[Selection Options]:[Selection Options]],","))),,N$11),"")</f>
        <v>100%: Fully Comply</v>
      </c>
      <c r="O33" s="29" t="str" cm="1">
        <f t="array" ref="O33">IFERROR(INDEX(_xlfn.UNIQUE(TRIM(_xlfn.TEXTSPLIT(Table2614256789111213161718[[#This Row],[Selection Options]:[Selection Options]],","))),,O$11),"")</f>
        <v xml:space="preserve">
0%: No Compliance</v>
      </c>
      <c r="P33" s="29" t="str" cm="1">
        <f t="array" ref="P33">IFERROR(INDEX(_xlfn.UNIQUE(TRIM(_xlfn.TEXTSPLIT(Table2614256789111213161718[[#This Row],[Selection Options]:[Selection Options]],","))),,P$11),"")</f>
        <v/>
      </c>
      <c r="Q33" s="29" t="str" cm="1">
        <f t="array" ref="Q33">IFERROR(INDEX(_xlfn.UNIQUE(TRIM(_xlfn.TEXTSPLIT(Table2614256789111213161718[[#This Row],[Selection Options]:[Selection Options]],","))),,Q$11),"")</f>
        <v/>
      </c>
      <c r="R33" s="29" t="str" cm="1">
        <f t="array" ref="R33">IFERROR(INDEX(_xlfn.UNIQUE(TRIM(_xlfn.TEXTSPLIT(Table2614256789111213161718[[#This Row],[Selection Options]:[Selection Options]],","))),,R$11),"")</f>
        <v/>
      </c>
      <c r="S33" s="29" t="str" cm="1">
        <f t="array" ref="S33">IFERROR(INDEX(_xlfn.UNIQUE(TRIM(_xlfn.TEXTSPLIT(Table2614256789111213161718[[#This Row],[Selection Options]:[Selection Options]],","))),,S$11),"")</f>
        <v/>
      </c>
      <c r="T33" s="29" t="str" cm="1">
        <f t="array" ref="T33">IFERROR(INDEX(_xlfn.UNIQUE(TRIM(_xlfn.TEXTSPLIT(Table2614256789111213161718[[#This Row],[Selection Options]:[Selection Options]],","))),,T$11),"")</f>
        <v/>
      </c>
      <c r="U33" s="29" t="str" cm="1">
        <f t="array" ref="U33">IFERROR(INDEX(_xlfn.UNIQUE(TRIM(_xlfn.TEXTSPLIT(Table2614256789111213161718[[#This Row],[Selection Options]:[Selection Options]],","))),,U$11),"")</f>
        <v/>
      </c>
      <c r="V33" s="29" t="str" cm="1">
        <f t="array" ref="V33">IFERROR(INDEX(_xlfn.UNIQUE(TRIM(_xlfn.TEXTSPLIT(Table2614256789111213161718[[#This Row],[Selection Options]:[Selection Options]],","))),,V$11),"")</f>
        <v/>
      </c>
      <c r="W33" s="29" t="str" cm="1">
        <f t="array" ref="W33">IFERROR(INDEX(_xlfn.UNIQUE(TRIM(_xlfn.TEXTSPLIT(Table2614256789111213161718[[#This Row],[Selection Options]:[Selection Options]],","))),,W$11),"")</f>
        <v/>
      </c>
      <c r="X33" s="29" t="str" cm="1">
        <f t="array" ref="X33">IFERROR(INDEX(_xlfn.UNIQUE(TRIM(_xlfn.TEXTSPLIT(Table2614256789111213161718[[#This Row],[Selection Options]:[Selection Options]],","))),,X$11),"")</f>
        <v/>
      </c>
      <c r="Y33" s="30" cm="1">
        <f t="array" ref="Y33">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3" s="30" cm="1">
        <f t="array" ref="Z33">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3" s="30" t="str" cm="1">
        <f t="array" ref="AA33">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3" s="30" t="str" cm="1">
        <f t="array" ref="AB33">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3" s="30" t="str" cm="1">
        <f t="array" ref="AC33">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3" s="30" t="str" cm="1">
        <f t="array" ref="AD33">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3" s="30" t="str" cm="1">
        <f t="array" ref="AE33">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3" s="30" t="str" cm="1">
        <f t="array" ref="AF33">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3" s="30" t="str" cm="1">
        <f t="array" ref="AG33">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3" s="30" t="str" cm="1">
        <f t="array" ref="AH33">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3" s="30" t="str" cm="1">
        <f t="array" ref="AI33">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4" spans="1:35" ht="84" x14ac:dyDescent="0.2">
      <c r="A34" s="20">
        <v>22</v>
      </c>
      <c r="B34" s="21" t="s">
        <v>749</v>
      </c>
      <c r="C34" s="21" t="s">
        <v>728</v>
      </c>
      <c r="D34" s="28"/>
      <c r="E34" s="28"/>
      <c r="F34" s="159" t="s">
        <v>60</v>
      </c>
      <c r="G34" s="155" cm="1">
        <f t="array" ref="G34">_xlfn.IFS(F34="","",F34="No interest",0,F34="Nice to have",1,F34="Useful",2,F34="Important",3,F34="Very important",4,F34="Critical",5,F34="Show stopper",6)</f>
        <v>6</v>
      </c>
      <c r="H34" s="156">
        <f t="shared" si="1"/>
        <v>1.2195121951219514E-3</v>
      </c>
      <c r="I34" s="154" t="s">
        <v>720</v>
      </c>
      <c r="J34" s="158" t="str" cm="1">
        <f t="array" ref="J34">_xlfn.TEXTJOIN(","&amp;CHAR(10),,TEXT(Table2614256789111213161718[[#This Row],[12]:[22]],"0,00%"))</f>
        <v>0,00%,
0,00%</v>
      </c>
      <c r="K34" s="26"/>
      <c r="L34" s="27" t="e">
        <f>H34-(H34*((MATCH(Table2614256789111213161718[[#This Row],[Evaluators Response (SELECT)]],Table2614256789111213161718[[#This Row],[1]:[11]],0)-1)/(COUNTA(Table2614256789111213161718[[#This Row],[1]:[11]])-COUNTBLANK(Table2614256789111213161718[[#This Row],[1]:[11]])-1)))</f>
        <v>#N/A</v>
      </c>
      <c r="M34" s="28"/>
      <c r="N34" s="29" t="str" cm="1">
        <f t="array" ref="N34">IFERROR(INDEX(_xlfn.UNIQUE(TRIM(_xlfn.TEXTSPLIT(Table2614256789111213161718[[#This Row],[Selection Options]:[Selection Options]],","))),,N$11),"")</f>
        <v>100%: Fully Comply</v>
      </c>
      <c r="O34" s="29" t="str" cm="1">
        <f t="array" ref="O34">IFERROR(INDEX(_xlfn.UNIQUE(TRIM(_xlfn.TEXTSPLIT(Table2614256789111213161718[[#This Row],[Selection Options]:[Selection Options]],","))),,O$11),"")</f>
        <v xml:space="preserve">
0%: No Compliance</v>
      </c>
      <c r="P34" s="29" t="str" cm="1">
        <f t="array" ref="P34">IFERROR(INDEX(_xlfn.UNIQUE(TRIM(_xlfn.TEXTSPLIT(Table2614256789111213161718[[#This Row],[Selection Options]:[Selection Options]],","))),,P$11),"")</f>
        <v/>
      </c>
      <c r="Q34" s="29" t="str" cm="1">
        <f t="array" ref="Q34">IFERROR(INDEX(_xlfn.UNIQUE(TRIM(_xlfn.TEXTSPLIT(Table2614256789111213161718[[#This Row],[Selection Options]:[Selection Options]],","))),,Q$11),"")</f>
        <v/>
      </c>
      <c r="R34" s="29" t="str" cm="1">
        <f t="array" ref="R34">IFERROR(INDEX(_xlfn.UNIQUE(TRIM(_xlfn.TEXTSPLIT(Table2614256789111213161718[[#This Row],[Selection Options]:[Selection Options]],","))),,R$11),"")</f>
        <v/>
      </c>
      <c r="S34" s="29" t="str" cm="1">
        <f t="array" ref="S34">IFERROR(INDEX(_xlfn.UNIQUE(TRIM(_xlfn.TEXTSPLIT(Table2614256789111213161718[[#This Row],[Selection Options]:[Selection Options]],","))),,S$11),"")</f>
        <v/>
      </c>
      <c r="T34" s="29" t="str" cm="1">
        <f t="array" ref="T34">IFERROR(INDEX(_xlfn.UNIQUE(TRIM(_xlfn.TEXTSPLIT(Table2614256789111213161718[[#This Row],[Selection Options]:[Selection Options]],","))),,T$11),"")</f>
        <v/>
      </c>
      <c r="U34" s="29" t="str" cm="1">
        <f t="array" ref="U34">IFERROR(INDEX(_xlfn.UNIQUE(TRIM(_xlfn.TEXTSPLIT(Table2614256789111213161718[[#This Row],[Selection Options]:[Selection Options]],","))),,U$11),"")</f>
        <v/>
      </c>
      <c r="V34" s="29" t="str" cm="1">
        <f t="array" ref="V34">IFERROR(INDEX(_xlfn.UNIQUE(TRIM(_xlfn.TEXTSPLIT(Table2614256789111213161718[[#This Row],[Selection Options]:[Selection Options]],","))),,V$11),"")</f>
        <v/>
      </c>
      <c r="W34" s="29" t="str" cm="1">
        <f t="array" ref="W34">IFERROR(INDEX(_xlfn.UNIQUE(TRIM(_xlfn.TEXTSPLIT(Table2614256789111213161718[[#This Row],[Selection Options]:[Selection Options]],","))),,W$11),"")</f>
        <v/>
      </c>
      <c r="X34" s="29" t="str" cm="1">
        <f t="array" ref="X34">IFERROR(INDEX(_xlfn.UNIQUE(TRIM(_xlfn.TEXTSPLIT(Table2614256789111213161718[[#This Row],[Selection Options]:[Selection Options]],","))),,X$11),"")</f>
        <v/>
      </c>
      <c r="Y34" s="30" cm="1">
        <f t="array" ref="Y34">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4" s="30" cm="1">
        <f t="array" ref="Z34">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4" s="30" t="str" cm="1">
        <f t="array" ref="AA34">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4" s="30" t="str" cm="1">
        <f t="array" ref="AB34">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4" s="30" t="str" cm="1">
        <f t="array" ref="AC34">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4" s="30" t="str" cm="1">
        <f t="array" ref="AD34">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4" s="30" t="str" cm="1">
        <f t="array" ref="AE34">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4" s="30" t="str" cm="1">
        <f t="array" ref="AF34">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4" s="30" t="str" cm="1">
        <f t="array" ref="AG34">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4" s="30" t="str" cm="1">
        <f t="array" ref="AH34">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4" s="30" t="str" cm="1">
        <f t="array" ref="AI34">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5" spans="1:35" ht="108" x14ac:dyDescent="0.2">
      <c r="A35" s="20">
        <v>23</v>
      </c>
      <c r="B35" s="21" t="s">
        <v>750</v>
      </c>
      <c r="C35" s="21" t="s">
        <v>751</v>
      </c>
      <c r="D35" s="28"/>
      <c r="E35" s="28"/>
      <c r="F35" s="159" t="s">
        <v>60</v>
      </c>
      <c r="G35" s="155" cm="1">
        <f t="array" ref="G35">_xlfn.IFS(F35="","",F35="No interest",0,F35="Nice to have",1,F35="Useful",2,F35="Important",3,F35="Very important",4,F35="Critical",5,F35="Show stopper",6)</f>
        <v>6</v>
      </c>
      <c r="H35" s="156">
        <f t="shared" si="1"/>
        <v>1.2195121951219514E-3</v>
      </c>
      <c r="I35" s="154" t="s">
        <v>720</v>
      </c>
      <c r="J35" s="158" t="str" cm="1">
        <f t="array" ref="J35">_xlfn.TEXTJOIN(","&amp;CHAR(10),,TEXT(Table2614256789111213161718[[#This Row],[12]:[22]],"0,00%"))</f>
        <v>0,00%,
0,00%</v>
      </c>
      <c r="K35" s="26"/>
      <c r="L35" s="27" t="e">
        <f>H35-(H35*((MATCH(Table2614256789111213161718[[#This Row],[Evaluators Response (SELECT)]],Table2614256789111213161718[[#This Row],[1]:[11]],0)-1)/(COUNTA(Table2614256789111213161718[[#This Row],[1]:[11]])-COUNTBLANK(Table2614256789111213161718[[#This Row],[1]:[11]])-1)))</f>
        <v>#N/A</v>
      </c>
      <c r="M35" s="28"/>
      <c r="N35" s="29" t="str" cm="1">
        <f t="array" ref="N35">IFERROR(INDEX(_xlfn.UNIQUE(TRIM(_xlfn.TEXTSPLIT(Table2614256789111213161718[[#This Row],[Selection Options]:[Selection Options]],","))),,N$11),"")</f>
        <v>100%: Fully Comply</v>
      </c>
      <c r="O35" s="29" t="str" cm="1">
        <f t="array" ref="O35">IFERROR(INDEX(_xlfn.UNIQUE(TRIM(_xlfn.TEXTSPLIT(Table2614256789111213161718[[#This Row],[Selection Options]:[Selection Options]],","))),,O$11),"")</f>
        <v xml:space="preserve">
0%: No Compliance</v>
      </c>
      <c r="P35" s="29" t="str" cm="1">
        <f t="array" ref="P35">IFERROR(INDEX(_xlfn.UNIQUE(TRIM(_xlfn.TEXTSPLIT(Table2614256789111213161718[[#This Row],[Selection Options]:[Selection Options]],","))),,P$11),"")</f>
        <v/>
      </c>
      <c r="Q35" s="29" t="str" cm="1">
        <f t="array" ref="Q35">IFERROR(INDEX(_xlfn.UNIQUE(TRIM(_xlfn.TEXTSPLIT(Table2614256789111213161718[[#This Row],[Selection Options]:[Selection Options]],","))),,Q$11),"")</f>
        <v/>
      </c>
      <c r="R35" s="29" t="str" cm="1">
        <f t="array" ref="R35">IFERROR(INDEX(_xlfn.UNIQUE(TRIM(_xlfn.TEXTSPLIT(Table2614256789111213161718[[#This Row],[Selection Options]:[Selection Options]],","))),,R$11),"")</f>
        <v/>
      </c>
      <c r="S35" s="29" t="str" cm="1">
        <f t="array" ref="S35">IFERROR(INDEX(_xlfn.UNIQUE(TRIM(_xlfn.TEXTSPLIT(Table2614256789111213161718[[#This Row],[Selection Options]:[Selection Options]],","))),,S$11),"")</f>
        <v/>
      </c>
      <c r="T35" s="29" t="str" cm="1">
        <f t="array" ref="T35">IFERROR(INDEX(_xlfn.UNIQUE(TRIM(_xlfn.TEXTSPLIT(Table2614256789111213161718[[#This Row],[Selection Options]:[Selection Options]],","))),,T$11),"")</f>
        <v/>
      </c>
      <c r="U35" s="29" t="str" cm="1">
        <f t="array" ref="U35">IFERROR(INDEX(_xlfn.UNIQUE(TRIM(_xlfn.TEXTSPLIT(Table2614256789111213161718[[#This Row],[Selection Options]:[Selection Options]],","))),,U$11),"")</f>
        <v/>
      </c>
      <c r="V35" s="29" t="str" cm="1">
        <f t="array" ref="V35">IFERROR(INDEX(_xlfn.UNIQUE(TRIM(_xlfn.TEXTSPLIT(Table2614256789111213161718[[#This Row],[Selection Options]:[Selection Options]],","))),,V$11),"")</f>
        <v/>
      </c>
      <c r="W35" s="29" t="str" cm="1">
        <f t="array" ref="W35">IFERROR(INDEX(_xlfn.UNIQUE(TRIM(_xlfn.TEXTSPLIT(Table2614256789111213161718[[#This Row],[Selection Options]:[Selection Options]],","))),,W$11),"")</f>
        <v/>
      </c>
      <c r="X35" s="29" t="str" cm="1">
        <f t="array" ref="X35">IFERROR(INDEX(_xlfn.UNIQUE(TRIM(_xlfn.TEXTSPLIT(Table2614256789111213161718[[#This Row],[Selection Options]:[Selection Options]],","))),,X$11),"")</f>
        <v/>
      </c>
      <c r="Y35" s="30" cm="1">
        <f t="array" ref="Y35">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5" s="30" cm="1">
        <f t="array" ref="Z35">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5" s="30" t="str" cm="1">
        <f t="array" ref="AA35">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5" s="30" t="str" cm="1">
        <f t="array" ref="AB35">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5" s="30" t="str" cm="1">
        <f t="array" ref="AC35">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5" s="30" t="str" cm="1">
        <f t="array" ref="AD35">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5" s="30" t="str" cm="1">
        <f t="array" ref="AE35">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5" s="30" t="str" cm="1">
        <f t="array" ref="AF35">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5" s="30" t="str" cm="1">
        <f t="array" ref="AG35">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5" s="30" t="str" cm="1">
        <f t="array" ref="AH35">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5" s="30" t="str" cm="1">
        <f t="array" ref="AI35">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row r="36" spans="1:35" ht="96" x14ac:dyDescent="0.2">
      <c r="A36" s="20">
        <v>24</v>
      </c>
      <c r="B36" s="21" t="s">
        <v>752</v>
      </c>
      <c r="C36" s="21" t="s">
        <v>728</v>
      </c>
      <c r="D36" s="28"/>
      <c r="E36" s="28"/>
      <c r="F36" s="159" t="s">
        <v>60</v>
      </c>
      <c r="G36" s="155" cm="1">
        <f t="array" ref="G36">_xlfn.IFS(F36="","",F36="No interest",0,F36="Nice to have",1,F36="Useful",2,F36="Important",3,F36="Very important",4,F36="Critical",5,F36="Show stopper",6)</f>
        <v>6</v>
      </c>
      <c r="H36" s="156">
        <f>(G36/$G$11)*$F$11</f>
        <v>1.2195121951219514E-3</v>
      </c>
      <c r="I36" s="154" t="s">
        <v>720</v>
      </c>
      <c r="J36" s="158" t="str" cm="1">
        <f t="array" ref="J36">_xlfn.TEXTJOIN(","&amp;CHAR(10),,TEXT(Table2614256789111213161718[[#This Row],[12]:[22]],"0,00%"))</f>
        <v>0,00%,
0,00%</v>
      </c>
      <c r="K36" s="26"/>
      <c r="L36" s="27" t="e">
        <f>H36-(H36*((MATCH(Table2614256789111213161718[[#This Row],[Evaluators Response (SELECT)]],Table2614256789111213161718[[#This Row],[1]:[11]],0)-1)/(COUNTA(Table2614256789111213161718[[#This Row],[1]:[11]])-COUNTBLANK(Table2614256789111213161718[[#This Row],[1]:[11]])-1)))</f>
        <v>#N/A</v>
      </c>
      <c r="M36" s="28"/>
      <c r="N36" s="29" t="str" cm="1">
        <f t="array" ref="N36">IFERROR(INDEX(_xlfn.UNIQUE(TRIM(_xlfn.TEXTSPLIT(Table2614256789111213161718[[#This Row],[Selection Options]:[Selection Options]],","))),,N$11),"")</f>
        <v>100%: Fully Comply</v>
      </c>
      <c r="O36" s="29" t="str" cm="1">
        <f t="array" ref="O36">IFERROR(INDEX(_xlfn.UNIQUE(TRIM(_xlfn.TEXTSPLIT(Table2614256789111213161718[[#This Row],[Selection Options]:[Selection Options]],","))),,O$11),"")</f>
        <v xml:space="preserve">
0%: No Compliance</v>
      </c>
      <c r="P36" s="29" t="str" cm="1">
        <f t="array" ref="P36">IFERROR(INDEX(_xlfn.UNIQUE(TRIM(_xlfn.TEXTSPLIT(Table2614256789111213161718[[#This Row],[Selection Options]:[Selection Options]],","))),,P$11),"")</f>
        <v/>
      </c>
      <c r="Q36" s="29" t="str" cm="1">
        <f t="array" ref="Q36">IFERROR(INDEX(_xlfn.UNIQUE(TRIM(_xlfn.TEXTSPLIT(Table2614256789111213161718[[#This Row],[Selection Options]:[Selection Options]],","))),,Q$11),"")</f>
        <v/>
      </c>
      <c r="R36" s="29" t="str" cm="1">
        <f t="array" ref="R36">IFERROR(INDEX(_xlfn.UNIQUE(TRIM(_xlfn.TEXTSPLIT(Table2614256789111213161718[[#This Row],[Selection Options]:[Selection Options]],","))),,R$11),"")</f>
        <v/>
      </c>
      <c r="S36" s="29" t="str" cm="1">
        <f t="array" ref="S36">IFERROR(INDEX(_xlfn.UNIQUE(TRIM(_xlfn.TEXTSPLIT(Table2614256789111213161718[[#This Row],[Selection Options]:[Selection Options]],","))),,S$11),"")</f>
        <v/>
      </c>
      <c r="T36" s="29" t="str" cm="1">
        <f t="array" ref="T36">IFERROR(INDEX(_xlfn.UNIQUE(TRIM(_xlfn.TEXTSPLIT(Table2614256789111213161718[[#This Row],[Selection Options]:[Selection Options]],","))),,T$11),"")</f>
        <v/>
      </c>
      <c r="U36" s="29" t="str" cm="1">
        <f t="array" ref="U36">IFERROR(INDEX(_xlfn.UNIQUE(TRIM(_xlfn.TEXTSPLIT(Table2614256789111213161718[[#This Row],[Selection Options]:[Selection Options]],","))),,U$11),"")</f>
        <v/>
      </c>
      <c r="V36" s="29" t="str" cm="1">
        <f t="array" ref="V36">IFERROR(INDEX(_xlfn.UNIQUE(TRIM(_xlfn.TEXTSPLIT(Table2614256789111213161718[[#This Row],[Selection Options]:[Selection Options]],","))),,V$11),"")</f>
        <v/>
      </c>
      <c r="W36" s="29" t="str" cm="1">
        <f t="array" ref="W36">IFERROR(INDEX(_xlfn.UNIQUE(TRIM(_xlfn.TEXTSPLIT(Table2614256789111213161718[[#This Row],[Selection Options]:[Selection Options]],","))),,W$11),"")</f>
        <v/>
      </c>
      <c r="X36" s="29" t="str" cm="1">
        <f t="array" ref="X36">IFERROR(INDEX(_xlfn.UNIQUE(TRIM(_xlfn.TEXTSPLIT(Table2614256789111213161718[[#This Row],[Selection Options]:[Selection Options]],","))),,X$11),"")</f>
        <v/>
      </c>
      <c r="Y36" s="30" cm="1">
        <f t="array" ref="Y36">IF(Table2614256789111213161718[[#This Row],[1]]="","",Table2614256789111213161718[[#This Row],[Weight]:[Weight]]-(Table2614256789111213161718[[#This Row],[Weight]:[Weight]]*((_xlfn.XMATCH(Table2614256789111213161718[[#This Row],[1]],Table2614256789111213161718[[#This Row],[1]:[11]],0))-1)/(COUNTA(Table2614256789111213161718[[#This Row],[1]:[11]])-COUNTBLANK(Table2614256789111213161718[[#This Row],[1]:[11]])-1)))</f>
        <v>1.2195121951219514E-3</v>
      </c>
      <c r="Z36" s="30" cm="1">
        <f t="array" ref="Z36">IF(Table2614256789111213161718[[#This Row],[2]]="","",Table2614256789111213161718[[#This Row],[Weight]:[Weight]]-(Table2614256789111213161718[[#This Row],[Weight]:[Weight]]*((_xlfn.XMATCH(Table2614256789111213161718[[#This Row],[2]],Table2614256789111213161718[[#This Row],[1]:[11]],0))-1)/(COUNTA(Table2614256789111213161718[[#This Row],[1]:[11]])-COUNTBLANK(Table2614256789111213161718[[#This Row],[1]:[11]])-1)))</f>
        <v>0</v>
      </c>
      <c r="AA36" s="30" t="str" cm="1">
        <f t="array" ref="AA36">IF(Table2614256789111213161718[[#This Row],[3]]="","",Table2614256789111213161718[[#This Row],[Weight]:[Weight]]-(Table2614256789111213161718[[#This Row],[Weight]:[Weight]]*((_xlfn.XMATCH(Table2614256789111213161718[[#This Row],[3]],Table2614256789111213161718[[#This Row],[1]:[11]],0))-1)/(COUNTA(Table2614256789111213161718[[#This Row],[1]:[11]])-COUNTBLANK(Table2614256789111213161718[[#This Row],[1]:[11]])-1)))</f>
        <v/>
      </c>
      <c r="AB36" s="30" t="str" cm="1">
        <f t="array" ref="AB36">IF(Table2614256789111213161718[[#This Row],[4]]="","",Table2614256789111213161718[[#This Row],[Weight]:[Weight]]-(Table2614256789111213161718[[#This Row],[Weight]:[Weight]]*((_xlfn.XMATCH(Table2614256789111213161718[[#This Row],[4]],Table2614256789111213161718[[#This Row],[1]:[11]],0))-1)/(COUNTA(Table2614256789111213161718[[#This Row],[1]:[11]])-COUNTBLANK(Table2614256789111213161718[[#This Row],[1]:[11]])-1)))</f>
        <v/>
      </c>
      <c r="AC36" s="30" t="str" cm="1">
        <f t="array" ref="AC36">IF(Table2614256789111213161718[[#This Row],[5]]="","",Table2614256789111213161718[[#This Row],[Weight]:[Weight]]-(Table2614256789111213161718[[#This Row],[Weight]:[Weight]]*((_xlfn.XMATCH(Table2614256789111213161718[[#This Row],[5]],Table2614256789111213161718[[#This Row],[1]:[11]],0))-1)/(COUNTA(Table2614256789111213161718[[#This Row],[1]:[11]])-COUNTBLANK(Table2614256789111213161718[[#This Row],[1]:[11]])-1)))</f>
        <v/>
      </c>
      <c r="AD36" s="30" t="str" cm="1">
        <f t="array" ref="AD36">IF(Table2614256789111213161718[[#This Row],[6]]="","",Table2614256789111213161718[[#This Row],[Weight]:[Weight]]-(Table2614256789111213161718[[#This Row],[Weight]:[Weight]]*((_xlfn.XMATCH(Table2614256789111213161718[[#This Row],[6]],Table2614256789111213161718[[#This Row],[1]:[11]],0))-1)/(COUNTA(Table2614256789111213161718[[#This Row],[1]:[11]])-COUNTBLANK(Table2614256789111213161718[[#This Row],[1]:[11]])-1)))</f>
        <v/>
      </c>
      <c r="AE36" s="30" t="str" cm="1">
        <f t="array" ref="AE36">IF(Table2614256789111213161718[[#This Row],[7]]="","",Table2614256789111213161718[[#This Row],[Weight]:[Weight]]-(Table2614256789111213161718[[#This Row],[Weight]:[Weight]]*((_xlfn.XMATCH(Table2614256789111213161718[[#This Row],[7]],Table2614256789111213161718[[#This Row],[1]:[11]],0))-1)/(COUNTA(Table2614256789111213161718[[#This Row],[1]:[11]])-COUNTBLANK(Table2614256789111213161718[[#This Row],[1]:[11]])-1)))</f>
        <v/>
      </c>
      <c r="AF36" s="30" t="str" cm="1">
        <f t="array" ref="AF36">IF(Table2614256789111213161718[[#This Row],[8]]="","",Table2614256789111213161718[[#This Row],[Weight]:[Weight]]-(Table2614256789111213161718[[#This Row],[Weight]:[Weight]]*((_xlfn.XMATCH(Table2614256789111213161718[[#This Row],[8]],Table2614256789111213161718[[#This Row],[1]:[11]],0))-1)/(COUNTA(Table2614256789111213161718[[#This Row],[1]:[11]])-COUNTBLANK(Table2614256789111213161718[[#This Row],[1]:[11]])-1)))</f>
        <v/>
      </c>
      <c r="AG36" s="30" t="str" cm="1">
        <f t="array" ref="AG36">IF(Table2614256789111213161718[[#This Row],[9]]="","",Table2614256789111213161718[[#This Row],[Weight]:[Weight]]-(Table2614256789111213161718[[#This Row],[Weight]:[Weight]]*((_xlfn.XMATCH(Table2614256789111213161718[[#This Row],[9]],Table2614256789111213161718[[#This Row],[1]:[11]],0))-1)/(COUNTA(Table2614256789111213161718[[#This Row],[1]:[11]])-COUNTBLANK(Table2614256789111213161718[[#This Row],[1]:[11]])-1)))</f>
        <v/>
      </c>
      <c r="AH36" s="30" t="str" cm="1">
        <f t="array" ref="AH36">IF(Table2614256789111213161718[[#This Row],[10]]="","",Table2614256789111213161718[[#This Row],[Weight]:[Weight]]-(Table2614256789111213161718[[#This Row],[Weight]:[Weight]]*((_xlfn.XMATCH(Table2614256789111213161718[[#This Row],[10]],Table2614256789111213161718[[#This Row],[1]:[11]],0))-1)/(COUNTA(Table2614256789111213161718[[#This Row],[1]:[11]])-COUNTBLANK(Table2614256789111213161718[[#This Row],[1]:[11]])-1)))</f>
        <v/>
      </c>
      <c r="AI36" s="30" t="str" cm="1">
        <f t="array" ref="AI36">IF(Table2614256789111213161718[[#This Row],[11]]="","",Table2614256789111213161718[[#This Row],[Weight]:[Weight]]-(Table2614256789111213161718[[#This Row],[Weight]:[Weight]]*((_xlfn.XMATCH(Table2614256789111213161718[[#This Row],[11]],Table2614256789111213161718[[#This Row],[1]:[11]],0))-1)/(COUNTA(Table2614256789111213161718[[#This Row],[1]:[11]])-COUNTBLANK(Table2614256789111213161718[[#This Row],[1]:[11]])-1)))</f>
        <v/>
      </c>
    </row>
  </sheetData>
  <sheetProtection insertRows="0" insertHyperlinks="0" deleteRows="0" autoFilter="0"/>
  <mergeCells count="4">
    <mergeCell ref="E2:F3"/>
    <mergeCell ref="A10:A11"/>
    <mergeCell ref="B10:C11"/>
    <mergeCell ref="D10:E11"/>
  </mergeCells>
  <conditionalFormatting sqref="K13:K36">
    <cfRule type="expression" dxfId="81" priority="1">
      <formula>COUNTIF(N13:X13,K13)&lt;&gt;1</formula>
    </cfRule>
  </conditionalFormatting>
  <dataValidations count="4">
    <dataValidation type="list" allowBlank="1" showInputMessage="1" showErrorMessage="1" sqref="M14" xr:uid="{454281E1-B089-4014-B4E2-35EDDA28B739}">
      <formula1>_xlfn.UNIQUE(TRIM(_xlfn.TEXTSPLIT(#REF!,",")))</formula1>
    </dataValidation>
    <dataValidation type="list" allowBlank="1" showInputMessage="1" showErrorMessage="1" sqref="F13:F36" xr:uid="{190F2814-D758-41CD-B24D-0A8DBD3790DC}">
      <formula1>"No interest,Nice to have,Useful,Important,Very important,Critical,Show stopper"</formula1>
    </dataValidation>
    <dataValidation type="list" allowBlank="1" showInputMessage="1" showErrorMessage="1" sqref="H13:H36" xr:uid="{8C163363-2916-437B-9CD9-60D596FD2FBB}">
      <formula1>N13:R13</formula1>
    </dataValidation>
    <dataValidation type="list" allowBlank="1" showInputMessage="1" showErrorMessage="1" sqref="K13:K36" xr:uid="{C3EEC2A6-1F43-46D2-8F6E-33A39224FB40}">
      <formula1>$N13:$X13</formula1>
    </dataValidation>
  </dataValidations>
  <pageMargins left="0.7" right="0.7" top="0.75" bottom="0.75" header="0.3" footer="0.3"/>
  <pageSetup paperSize="9" scale="50" fitToHeight="0" orientation="landscape" r:id="rId1"/>
  <drawing r:id="rId2"/>
  <tableParts count="1">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1CC16-47AC-416C-B6EC-B88F95892108}">
  <sheetPr>
    <tabColor rgb="FFFFFF00"/>
  </sheetPr>
  <dimension ref="A1:N48"/>
  <sheetViews>
    <sheetView topLeftCell="A7" workbookViewId="0">
      <selection activeCell="D7" sqref="D1:D1048576"/>
    </sheetView>
  </sheetViews>
  <sheetFormatPr defaultColWidth="9.140625" defaultRowHeight="15" x14ac:dyDescent="0.25"/>
  <cols>
    <col min="1" max="1" width="5.140625" style="279" customWidth="1"/>
    <col min="2" max="2" width="20.42578125" style="279" customWidth="1"/>
    <col min="3" max="3" width="55.42578125" style="279" customWidth="1"/>
    <col min="4" max="4" width="22.140625" style="279" bestFit="1" customWidth="1"/>
    <col min="5" max="5" width="55" style="279" customWidth="1"/>
    <col min="6" max="6" width="23" style="279" customWidth="1"/>
    <col min="7" max="7" width="20.140625" style="279" customWidth="1"/>
    <col min="8" max="8" width="25.42578125" style="279" customWidth="1"/>
    <col min="9" max="9" width="19.28515625" style="279" customWidth="1"/>
    <col min="10" max="10" width="9.140625" style="279"/>
    <col min="11" max="11" width="24" style="279" customWidth="1"/>
    <col min="12" max="12" width="17.85546875" style="279" bestFit="1" customWidth="1"/>
    <col min="13" max="13" width="9.140625" style="279"/>
    <col min="14" max="14" width="19" style="279" customWidth="1"/>
    <col min="15" max="16384" width="9.140625" style="279"/>
  </cols>
  <sheetData>
    <row r="1" spans="1:14" x14ac:dyDescent="0.25">
      <c r="A1" s="383" t="s">
        <v>753</v>
      </c>
      <c r="B1" s="384"/>
      <c r="C1" s="280" t="s">
        <v>754</v>
      </c>
      <c r="D1" s="281"/>
      <c r="E1" s="282"/>
      <c r="F1" s="282"/>
      <c r="G1" s="282"/>
      <c r="H1" s="282"/>
      <c r="I1" s="282"/>
      <c r="J1" s="282"/>
      <c r="K1" s="283"/>
      <c r="L1" s="282"/>
      <c r="M1" s="282"/>
      <c r="N1" s="282"/>
    </row>
    <row r="2" spans="1:14" x14ac:dyDescent="0.25">
      <c r="A2" s="383" t="s">
        <v>755</v>
      </c>
      <c r="B2" s="384"/>
      <c r="C2" s="284" t="s">
        <v>753</v>
      </c>
      <c r="D2" s="282"/>
      <c r="E2" s="282"/>
      <c r="F2" s="282"/>
      <c r="G2" s="282"/>
      <c r="H2" s="282"/>
      <c r="I2" s="282"/>
      <c r="J2" s="282"/>
      <c r="K2" s="283"/>
      <c r="L2" s="285" t="s">
        <v>756</v>
      </c>
      <c r="M2" s="282"/>
      <c r="N2" s="282"/>
    </row>
    <row r="3" spans="1:14" x14ac:dyDescent="0.25">
      <c r="A3" s="383" t="s">
        <v>757</v>
      </c>
      <c r="B3" s="384"/>
      <c r="C3" s="286" t="s">
        <v>753</v>
      </c>
      <c r="D3" s="281"/>
      <c r="E3" s="282"/>
      <c r="F3" s="282"/>
      <c r="G3" s="282"/>
      <c r="H3" s="282"/>
      <c r="I3" s="282"/>
      <c r="J3" s="282"/>
      <c r="K3" s="283"/>
      <c r="L3" s="287" t="s">
        <v>758</v>
      </c>
      <c r="M3" s="282"/>
      <c r="N3" s="282"/>
    </row>
    <row r="4" spans="1:14" x14ac:dyDescent="0.25">
      <c r="A4" s="383" t="s">
        <v>759</v>
      </c>
      <c r="B4" s="384"/>
      <c r="C4" s="286" t="s">
        <v>753</v>
      </c>
      <c r="D4" s="281"/>
      <c r="E4" s="282"/>
      <c r="F4" s="282"/>
      <c r="G4" s="282"/>
      <c r="H4" s="282"/>
      <c r="I4" s="282"/>
      <c r="J4" s="282"/>
      <c r="K4" s="283"/>
      <c r="L4" s="287" t="s">
        <v>760</v>
      </c>
      <c r="M4" s="282"/>
      <c r="N4" s="282"/>
    </row>
    <row r="5" spans="1:14" x14ac:dyDescent="0.25">
      <c r="A5" s="282"/>
      <c r="B5" s="282"/>
      <c r="C5" s="283"/>
      <c r="D5" s="282"/>
      <c r="E5" s="283"/>
      <c r="F5" s="283"/>
      <c r="G5" s="282"/>
      <c r="H5" s="282"/>
      <c r="I5" s="282"/>
      <c r="J5" s="282"/>
      <c r="K5" s="283"/>
      <c r="L5" s="287" t="s">
        <v>761</v>
      </c>
      <c r="M5" s="282"/>
      <c r="N5" s="282"/>
    </row>
    <row r="6" spans="1:14" ht="35.25" customHeight="1" x14ac:dyDescent="0.25">
      <c r="A6" s="380" t="s">
        <v>762</v>
      </c>
      <c r="B6" s="381"/>
      <c r="C6" s="382"/>
      <c r="D6" s="282"/>
      <c r="E6" s="283"/>
      <c r="F6" s="282"/>
      <c r="G6" s="282"/>
      <c r="H6" s="282"/>
      <c r="I6" s="282"/>
      <c r="J6" s="282"/>
      <c r="K6" s="283"/>
      <c r="L6" s="282"/>
      <c r="M6" s="282"/>
      <c r="N6" s="282"/>
    </row>
    <row r="7" spans="1:14" ht="78.75" customHeight="1" x14ac:dyDescent="0.25">
      <c r="A7" s="288"/>
      <c r="B7" s="288"/>
      <c r="C7" s="289" t="s">
        <v>753</v>
      </c>
      <c r="D7" s="290" t="s">
        <v>753</v>
      </c>
      <c r="E7" s="291" t="s">
        <v>753</v>
      </c>
      <c r="F7" s="292" t="s">
        <v>763</v>
      </c>
      <c r="G7" s="292" t="s">
        <v>764</v>
      </c>
      <c r="H7" s="293" t="s">
        <v>765</v>
      </c>
      <c r="I7" s="293" t="s">
        <v>766</v>
      </c>
      <c r="J7" s="294" t="s">
        <v>753</v>
      </c>
      <c r="K7" s="295" t="s">
        <v>767</v>
      </c>
      <c r="L7" s="296" t="s">
        <v>768</v>
      </c>
      <c r="M7" s="296" t="s">
        <v>753</v>
      </c>
      <c r="N7" s="378" t="s">
        <v>769</v>
      </c>
    </row>
    <row r="8" spans="1:14" ht="38.25" x14ac:dyDescent="0.25">
      <c r="A8" s="297" t="s">
        <v>770</v>
      </c>
      <c r="B8" s="298" t="s">
        <v>771</v>
      </c>
      <c r="C8" s="299" t="s">
        <v>772</v>
      </c>
      <c r="D8" s="300" t="s">
        <v>773</v>
      </c>
      <c r="E8" s="301" t="s">
        <v>774</v>
      </c>
      <c r="F8" s="300" t="s">
        <v>775</v>
      </c>
      <c r="G8" s="302" t="s">
        <v>776</v>
      </c>
      <c r="H8" s="303" t="s">
        <v>23</v>
      </c>
      <c r="I8" s="304" t="s">
        <v>24</v>
      </c>
      <c r="J8" s="304" t="s">
        <v>777</v>
      </c>
      <c r="K8" s="305" t="s">
        <v>172</v>
      </c>
      <c r="L8" s="305" t="s">
        <v>778</v>
      </c>
      <c r="M8" s="305" t="s">
        <v>779</v>
      </c>
      <c r="N8" s="379"/>
    </row>
    <row r="9" spans="1:14" ht="42.75" customHeight="1" x14ac:dyDescent="0.25">
      <c r="A9" s="306">
        <v>1</v>
      </c>
      <c r="B9" s="307" t="s">
        <v>780</v>
      </c>
      <c r="C9" s="347" t="s">
        <v>781</v>
      </c>
      <c r="D9" s="308" t="s">
        <v>773</v>
      </c>
      <c r="E9" s="308" t="s">
        <v>782</v>
      </c>
      <c r="F9" s="309" t="s">
        <v>753</v>
      </c>
      <c r="G9" s="310" t="s">
        <v>753</v>
      </c>
      <c r="H9" s="311" t="s">
        <v>60</v>
      </c>
      <c r="I9" s="311">
        <v>6</v>
      </c>
      <c r="J9" s="312">
        <v>6.4500000000000002E-2</v>
      </c>
      <c r="K9" s="313" t="s">
        <v>783</v>
      </c>
      <c r="L9" s="314" t="s">
        <v>753</v>
      </c>
      <c r="M9" s="315" t="s">
        <v>753</v>
      </c>
      <c r="N9" s="316" t="s">
        <v>753</v>
      </c>
    </row>
    <row r="10" spans="1:14" ht="30" customHeight="1" x14ac:dyDescent="0.25">
      <c r="A10" s="317">
        <v>2</v>
      </c>
      <c r="B10" s="318" t="s">
        <v>780</v>
      </c>
      <c r="C10" s="319" t="s">
        <v>784</v>
      </c>
      <c r="D10" s="319" t="s">
        <v>773</v>
      </c>
      <c r="E10" s="319" t="s">
        <v>785</v>
      </c>
      <c r="F10" s="320" t="s">
        <v>753</v>
      </c>
      <c r="G10" s="310" t="s">
        <v>753</v>
      </c>
      <c r="H10" s="321" t="s">
        <v>188</v>
      </c>
      <c r="I10" s="321">
        <v>5</v>
      </c>
      <c r="J10" s="322">
        <v>5.3800000000000001E-2</v>
      </c>
      <c r="K10" s="323" t="s">
        <v>783</v>
      </c>
      <c r="L10" s="324" t="s">
        <v>753</v>
      </c>
      <c r="M10" s="325" t="s">
        <v>753</v>
      </c>
      <c r="N10" s="316" t="s">
        <v>753</v>
      </c>
    </row>
    <row r="11" spans="1:14" ht="54.75" customHeight="1" x14ac:dyDescent="0.25">
      <c r="A11" s="317">
        <v>3</v>
      </c>
      <c r="B11" s="318" t="s">
        <v>780</v>
      </c>
      <c r="C11" s="319" t="s">
        <v>786</v>
      </c>
      <c r="D11" s="319" t="s">
        <v>787</v>
      </c>
      <c r="E11" s="319" t="s">
        <v>788</v>
      </c>
      <c r="F11" s="320" t="s">
        <v>753</v>
      </c>
      <c r="G11" s="310" t="s">
        <v>753</v>
      </c>
      <c r="H11" s="321" t="s">
        <v>60</v>
      </c>
      <c r="I11" s="321">
        <v>6</v>
      </c>
      <c r="J11" s="322">
        <v>6.4500000000000002E-2</v>
      </c>
      <c r="K11" s="323" t="s">
        <v>783</v>
      </c>
      <c r="L11" s="324" t="s">
        <v>753</v>
      </c>
      <c r="M11" s="326" t="s">
        <v>753</v>
      </c>
      <c r="N11" s="327" t="s">
        <v>753</v>
      </c>
    </row>
    <row r="12" spans="1:14" ht="64.5" customHeight="1" x14ac:dyDescent="0.25">
      <c r="A12" s="317">
        <v>4</v>
      </c>
      <c r="B12" s="318" t="s">
        <v>780</v>
      </c>
      <c r="C12" s="319" t="s">
        <v>789</v>
      </c>
      <c r="D12" s="319" t="s">
        <v>790</v>
      </c>
      <c r="E12" s="319" t="s">
        <v>791</v>
      </c>
      <c r="F12" s="320" t="s">
        <v>753</v>
      </c>
      <c r="G12" s="310" t="s">
        <v>753</v>
      </c>
      <c r="H12" s="321" t="s">
        <v>188</v>
      </c>
      <c r="I12" s="321">
        <v>5</v>
      </c>
      <c r="J12" s="322">
        <v>5.3800000000000001E-2</v>
      </c>
      <c r="K12" s="323" t="s">
        <v>783</v>
      </c>
      <c r="L12" s="324" t="s">
        <v>753</v>
      </c>
      <c r="M12" s="325" t="s">
        <v>753</v>
      </c>
      <c r="N12" s="328" t="s">
        <v>753</v>
      </c>
    </row>
    <row r="13" spans="1:14" ht="163.5" customHeight="1" x14ac:dyDescent="0.25">
      <c r="A13" s="317">
        <v>5</v>
      </c>
      <c r="B13" s="318" t="s">
        <v>780</v>
      </c>
      <c r="C13" s="319" t="s">
        <v>792</v>
      </c>
      <c r="D13" s="319" t="s">
        <v>787</v>
      </c>
      <c r="E13" s="319" t="s">
        <v>793</v>
      </c>
      <c r="F13" s="320" t="s">
        <v>753</v>
      </c>
      <c r="G13" s="310" t="s">
        <v>753</v>
      </c>
      <c r="H13" s="321" t="s">
        <v>60</v>
      </c>
      <c r="I13" s="321">
        <v>6</v>
      </c>
      <c r="J13" s="322">
        <v>6.4500000000000002E-2</v>
      </c>
      <c r="K13" s="323" t="s">
        <v>783</v>
      </c>
      <c r="L13" s="324" t="s">
        <v>753</v>
      </c>
      <c r="M13" s="326" t="s">
        <v>753</v>
      </c>
      <c r="N13" s="329" t="s">
        <v>753</v>
      </c>
    </row>
    <row r="14" spans="1:14" ht="72.75" customHeight="1" x14ac:dyDescent="0.25">
      <c r="A14" s="317">
        <v>6</v>
      </c>
      <c r="B14" s="318" t="s">
        <v>780</v>
      </c>
      <c r="C14" s="319" t="s">
        <v>794</v>
      </c>
      <c r="D14" s="319" t="s">
        <v>790</v>
      </c>
      <c r="E14" s="319" t="s">
        <v>795</v>
      </c>
      <c r="F14" s="320" t="s">
        <v>753</v>
      </c>
      <c r="G14" s="310" t="s">
        <v>753</v>
      </c>
      <c r="H14" s="321" t="s">
        <v>188</v>
      </c>
      <c r="I14" s="321">
        <v>5</v>
      </c>
      <c r="J14" s="322">
        <v>5.3800000000000001E-2</v>
      </c>
      <c r="K14" s="323" t="s">
        <v>783</v>
      </c>
      <c r="L14" s="324" t="s">
        <v>753</v>
      </c>
      <c r="M14" s="325" t="s">
        <v>753</v>
      </c>
      <c r="N14" s="330" t="s">
        <v>753</v>
      </c>
    </row>
    <row r="15" spans="1:14" ht="58.5" customHeight="1" x14ac:dyDescent="0.25">
      <c r="A15" s="317">
        <v>7</v>
      </c>
      <c r="B15" s="318" t="s">
        <v>780</v>
      </c>
      <c r="C15" s="319" t="s">
        <v>796</v>
      </c>
      <c r="D15" s="319" t="s">
        <v>787</v>
      </c>
      <c r="E15" s="319" t="s">
        <v>797</v>
      </c>
      <c r="F15" s="320" t="s">
        <v>753</v>
      </c>
      <c r="G15" s="310" t="s">
        <v>753</v>
      </c>
      <c r="H15" s="321" t="s">
        <v>60</v>
      </c>
      <c r="I15" s="321">
        <v>6</v>
      </c>
      <c r="J15" s="322">
        <v>6.4500000000000002E-2</v>
      </c>
      <c r="K15" s="323" t="s">
        <v>783</v>
      </c>
      <c r="L15" s="324" t="s">
        <v>753</v>
      </c>
      <c r="M15" s="326" t="s">
        <v>753</v>
      </c>
      <c r="N15" s="331" t="s">
        <v>753</v>
      </c>
    </row>
    <row r="16" spans="1:14" ht="103.5" customHeight="1" x14ac:dyDescent="0.25">
      <c r="A16" s="317">
        <v>8</v>
      </c>
      <c r="B16" s="318" t="s">
        <v>780</v>
      </c>
      <c r="C16" s="319" t="s">
        <v>798</v>
      </c>
      <c r="D16" s="319" t="s">
        <v>790</v>
      </c>
      <c r="E16" s="346" t="s">
        <v>799</v>
      </c>
      <c r="F16" s="320" t="s">
        <v>753</v>
      </c>
      <c r="G16" s="310" t="s">
        <v>753</v>
      </c>
      <c r="H16" s="321" t="s">
        <v>188</v>
      </c>
      <c r="I16" s="321">
        <v>5</v>
      </c>
      <c r="J16" s="322">
        <v>5.3800000000000001E-2</v>
      </c>
      <c r="K16" s="323" t="s">
        <v>783</v>
      </c>
      <c r="L16" s="324" t="s">
        <v>753</v>
      </c>
      <c r="M16" s="325" t="s">
        <v>753</v>
      </c>
      <c r="N16" s="330" t="s">
        <v>753</v>
      </c>
    </row>
    <row r="17" spans="1:14" ht="47.25" customHeight="1" x14ac:dyDescent="0.25">
      <c r="A17" s="317">
        <v>9</v>
      </c>
      <c r="B17" s="318" t="s">
        <v>780</v>
      </c>
      <c r="C17" s="319" t="s">
        <v>800</v>
      </c>
      <c r="D17" s="319" t="s">
        <v>790</v>
      </c>
      <c r="E17" s="319" t="s">
        <v>801</v>
      </c>
      <c r="F17" s="320" t="s">
        <v>753</v>
      </c>
      <c r="G17" s="310" t="s">
        <v>753</v>
      </c>
      <c r="H17" s="321" t="s">
        <v>188</v>
      </c>
      <c r="I17" s="321">
        <v>5</v>
      </c>
      <c r="J17" s="322">
        <v>5.3800000000000001E-2</v>
      </c>
      <c r="K17" s="323" t="s">
        <v>783</v>
      </c>
      <c r="L17" s="324" t="s">
        <v>753</v>
      </c>
      <c r="M17" s="325" t="s">
        <v>753</v>
      </c>
      <c r="N17" s="332" t="s">
        <v>753</v>
      </c>
    </row>
    <row r="18" spans="1:14" ht="74.25" customHeight="1" x14ac:dyDescent="0.25">
      <c r="A18" s="317">
        <v>10</v>
      </c>
      <c r="B18" s="318" t="s">
        <v>780</v>
      </c>
      <c r="C18" s="319" t="s">
        <v>802</v>
      </c>
      <c r="D18" s="319" t="s">
        <v>790</v>
      </c>
      <c r="E18" s="319" t="s">
        <v>803</v>
      </c>
      <c r="F18" s="320" t="s">
        <v>753</v>
      </c>
      <c r="G18" s="310" t="s">
        <v>753</v>
      </c>
      <c r="H18" s="321" t="s">
        <v>188</v>
      </c>
      <c r="I18" s="321">
        <v>5</v>
      </c>
      <c r="J18" s="322">
        <v>5.3800000000000001E-2</v>
      </c>
      <c r="K18" s="323" t="s">
        <v>783</v>
      </c>
      <c r="L18" s="324" t="s">
        <v>753</v>
      </c>
      <c r="M18" s="325" t="s">
        <v>753</v>
      </c>
      <c r="N18" s="332" t="s">
        <v>753</v>
      </c>
    </row>
    <row r="19" spans="1:14" ht="95.45" customHeight="1" x14ac:dyDescent="0.25">
      <c r="A19" s="317">
        <v>11</v>
      </c>
      <c r="B19" s="318" t="s">
        <v>780</v>
      </c>
      <c r="C19" s="319" t="s">
        <v>804</v>
      </c>
      <c r="D19" s="319" t="s">
        <v>773</v>
      </c>
      <c r="E19" s="319" t="s">
        <v>805</v>
      </c>
      <c r="F19" s="320" t="s">
        <v>753</v>
      </c>
      <c r="G19" s="310" t="s">
        <v>753</v>
      </c>
      <c r="H19" s="321" t="s">
        <v>60</v>
      </c>
      <c r="I19" s="321">
        <v>6</v>
      </c>
      <c r="J19" s="322">
        <v>6.4500000000000002E-2</v>
      </c>
      <c r="K19" s="323" t="s">
        <v>783</v>
      </c>
      <c r="L19" s="324" t="s">
        <v>753</v>
      </c>
      <c r="M19" s="325" t="s">
        <v>753</v>
      </c>
      <c r="N19" s="333" t="s">
        <v>753</v>
      </c>
    </row>
    <row r="20" spans="1:14" ht="150.75" customHeight="1" x14ac:dyDescent="0.25">
      <c r="A20" s="317">
        <v>12</v>
      </c>
      <c r="B20" s="318" t="s">
        <v>780</v>
      </c>
      <c r="C20" s="319" t="s">
        <v>806</v>
      </c>
      <c r="D20" s="319" t="s">
        <v>787</v>
      </c>
      <c r="E20" s="319" t="s">
        <v>807</v>
      </c>
      <c r="F20" s="320" t="s">
        <v>753</v>
      </c>
      <c r="G20" s="310" t="s">
        <v>753</v>
      </c>
      <c r="H20" s="321" t="s">
        <v>60</v>
      </c>
      <c r="I20" s="321">
        <v>6</v>
      </c>
      <c r="J20" s="322">
        <v>6.4500000000000002E-2</v>
      </c>
      <c r="K20" s="323" t="s">
        <v>783</v>
      </c>
      <c r="L20" s="324" t="s">
        <v>753</v>
      </c>
      <c r="M20" s="326" t="s">
        <v>753</v>
      </c>
      <c r="N20" s="334" t="s">
        <v>753</v>
      </c>
    </row>
    <row r="21" spans="1:14" ht="65.25" customHeight="1" x14ac:dyDescent="0.25">
      <c r="A21" s="317">
        <v>13</v>
      </c>
      <c r="B21" s="318" t="s">
        <v>780</v>
      </c>
      <c r="C21" s="319" t="s">
        <v>808</v>
      </c>
      <c r="D21" s="319" t="s">
        <v>790</v>
      </c>
      <c r="E21" s="319" t="s">
        <v>809</v>
      </c>
      <c r="F21" s="320" t="s">
        <v>753</v>
      </c>
      <c r="G21" s="310" t="s">
        <v>753</v>
      </c>
      <c r="H21" s="321" t="s">
        <v>188</v>
      </c>
      <c r="I21" s="321">
        <v>5</v>
      </c>
      <c r="J21" s="322">
        <v>5.3800000000000001E-2</v>
      </c>
      <c r="K21" s="323" t="s">
        <v>783</v>
      </c>
      <c r="L21" s="324" t="s">
        <v>753</v>
      </c>
      <c r="M21" s="325" t="s">
        <v>753</v>
      </c>
      <c r="N21" s="330" t="s">
        <v>753</v>
      </c>
    </row>
    <row r="22" spans="1:14" ht="66" customHeight="1" x14ac:dyDescent="0.25">
      <c r="A22" s="317">
        <v>14</v>
      </c>
      <c r="B22" s="318" t="s">
        <v>780</v>
      </c>
      <c r="C22" s="319" t="s">
        <v>810</v>
      </c>
      <c r="D22" s="319" t="s">
        <v>773</v>
      </c>
      <c r="E22" s="319" t="s">
        <v>811</v>
      </c>
      <c r="F22" s="320" t="s">
        <v>753</v>
      </c>
      <c r="G22" s="310" t="s">
        <v>753</v>
      </c>
      <c r="H22" s="321" t="s">
        <v>60</v>
      </c>
      <c r="I22" s="321">
        <v>6</v>
      </c>
      <c r="J22" s="322">
        <v>6.4500000000000002E-2</v>
      </c>
      <c r="K22" s="323" t="s">
        <v>783</v>
      </c>
      <c r="L22" s="324" t="s">
        <v>753</v>
      </c>
      <c r="M22" s="325" t="s">
        <v>753</v>
      </c>
      <c r="N22" s="333" t="s">
        <v>753</v>
      </c>
    </row>
    <row r="23" spans="1:14" ht="86.25" customHeight="1" x14ac:dyDescent="0.25">
      <c r="A23" s="317">
        <v>15</v>
      </c>
      <c r="B23" s="318" t="s">
        <v>780</v>
      </c>
      <c r="C23" s="319" t="s">
        <v>812</v>
      </c>
      <c r="D23" s="319" t="s">
        <v>773</v>
      </c>
      <c r="E23" s="319" t="s">
        <v>813</v>
      </c>
      <c r="F23" s="320" t="s">
        <v>753</v>
      </c>
      <c r="G23" s="310" t="s">
        <v>753</v>
      </c>
      <c r="H23" s="321" t="s">
        <v>60</v>
      </c>
      <c r="I23" s="321">
        <v>6</v>
      </c>
      <c r="J23" s="322">
        <v>6.4500000000000002E-2</v>
      </c>
      <c r="K23" s="323" t="s">
        <v>783</v>
      </c>
      <c r="L23" s="324" t="s">
        <v>753</v>
      </c>
      <c r="M23" s="325" t="s">
        <v>753</v>
      </c>
      <c r="N23" s="316" t="s">
        <v>753</v>
      </c>
    </row>
    <row r="24" spans="1:14" ht="42.75" customHeight="1" x14ac:dyDescent="0.25">
      <c r="A24" s="317">
        <v>16</v>
      </c>
      <c r="B24" s="318" t="s">
        <v>780</v>
      </c>
      <c r="C24" s="319" t="s">
        <v>814</v>
      </c>
      <c r="D24" s="319" t="s">
        <v>773</v>
      </c>
      <c r="E24" s="319" t="s">
        <v>815</v>
      </c>
      <c r="F24" s="320" t="s">
        <v>753</v>
      </c>
      <c r="G24" s="310" t="s">
        <v>753</v>
      </c>
      <c r="H24" s="321" t="s">
        <v>188</v>
      </c>
      <c r="I24" s="321">
        <v>5</v>
      </c>
      <c r="J24" s="322">
        <v>5.3800000000000001E-2</v>
      </c>
      <c r="K24" s="323" t="s">
        <v>783</v>
      </c>
      <c r="L24" s="324" t="s">
        <v>753</v>
      </c>
      <c r="M24" s="325" t="s">
        <v>753</v>
      </c>
      <c r="N24" s="316" t="s">
        <v>753</v>
      </c>
    </row>
    <row r="25" spans="1:14" ht="47.25" customHeight="1" x14ac:dyDescent="0.25">
      <c r="A25" s="317">
        <v>17</v>
      </c>
      <c r="B25" s="318" t="s">
        <v>780</v>
      </c>
      <c r="C25" s="335" t="s">
        <v>816</v>
      </c>
      <c r="D25" s="335" t="s">
        <v>773</v>
      </c>
      <c r="E25" s="335" t="s">
        <v>817</v>
      </c>
      <c r="F25" s="320" t="s">
        <v>753</v>
      </c>
      <c r="G25" s="310" t="s">
        <v>753</v>
      </c>
      <c r="H25" s="321" t="s">
        <v>188</v>
      </c>
      <c r="I25" s="321">
        <v>5</v>
      </c>
      <c r="J25" s="322">
        <v>5.3800000000000001E-2</v>
      </c>
      <c r="K25" s="323" t="s">
        <v>783</v>
      </c>
      <c r="L25" s="324" t="s">
        <v>753</v>
      </c>
      <c r="M25" s="326" t="s">
        <v>753</v>
      </c>
      <c r="N25" s="329" t="s">
        <v>753</v>
      </c>
    </row>
    <row r="26" spans="1:14" x14ac:dyDescent="0.25">
      <c r="A26" s="336" t="s">
        <v>753</v>
      </c>
      <c r="B26" s="337" t="s">
        <v>753</v>
      </c>
      <c r="C26" s="338" t="s">
        <v>753</v>
      </c>
      <c r="D26" s="337" t="s">
        <v>753</v>
      </c>
      <c r="E26" s="338" t="s">
        <v>753</v>
      </c>
      <c r="F26" s="338" t="s">
        <v>753</v>
      </c>
      <c r="G26" s="337" t="s">
        <v>753</v>
      </c>
      <c r="H26" s="337" t="s">
        <v>753</v>
      </c>
      <c r="I26" s="337" t="s">
        <v>753</v>
      </c>
      <c r="J26" s="337" t="s">
        <v>753</v>
      </c>
      <c r="K26" s="337" t="s">
        <v>753</v>
      </c>
      <c r="L26" s="337" t="s">
        <v>753</v>
      </c>
      <c r="M26" s="337" t="s">
        <v>753</v>
      </c>
      <c r="N26" s="282"/>
    </row>
    <row r="27" spans="1:14" x14ac:dyDescent="0.25">
      <c r="A27" s="283"/>
      <c r="B27" s="283"/>
      <c r="C27" s="283"/>
      <c r="D27" s="283"/>
      <c r="E27" s="283"/>
      <c r="F27" s="283"/>
      <c r="G27" s="339" t="s">
        <v>818</v>
      </c>
      <c r="H27" s="339"/>
      <c r="I27" s="340">
        <v>93</v>
      </c>
      <c r="J27" s="341">
        <v>1</v>
      </c>
      <c r="K27" s="342"/>
      <c r="L27" s="288"/>
      <c r="M27" s="340" t="s">
        <v>753</v>
      </c>
      <c r="N27" s="282"/>
    </row>
    <row r="28" spans="1:14" x14ac:dyDescent="0.25">
      <c r="A28" s="282"/>
      <c r="B28" s="282"/>
      <c r="C28" s="283"/>
      <c r="D28" s="282"/>
      <c r="E28" s="283"/>
      <c r="F28" s="283"/>
      <c r="G28" s="282"/>
      <c r="H28" s="282"/>
      <c r="I28" s="282"/>
      <c r="J28" s="282"/>
      <c r="K28" s="283"/>
      <c r="L28" s="282"/>
      <c r="M28" s="282"/>
      <c r="N28" s="282"/>
    </row>
    <row r="29" spans="1:14" x14ac:dyDescent="0.25">
      <c r="A29" s="343"/>
      <c r="B29" s="282"/>
      <c r="C29" s="283"/>
      <c r="D29" s="282"/>
      <c r="E29" s="283"/>
      <c r="F29" s="283"/>
      <c r="G29" s="282"/>
      <c r="H29" s="282"/>
      <c r="I29" s="282"/>
      <c r="J29" s="282"/>
      <c r="K29" s="283"/>
      <c r="L29" s="282"/>
      <c r="M29" s="282"/>
      <c r="N29" s="282"/>
    </row>
    <row r="30" spans="1:14" x14ac:dyDescent="0.25">
      <c r="A30" s="282"/>
      <c r="B30" s="282"/>
      <c r="C30" s="283"/>
      <c r="D30" s="282"/>
      <c r="E30" s="283"/>
      <c r="F30" s="283"/>
      <c r="G30" s="282"/>
      <c r="H30" s="282"/>
      <c r="I30" s="282"/>
      <c r="J30" s="282"/>
      <c r="K30" s="283"/>
      <c r="L30" s="282"/>
      <c r="M30" s="282"/>
      <c r="N30" s="282"/>
    </row>
    <row r="31" spans="1:14" x14ac:dyDescent="0.25">
      <c r="A31" s="282"/>
      <c r="B31" s="282"/>
      <c r="C31" s="283"/>
      <c r="D31" s="282"/>
      <c r="E31" s="283"/>
      <c r="F31" s="283"/>
      <c r="G31" s="282"/>
      <c r="H31" s="282"/>
      <c r="I31" s="282"/>
      <c r="J31" s="282"/>
      <c r="K31" s="283"/>
      <c r="L31" s="282"/>
      <c r="M31" s="282"/>
      <c r="N31" s="282"/>
    </row>
    <row r="32" spans="1:14" x14ac:dyDescent="0.25">
      <c r="A32" s="282"/>
      <c r="B32" s="282"/>
      <c r="C32" s="283"/>
      <c r="D32" s="282"/>
      <c r="E32" s="283"/>
      <c r="F32" s="283"/>
      <c r="G32" s="282"/>
      <c r="H32" s="282"/>
      <c r="I32" s="282"/>
      <c r="J32" s="282"/>
      <c r="K32" s="283"/>
      <c r="L32" s="282"/>
      <c r="M32" s="282"/>
      <c r="N32" s="282"/>
    </row>
    <row r="33" spans="1:14" x14ac:dyDescent="0.25">
      <c r="A33" s="282"/>
      <c r="B33" s="282"/>
      <c r="C33" s="283"/>
      <c r="D33" s="282"/>
      <c r="E33" s="283"/>
      <c r="F33" s="283"/>
      <c r="G33" s="282"/>
      <c r="H33" s="282"/>
      <c r="I33" s="282"/>
      <c r="J33" s="282"/>
      <c r="K33" s="283"/>
      <c r="L33" s="282"/>
      <c r="M33" s="282"/>
      <c r="N33" s="282"/>
    </row>
    <row r="34" spans="1:14" x14ac:dyDescent="0.25">
      <c r="A34" s="282"/>
      <c r="B34" s="282"/>
      <c r="C34" s="283"/>
      <c r="D34" s="282"/>
      <c r="E34" s="283"/>
      <c r="F34" s="283"/>
      <c r="G34" s="282"/>
      <c r="H34" s="282"/>
      <c r="I34" s="282"/>
      <c r="J34" s="282"/>
      <c r="K34" s="283"/>
      <c r="L34" s="282"/>
      <c r="M34" s="282"/>
      <c r="N34" s="282"/>
    </row>
    <row r="35" spans="1:14" x14ac:dyDescent="0.25">
      <c r="A35" s="282"/>
      <c r="B35" s="282"/>
      <c r="C35" s="283"/>
      <c r="D35" s="282"/>
      <c r="E35" s="283"/>
      <c r="F35" s="283"/>
      <c r="G35" s="282"/>
      <c r="H35" s="282"/>
      <c r="I35" s="282"/>
      <c r="J35" s="282"/>
      <c r="K35" s="283"/>
      <c r="L35" s="282"/>
      <c r="M35" s="282"/>
      <c r="N35" s="282"/>
    </row>
    <row r="36" spans="1:14" x14ac:dyDescent="0.25">
      <c r="A36" s="282"/>
      <c r="B36" s="282"/>
      <c r="C36" s="283"/>
      <c r="D36" s="282"/>
      <c r="E36" s="283"/>
      <c r="F36" s="283"/>
      <c r="G36" s="282"/>
      <c r="H36" s="282"/>
      <c r="I36" s="282"/>
      <c r="J36" s="282"/>
      <c r="K36" s="283">
        <v>93</v>
      </c>
      <c r="L36" s="282"/>
      <c r="M36" s="282"/>
      <c r="N36" s="282"/>
    </row>
    <row r="37" spans="1:14" x14ac:dyDescent="0.25">
      <c r="A37" s="282"/>
      <c r="B37" s="282"/>
      <c r="C37" s="283"/>
      <c r="D37" s="282"/>
      <c r="E37" s="283"/>
      <c r="F37" s="283"/>
      <c r="G37" s="282"/>
      <c r="H37" s="282"/>
      <c r="I37" s="282"/>
      <c r="J37" s="282"/>
      <c r="K37" s="283"/>
      <c r="L37" s="282"/>
      <c r="M37" s="282"/>
      <c r="N37" s="282"/>
    </row>
    <row r="38" spans="1:14" x14ac:dyDescent="0.25">
      <c r="A38" s="282"/>
      <c r="B38" s="282"/>
      <c r="C38" s="283"/>
      <c r="D38" s="282"/>
      <c r="E38" s="283"/>
      <c r="F38" s="283"/>
      <c r="G38" s="282"/>
      <c r="H38" s="282"/>
      <c r="I38" s="282"/>
      <c r="J38" s="282"/>
      <c r="K38" s="283"/>
      <c r="L38" s="282"/>
      <c r="M38" s="282"/>
      <c r="N38" s="282"/>
    </row>
    <row r="39" spans="1:14" x14ac:dyDescent="0.25">
      <c r="A39" s="282"/>
      <c r="B39" s="282"/>
      <c r="C39" s="283"/>
      <c r="D39" s="282"/>
      <c r="E39" s="283"/>
      <c r="F39" s="283"/>
      <c r="G39" s="282"/>
      <c r="H39" s="282"/>
      <c r="I39" s="282"/>
      <c r="J39" s="282"/>
      <c r="K39" s="283"/>
      <c r="L39" s="282"/>
      <c r="M39" s="282"/>
      <c r="N39" s="282"/>
    </row>
    <row r="40" spans="1:14" x14ac:dyDescent="0.25">
      <c r="A40" s="282"/>
      <c r="B40" s="282"/>
      <c r="C40" s="283"/>
      <c r="D40" s="282"/>
      <c r="E40" s="283"/>
      <c r="F40" s="283"/>
      <c r="G40" s="282"/>
      <c r="H40" s="282"/>
      <c r="I40" s="282"/>
      <c r="J40" s="282"/>
      <c r="K40" s="283"/>
      <c r="L40" s="282"/>
      <c r="M40" s="282"/>
      <c r="N40" s="282"/>
    </row>
    <row r="41" spans="1:14" x14ac:dyDescent="0.25">
      <c r="A41" s="282"/>
      <c r="B41" s="282"/>
      <c r="C41" s="283"/>
      <c r="D41" s="282"/>
      <c r="E41" s="283"/>
      <c r="F41" s="283"/>
      <c r="G41" s="282"/>
      <c r="H41" s="282"/>
      <c r="I41" s="282"/>
      <c r="J41" s="282"/>
      <c r="K41" s="283"/>
      <c r="L41" s="282"/>
      <c r="M41" s="282"/>
      <c r="N41" s="282"/>
    </row>
    <row r="42" spans="1:14" x14ac:dyDescent="0.25">
      <c r="A42" s="282"/>
      <c r="B42" s="282"/>
      <c r="C42" s="283"/>
      <c r="D42" s="282"/>
      <c r="E42" s="283"/>
      <c r="F42" s="283"/>
      <c r="G42" s="282"/>
      <c r="H42" s="282"/>
      <c r="I42" s="282"/>
      <c r="J42" s="282"/>
      <c r="K42" s="283"/>
      <c r="L42" s="282"/>
      <c r="M42" s="282"/>
      <c r="N42" s="282"/>
    </row>
    <row r="43" spans="1:14" x14ac:dyDescent="0.25">
      <c r="A43" s="282"/>
      <c r="B43" s="282"/>
      <c r="C43" s="283"/>
      <c r="D43" s="282"/>
      <c r="E43" s="283"/>
      <c r="F43" s="283"/>
      <c r="G43" s="282"/>
      <c r="H43" s="282"/>
      <c r="I43" s="282"/>
      <c r="J43" s="282"/>
      <c r="K43" s="283"/>
      <c r="L43" s="282"/>
      <c r="M43" s="282"/>
      <c r="N43" s="282"/>
    </row>
    <row r="44" spans="1:14" x14ac:dyDescent="0.25">
      <c r="A44" s="282"/>
      <c r="B44" s="288" t="s">
        <v>819</v>
      </c>
      <c r="C44" s="283"/>
      <c r="D44" s="282"/>
      <c r="E44" s="283"/>
      <c r="F44" s="283"/>
      <c r="G44" s="282"/>
      <c r="H44" s="282"/>
      <c r="I44" s="282"/>
      <c r="J44" s="282"/>
      <c r="K44" s="283"/>
      <c r="L44" s="282"/>
      <c r="M44" s="282"/>
      <c r="N44" s="282"/>
    </row>
    <row r="45" spans="1:14" x14ac:dyDescent="0.25">
      <c r="A45" s="282"/>
      <c r="B45" s="344" t="s">
        <v>820</v>
      </c>
      <c r="C45" s="311" t="s">
        <v>753</v>
      </c>
      <c r="D45" s="282"/>
      <c r="E45" s="283"/>
      <c r="F45" s="283"/>
      <c r="G45" s="282"/>
      <c r="H45" s="282"/>
      <c r="I45" s="282"/>
      <c r="J45" s="282"/>
      <c r="K45" s="283"/>
      <c r="L45" s="282"/>
      <c r="M45" s="282"/>
      <c r="N45" s="282"/>
    </row>
    <row r="46" spans="1:14" x14ac:dyDescent="0.25">
      <c r="A46" s="282"/>
      <c r="B46" s="345" t="s">
        <v>821</v>
      </c>
      <c r="C46" s="321" t="s">
        <v>753</v>
      </c>
      <c r="D46" s="282"/>
      <c r="E46" s="283"/>
      <c r="F46" s="283"/>
      <c r="G46" s="282"/>
      <c r="H46" s="282"/>
      <c r="I46" s="282"/>
      <c r="J46" s="282"/>
      <c r="K46" s="283"/>
      <c r="L46" s="282"/>
      <c r="M46" s="282"/>
      <c r="N46" s="282"/>
    </row>
    <row r="47" spans="1:14" x14ac:dyDescent="0.25">
      <c r="A47" s="282"/>
      <c r="B47" s="345" t="s">
        <v>822</v>
      </c>
      <c r="C47" s="321" t="s">
        <v>753</v>
      </c>
      <c r="D47" s="282"/>
      <c r="E47" s="283"/>
      <c r="F47" s="283"/>
      <c r="G47" s="282"/>
      <c r="H47" s="282"/>
      <c r="I47" s="282"/>
      <c r="J47" s="282"/>
      <c r="K47" s="283"/>
      <c r="L47" s="282"/>
      <c r="M47" s="282"/>
      <c r="N47" s="282"/>
    </row>
    <row r="48" spans="1:14" x14ac:dyDescent="0.25">
      <c r="A48" s="282"/>
      <c r="B48" s="345" t="s">
        <v>823</v>
      </c>
      <c r="C48" s="321" t="s">
        <v>753</v>
      </c>
      <c r="D48" s="282"/>
      <c r="E48" s="283"/>
      <c r="F48" s="283"/>
      <c r="G48" s="282"/>
      <c r="H48" s="282"/>
      <c r="I48" s="282"/>
      <c r="J48" s="282"/>
      <c r="K48" s="283"/>
      <c r="L48" s="282"/>
      <c r="M48" s="282"/>
      <c r="N48" s="282"/>
    </row>
  </sheetData>
  <mergeCells count="6">
    <mergeCell ref="N7:N8"/>
    <mergeCell ref="A6:C6"/>
    <mergeCell ref="A1:B1"/>
    <mergeCell ref="A2:B2"/>
    <mergeCell ref="A3:B3"/>
    <mergeCell ref="A4:B4"/>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96191-2CBD-41AB-A844-63D370B05F88}">
  <sheetPr>
    <tabColor rgb="FF92D050"/>
    <pageSetUpPr fitToPage="1"/>
  </sheetPr>
  <dimension ref="A2:AI239"/>
  <sheetViews>
    <sheetView zoomScale="91" zoomScaleNormal="91" workbookViewId="0">
      <selection activeCell="C13" sqref="C13"/>
    </sheetView>
  </sheetViews>
  <sheetFormatPr defaultColWidth="5.42578125" defaultRowHeight="12" x14ac:dyDescent="0.2"/>
  <cols>
    <col min="1" max="1" width="3.7109375" style="6" customWidth="1"/>
    <col min="2" max="2" width="42.42578125" style="6" customWidth="1"/>
    <col min="3" max="3" width="38.85546875" style="6" customWidth="1"/>
    <col min="4" max="4" width="28.42578125" style="6" bestFit="1" customWidth="1"/>
    <col min="5" max="5" width="31.28515625" style="6" bestFit="1" customWidth="1"/>
    <col min="6" max="6" width="18.42578125" style="6" bestFit="1" customWidth="1"/>
    <col min="7" max="7" width="11.28515625" style="6" bestFit="1" customWidth="1"/>
    <col min="8" max="8" width="13.7109375" style="6" bestFit="1" customWidth="1"/>
    <col min="9" max="9" width="29.7109375" style="6" customWidth="1"/>
    <col min="10" max="10" width="8" style="6" customWidth="1"/>
    <col min="11" max="11" width="15.85546875" style="6" customWidth="1"/>
    <col min="12" max="12" width="7.85546875" style="40" customWidth="1"/>
    <col min="13" max="13" width="19.7109375" style="6" customWidth="1"/>
    <col min="14" max="24" width="6.42578125" style="41" customWidth="1"/>
    <col min="25" max="25" width="8" style="6" customWidth="1"/>
    <col min="26" max="26" width="6" style="6" customWidth="1"/>
    <col min="27" max="32" width="6.140625" style="6" customWidth="1"/>
    <col min="33" max="35" width="5.42578125" style="6" customWidth="1"/>
    <col min="36" max="16384" width="5.42578125" style="6"/>
  </cols>
  <sheetData>
    <row r="2" spans="1:35" ht="15" x14ac:dyDescent="0.25">
      <c r="B2" s="64" t="s">
        <v>82</v>
      </c>
      <c r="C2" s="65" t="s">
        <v>83</v>
      </c>
      <c r="E2" s="385" t="s">
        <v>824</v>
      </c>
      <c r="F2" s="385"/>
    </row>
    <row r="3" spans="1:35" ht="15" x14ac:dyDescent="0.25">
      <c r="B3" s="64" t="s">
        <v>84</v>
      </c>
      <c r="C3" s="65" t="s">
        <v>83</v>
      </c>
      <c r="E3" s="385"/>
      <c r="F3" s="385"/>
    </row>
    <row r="4" spans="1:35" ht="15.75" x14ac:dyDescent="0.25">
      <c r="B4" s="64" t="s">
        <v>85</v>
      </c>
      <c r="C4" s="67" t="s">
        <v>86</v>
      </c>
      <c r="D4" s="140"/>
      <c r="E4" s="85" t="s">
        <v>72</v>
      </c>
      <c r="F4" s="89"/>
    </row>
    <row r="5" spans="1:35" ht="15.75" x14ac:dyDescent="0.25">
      <c r="B5" s="64" t="s">
        <v>87</v>
      </c>
      <c r="C5" s="67" t="s">
        <v>86</v>
      </c>
      <c r="D5" s="140"/>
      <c r="E5" s="140"/>
    </row>
    <row r="6" spans="1:35" ht="15.75" x14ac:dyDescent="0.25">
      <c r="B6" s="64" t="s">
        <v>89</v>
      </c>
      <c r="C6" s="67" t="s">
        <v>86</v>
      </c>
      <c r="D6" s="140"/>
      <c r="E6" s="140"/>
    </row>
    <row r="7" spans="1:35" ht="42.75" customHeight="1" x14ac:dyDescent="0.25">
      <c r="B7" s="64" t="s">
        <v>90</v>
      </c>
      <c r="C7" s="67"/>
      <c r="D7" s="49"/>
      <c r="E7" s="140"/>
    </row>
    <row r="10" spans="1:35" ht="15" customHeight="1" x14ac:dyDescent="0.2">
      <c r="A10" s="350"/>
      <c r="B10" s="352" t="s">
        <v>14</v>
      </c>
      <c r="C10" s="352"/>
      <c r="D10" s="354" t="s">
        <v>15</v>
      </c>
      <c r="E10" s="355"/>
      <c r="F10" s="1" t="s">
        <v>16</v>
      </c>
      <c r="G10" s="2"/>
      <c r="H10" s="3"/>
      <c r="I10" s="3"/>
      <c r="J10" s="3"/>
      <c r="K10" s="3"/>
      <c r="L10" s="4"/>
      <c r="M10" s="5"/>
      <c r="N10" s="4"/>
      <c r="O10" s="4"/>
      <c r="P10" s="4"/>
      <c r="Q10" s="4"/>
      <c r="R10" s="4"/>
      <c r="S10" s="4"/>
      <c r="T10" s="4"/>
      <c r="U10" s="4"/>
      <c r="V10" s="4"/>
      <c r="W10" s="4"/>
      <c r="X10" s="4"/>
      <c r="Y10" s="4"/>
      <c r="Z10" s="4"/>
      <c r="AA10" s="4"/>
      <c r="AB10" s="4"/>
      <c r="AC10" s="4"/>
      <c r="AD10" s="4"/>
      <c r="AE10" s="4"/>
      <c r="AF10" s="4"/>
      <c r="AG10" s="4"/>
      <c r="AH10" s="4"/>
      <c r="AI10" s="4"/>
    </row>
    <row r="11" spans="1:35" x14ac:dyDescent="0.2">
      <c r="A11" s="351"/>
      <c r="B11" s="353"/>
      <c r="C11" s="353"/>
      <c r="D11" s="356"/>
      <c r="E11" s="356"/>
      <c r="F11" s="115">
        <f>'Scoring Summary'!C31</f>
        <v>1</v>
      </c>
      <c r="G11" s="43">
        <f>SUM(Table21215[Priority])</f>
        <v>1259</v>
      </c>
      <c r="H11" s="8">
        <f>SUM(Table21215[Weight])</f>
        <v>1.0000000000000051</v>
      </c>
      <c r="I11" s="7"/>
      <c r="J11" s="7"/>
      <c r="K11" s="9" t="s">
        <v>17</v>
      </c>
      <c r="L11" s="8" t="e">
        <f>SUM(Table21215[Score])</f>
        <v>#N/A</v>
      </c>
      <c r="M11" s="7"/>
      <c r="N11" s="10">
        <v>1</v>
      </c>
      <c r="O11" s="10">
        <v>2</v>
      </c>
      <c r="P11" s="10">
        <v>3</v>
      </c>
      <c r="Q11" s="10">
        <v>4</v>
      </c>
      <c r="R11" s="10">
        <v>5</v>
      </c>
      <c r="S11" s="10">
        <v>6</v>
      </c>
      <c r="T11" s="10">
        <v>7</v>
      </c>
      <c r="U11" s="10">
        <v>8</v>
      </c>
      <c r="V11" s="10">
        <v>9</v>
      </c>
      <c r="W11" s="10">
        <v>10</v>
      </c>
      <c r="X11" s="10">
        <v>11</v>
      </c>
      <c r="Y11" s="10">
        <v>12</v>
      </c>
      <c r="Z11" s="10">
        <v>13</v>
      </c>
      <c r="AA11" s="10">
        <v>14</v>
      </c>
      <c r="AB11" s="10">
        <v>15</v>
      </c>
      <c r="AC11" s="10">
        <v>16</v>
      </c>
      <c r="AD11" s="10">
        <v>17</v>
      </c>
      <c r="AE11" s="10">
        <v>18</v>
      </c>
      <c r="AF11" s="10">
        <v>19</v>
      </c>
      <c r="AG11" s="10">
        <v>20</v>
      </c>
      <c r="AH11" s="10">
        <v>21</v>
      </c>
      <c r="AI11" s="10">
        <v>22</v>
      </c>
    </row>
    <row r="12" spans="1:35" ht="60" x14ac:dyDescent="0.2">
      <c r="A12" s="11" t="s">
        <v>178</v>
      </c>
      <c r="B12" s="12" t="s">
        <v>19</v>
      </c>
      <c r="C12" s="13" t="s">
        <v>179</v>
      </c>
      <c r="D12" s="14" t="s">
        <v>21</v>
      </c>
      <c r="E12" s="14" t="s">
        <v>22</v>
      </c>
      <c r="F12" s="15" t="s">
        <v>23</v>
      </c>
      <c r="G12" s="16" t="s">
        <v>24</v>
      </c>
      <c r="H12" s="16" t="s">
        <v>25</v>
      </c>
      <c r="I12" s="15" t="s">
        <v>180</v>
      </c>
      <c r="J12" s="16" t="s">
        <v>27</v>
      </c>
      <c r="K12" s="15" t="s">
        <v>28</v>
      </c>
      <c r="L12" s="17" t="s">
        <v>29</v>
      </c>
      <c r="M12" s="15" t="s">
        <v>30</v>
      </c>
      <c r="N12" s="18" t="s">
        <v>31</v>
      </c>
      <c r="O12" s="18" t="s">
        <v>32</v>
      </c>
      <c r="P12" s="18" t="s">
        <v>33</v>
      </c>
      <c r="Q12" s="18" t="s">
        <v>34</v>
      </c>
      <c r="R12" s="18" t="s">
        <v>35</v>
      </c>
      <c r="S12" s="18" t="s">
        <v>36</v>
      </c>
      <c r="T12" s="18" t="s">
        <v>37</v>
      </c>
      <c r="U12" s="18" t="s">
        <v>38</v>
      </c>
      <c r="V12" s="18" t="s">
        <v>39</v>
      </c>
      <c r="W12" s="18" t="s">
        <v>40</v>
      </c>
      <c r="X12" s="18" t="s">
        <v>41</v>
      </c>
      <c r="Y12" s="19" t="s">
        <v>42</v>
      </c>
      <c r="Z12" s="19" t="s">
        <v>43</v>
      </c>
      <c r="AA12" s="19" t="s">
        <v>44</v>
      </c>
      <c r="AB12" s="19" t="s">
        <v>45</v>
      </c>
      <c r="AC12" s="19" t="s">
        <v>46</v>
      </c>
      <c r="AD12" s="19" t="s">
        <v>47</v>
      </c>
      <c r="AE12" s="19" t="s">
        <v>48</v>
      </c>
      <c r="AF12" s="19" t="s">
        <v>49</v>
      </c>
      <c r="AG12" s="19" t="s">
        <v>50</v>
      </c>
      <c r="AH12" s="19" t="s">
        <v>51</v>
      </c>
      <c r="AI12" s="19" t="s">
        <v>52</v>
      </c>
    </row>
    <row r="13" spans="1:35" ht="156" x14ac:dyDescent="0.2">
      <c r="A13" s="20">
        <v>1</v>
      </c>
      <c r="B13" s="21" t="s">
        <v>825</v>
      </c>
      <c r="C13" s="21" t="s">
        <v>826</v>
      </c>
      <c r="D13" s="21"/>
      <c r="E13" s="21" t="s">
        <v>55</v>
      </c>
      <c r="F13" s="87" t="s">
        <v>60</v>
      </c>
      <c r="G13" s="155" cm="1">
        <f t="array" ref="G13">_xlfn.IFS(F13="","",F13="No interest",0,F13="Nice to have",1,F13="Useful",2,F13="Important",3,F13="Very important",4,F13="Critical",5,F13="Show stopper",6)</f>
        <v>6</v>
      </c>
      <c r="H13" s="156">
        <f t="shared" ref="H13:H16" si="0">(G13/$G$11)*$F$11</f>
        <v>4.7656870532168391E-3</v>
      </c>
      <c r="I13" s="157" t="s">
        <v>827</v>
      </c>
      <c r="J13" s="25" t="str" cm="1">
        <f t="array" ref="J13">_xlfn.TEXTJOIN(","&amp;CHAR(10),,TEXT(Table21215[[#This Row],[12]:[22]],"0,00%"))</f>
        <v>0,00%,
0,00%,
0,00%,
0,00%</v>
      </c>
      <c r="K13" s="26"/>
      <c r="L13" s="27" t="e">
        <f>H13-(H13*((MATCH(Table21215[[#This Row],[Evaluators Response (SELECT)]],Table21215[[#This Row],[1]:[11]],0)-1)/(COUNTA(Table21215[[#This Row],[1]:[11]])-COUNTBLANK(Table21215[[#This Row],[1]:[11]])-1)))</f>
        <v>#N/A</v>
      </c>
      <c r="M13" s="28"/>
      <c r="N13" s="29" t="s">
        <v>828</v>
      </c>
      <c r="O13" s="29" t="s">
        <v>829</v>
      </c>
      <c r="P13" s="29" t="s">
        <v>830</v>
      </c>
      <c r="Q13" s="29" t="str" cm="1">
        <f t="array" ref="Q13">IFERROR(INDEX(_xlfn.UNIQUE(TRIM(_xlfn.TEXTSPLIT(Table21215[[#This Row],[Selection Options]:[Selection Options]],","))),,Q$11),"")</f>
        <v xml:space="preserve">
 0%: Not currently supported</v>
      </c>
      <c r="R13" s="29" t="str" cm="1">
        <f t="array" ref="R13">IFERROR(INDEX(_xlfn.UNIQUE(TRIM(_xlfn.TEXTSPLIT(Table21215[[#This Row],[Selection Options]:[Selection Options]],","))),,R$11),"")</f>
        <v/>
      </c>
      <c r="S13" s="29" t="str" cm="1">
        <f t="array" ref="S13">IFERROR(INDEX(_xlfn.UNIQUE(TRIM(_xlfn.TEXTSPLIT(Table21215[[#This Row],[Selection Options]:[Selection Options]],","))),,S$11),"")</f>
        <v/>
      </c>
      <c r="T13" s="29" t="str" cm="1">
        <f t="array" ref="T13">IFERROR(INDEX(_xlfn.UNIQUE(TRIM(_xlfn.TEXTSPLIT(Table21215[[#This Row],[Selection Options]:[Selection Options]],","))),,T$11),"")</f>
        <v/>
      </c>
      <c r="U13" s="29" t="str" cm="1">
        <f t="array" ref="U13">IFERROR(INDEX(_xlfn.UNIQUE(TRIM(_xlfn.TEXTSPLIT(Table21215[[#This Row],[Selection Options]:[Selection Options]],","))),,U$11),"")</f>
        <v/>
      </c>
      <c r="V13" s="29" t="str" cm="1">
        <f t="array" ref="V13">IFERROR(INDEX(_xlfn.UNIQUE(TRIM(_xlfn.TEXTSPLIT(Table21215[[#This Row],[Selection Options]:[Selection Options]],","))),,V$11),"")</f>
        <v/>
      </c>
      <c r="W13" s="29" t="str" cm="1">
        <f t="array" ref="W13">IFERROR(INDEX(_xlfn.UNIQUE(TRIM(_xlfn.TEXTSPLIT(Table21215[[#This Row],[Selection Options]:[Selection Options]],","))),,W$11),"")</f>
        <v/>
      </c>
      <c r="X13" s="29" t="str" cm="1">
        <f t="array" ref="X13">IFERROR(INDEX(_xlfn.UNIQUE(TRIM(_xlfn.TEXTSPLIT(Table21215[[#This Row],[Selection Options]:[Selection Options]],","))),,X$11),"")</f>
        <v/>
      </c>
      <c r="Y13" s="30" cm="1">
        <f t="array" ref="Y13">IF(Table21215[[#This Row],[1]]="","",Table21215[[#This Row],[Weight]:[Weight]]-(Table21215[[#This Row],[Weight]:[Weight]]*((_xlfn.XMATCH(Table21215[[#This Row],[1]],Table21215[[#This Row],[1]:[11]],0))-1)/(COUNTA(Table21215[[#This Row],[1]:[11]])-COUNTBLANK(Table21215[[#This Row],[1]:[11]])-1)))</f>
        <v>4.7656870532168391E-3</v>
      </c>
      <c r="Z13" s="30" cm="1">
        <f t="array" ref="Z13">IF(Table21215[[#This Row],[2]]="","",Table21215[[#This Row],[Weight]:[Weight]]-(Table21215[[#This Row],[Weight]:[Weight]]*((_xlfn.XMATCH(Table21215[[#This Row],[2]],Table21215[[#This Row],[1]:[11]],0))-1)/(COUNTA(Table21215[[#This Row],[1]:[11]])-COUNTBLANK(Table21215[[#This Row],[1]:[11]])-1)))</f>
        <v>3.1771247021445594E-3</v>
      </c>
      <c r="AA13" s="30" cm="1">
        <f t="array" ref="AA13">IF(Table21215[[#This Row],[3]]="","",Table21215[[#This Row],[Weight]:[Weight]]-(Table21215[[#This Row],[Weight]:[Weight]]*((_xlfn.XMATCH(Table21215[[#This Row],[3]],Table21215[[#This Row],[1]:[11]],0))-1)/(COUNTA(Table21215[[#This Row],[1]:[11]])-COUNTBLANK(Table21215[[#This Row],[1]:[11]])-1)))</f>
        <v>1.5885623510722797E-3</v>
      </c>
      <c r="AB13" s="30" cm="1">
        <f t="array" ref="AB13">IF(Table21215[[#This Row],[4]]="","",Table21215[[#This Row],[Weight]:[Weight]]-(Table21215[[#This Row],[Weight]:[Weight]]*((_xlfn.XMATCH(Table21215[[#This Row],[4]],Table21215[[#This Row],[1]:[11]],0))-1)/(COUNTA(Table21215[[#This Row],[1]:[11]])-COUNTBLANK(Table21215[[#This Row],[1]:[11]])-1)))</f>
        <v>0</v>
      </c>
      <c r="AC13" s="30" t="str" cm="1">
        <f t="array" ref="AC13">IF(Table21215[[#This Row],[5]]="","",Table21215[[#This Row],[Weight]:[Weight]]-(Table21215[[#This Row],[Weight]:[Weight]]*((_xlfn.XMATCH(Table21215[[#This Row],[5]],Table21215[[#This Row],[1]:[11]],0))-1)/(COUNTA(Table21215[[#This Row],[1]:[11]])-COUNTBLANK(Table21215[[#This Row],[1]:[11]])-1)))</f>
        <v/>
      </c>
      <c r="AD13" s="30" t="str" cm="1">
        <f t="array" ref="AD13">IF(Table21215[[#This Row],[6]]="","",Table21215[[#This Row],[Weight]:[Weight]]-(Table21215[[#This Row],[Weight]:[Weight]]*((_xlfn.XMATCH(Table21215[[#This Row],[6]],Table21215[[#This Row],[1]:[11]],0))-1)/(COUNTA(Table21215[[#This Row],[1]:[11]])-COUNTBLANK(Table21215[[#This Row],[1]:[11]])-1)))</f>
        <v/>
      </c>
      <c r="AE13" s="30" t="str" cm="1">
        <f t="array" ref="AE13">IF(Table21215[[#This Row],[7]]="","",Table21215[[#This Row],[Weight]:[Weight]]-(Table21215[[#This Row],[Weight]:[Weight]]*((_xlfn.XMATCH(Table21215[[#This Row],[7]],Table21215[[#This Row],[1]:[11]],0))-1)/(COUNTA(Table21215[[#This Row],[1]:[11]])-COUNTBLANK(Table21215[[#This Row],[1]:[11]])-1)))</f>
        <v/>
      </c>
      <c r="AF13" s="30" t="str" cm="1">
        <f t="array" ref="AF13">IF(Table21215[[#This Row],[8]]="","",Table21215[[#This Row],[Weight]:[Weight]]-(Table21215[[#This Row],[Weight]:[Weight]]*((_xlfn.XMATCH(Table21215[[#This Row],[8]],Table21215[[#This Row],[1]:[11]],0))-1)/(COUNTA(Table21215[[#This Row],[1]:[11]])-COUNTBLANK(Table21215[[#This Row],[1]:[11]])-1)))</f>
        <v/>
      </c>
      <c r="AG13" s="30" t="str" cm="1">
        <f t="array" ref="AG13">IF(Table21215[[#This Row],[9]]="","",Table21215[[#This Row],[Weight]:[Weight]]-(Table21215[[#This Row],[Weight]:[Weight]]*((_xlfn.XMATCH(Table21215[[#This Row],[9]],Table21215[[#This Row],[1]:[11]],0))-1)/(COUNTA(Table21215[[#This Row],[1]:[11]])-COUNTBLANK(Table21215[[#This Row],[1]:[11]])-1)))</f>
        <v/>
      </c>
      <c r="AH13" s="30" t="str" cm="1">
        <f t="array" ref="AH13">IF(Table21215[[#This Row],[10]]="","",Table21215[[#This Row],[Weight]:[Weight]]-(Table21215[[#This Row],[Weight]:[Weight]]*((_xlfn.XMATCH(Table21215[[#This Row],[10]],Table21215[[#This Row],[1]:[11]],0))-1)/(COUNTA(Table21215[[#This Row],[1]:[11]])-COUNTBLANK(Table21215[[#This Row],[1]:[11]])-1)))</f>
        <v/>
      </c>
      <c r="AI13" s="30" t="str" cm="1">
        <f t="array" ref="AI13">IF(Table21215[[#This Row],[11]]="","",Table21215[[#This Row],[Weight]:[Weight]]-(Table21215[[#This Row],[Weight]:[Weight]]*((_xlfn.XMATCH(Table21215[[#This Row],[11]],Table21215[[#This Row],[1]:[11]],0))-1)/(COUNTA(Table21215[[#This Row],[1]:[11]])-COUNTBLANK(Table21215[[#This Row],[1]:[11]])-1)))</f>
        <v/>
      </c>
    </row>
    <row r="14" spans="1:35" ht="108" x14ac:dyDescent="0.2">
      <c r="A14" s="20">
        <v>2</v>
      </c>
      <c r="B14" s="21" t="s">
        <v>831</v>
      </c>
      <c r="C14" s="21" t="s">
        <v>826</v>
      </c>
      <c r="D14" s="31"/>
      <c r="E14" s="31"/>
      <c r="F14" s="87" t="s">
        <v>60</v>
      </c>
      <c r="G14" s="155" cm="1">
        <f t="array" ref="G14">_xlfn.IFS(F14="","",F14="No interest",0,F14="Nice to have",1,F14="Useful",2,F14="Important",3,F14="Very important",4,F14="Critical",5,F14="Show stopper",6)</f>
        <v>6</v>
      </c>
      <c r="H14" s="156">
        <f t="shared" si="0"/>
        <v>4.7656870532168391E-3</v>
      </c>
      <c r="I14" s="157" t="s">
        <v>827</v>
      </c>
      <c r="J14" s="25" t="str" cm="1">
        <f t="array" ref="J14">_xlfn.TEXTJOIN(","&amp;CHAR(10),,TEXT(Table21215[[#This Row],[12]:[22]],"0,00%"))</f>
        <v>0,00%,
0,00%,
0,00%,
0,00%</v>
      </c>
      <c r="K14" s="26"/>
      <c r="L14" s="27" t="e">
        <f>H14-(H14*((MATCH(Table21215[[#This Row],[Evaluators Response (SELECT)]],Table21215[[#This Row],[1]:[11]],0)-1)/(COUNTA(Table21215[[#This Row],[1]:[11]])-COUNTBLANK(Table21215[[#This Row],[1]:[11]])-1)))</f>
        <v>#N/A</v>
      </c>
      <c r="M14" s="28"/>
      <c r="N14" s="29" t="s">
        <v>828</v>
      </c>
      <c r="O14" s="29" t="s">
        <v>829</v>
      </c>
      <c r="P14" s="29" t="s">
        <v>830</v>
      </c>
      <c r="Q14" s="29" t="str" cm="1">
        <f t="array" ref="Q14">IFERROR(INDEX(_xlfn.UNIQUE(TRIM(_xlfn.TEXTSPLIT(Table21215[[#This Row],[Selection Options]:[Selection Options]],","))),,Q$11),"")</f>
        <v xml:space="preserve">
 0%: Not currently supported</v>
      </c>
      <c r="R14" s="29" t="str" cm="1">
        <f t="array" ref="R14">IFERROR(INDEX(_xlfn.UNIQUE(TRIM(_xlfn.TEXTSPLIT(Table21215[[#This Row],[Selection Options]:[Selection Options]],","))),,R$11),"")</f>
        <v/>
      </c>
      <c r="S14" s="29" t="str" cm="1">
        <f t="array" ref="S14">IFERROR(INDEX(_xlfn.UNIQUE(TRIM(_xlfn.TEXTSPLIT(Table21215[[#This Row],[Selection Options]:[Selection Options]],","))),,S$11),"")</f>
        <v/>
      </c>
      <c r="T14" s="29" t="str" cm="1">
        <f t="array" ref="T14">IFERROR(INDEX(_xlfn.UNIQUE(TRIM(_xlfn.TEXTSPLIT(Table21215[[#This Row],[Selection Options]:[Selection Options]],","))),,T$11),"")</f>
        <v/>
      </c>
      <c r="U14" s="29" t="str" cm="1">
        <f t="array" ref="U14">IFERROR(INDEX(_xlfn.UNIQUE(TRIM(_xlfn.TEXTSPLIT(Table21215[[#This Row],[Selection Options]:[Selection Options]],","))),,U$11),"")</f>
        <v/>
      </c>
      <c r="V14" s="29" t="str" cm="1">
        <f t="array" ref="V14">IFERROR(INDEX(_xlfn.UNIQUE(TRIM(_xlfn.TEXTSPLIT(Table21215[[#This Row],[Selection Options]:[Selection Options]],","))),,V$11),"")</f>
        <v/>
      </c>
      <c r="W14" s="29" t="str" cm="1">
        <f t="array" ref="W14">IFERROR(INDEX(_xlfn.UNIQUE(TRIM(_xlfn.TEXTSPLIT(Table21215[[#This Row],[Selection Options]:[Selection Options]],","))),,W$11),"")</f>
        <v/>
      </c>
      <c r="X14" s="29" t="str" cm="1">
        <f t="array" ref="X14">IFERROR(INDEX(_xlfn.UNIQUE(TRIM(_xlfn.TEXTSPLIT(Table21215[[#This Row],[Selection Options]:[Selection Options]],","))),,X$11),"")</f>
        <v/>
      </c>
      <c r="Y14" s="30" cm="1">
        <f t="array" ref="Y14">IF(Table21215[[#This Row],[1]]="","",Table21215[[#This Row],[Weight]:[Weight]]-(Table21215[[#This Row],[Weight]:[Weight]]*((_xlfn.XMATCH(Table21215[[#This Row],[1]],Table21215[[#This Row],[1]:[11]],0))-1)/(COUNTA(Table21215[[#This Row],[1]:[11]])-COUNTBLANK(Table21215[[#This Row],[1]:[11]])-1)))</f>
        <v>4.7656870532168391E-3</v>
      </c>
      <c r="Z14" s="30" cm="1">
        <f t="array" ref="Z14">IF(Table21215[[#This Row],[2]]="","",Table21215[[#This Row],[Weight]:[Weight]]-(Table21215[[#This Row],[Weight]:[Weight]]*((_xlfn.XMATCH(Table21215[[#This Row],[2]],Table21215[[#This Row],[1]:[11]],0))-1)/(COUNTA(Table21215[[#This Row],[1]:[11]])-COUNTBLANK(Table21215[[#This Row],[1]:[11]])-1)))</f>
        <v>3.1771247021445594E-3</v>
      </c>
      <c r="AA14" s="30" cm="1">
        <f t="array" ref="AA14">IF(Table21215[[#This Row],[3]]="","",Table21215[[#This Row],[Weight]:[Weight]]-(Table21215[[#This Row],[Weight]:[Weight]]*((_xlfn.XMATCH(Table21215[[#This Row],[3]],Table21215[[#This Row],[1]:[11]],0))-1)/(COUNTA(Table21215[[#This Row],[1]:[11]])-COUNTBLANK(Table21215[[#This Row],[1]:[11]])-1)))</f>
        <v>1.5885623510722797E-3</v>
      </c>
      <c r="AB14" s="30" cm="1">
        <f t="array" ref="AB14">IF(Table21215[[#This Row],[4]]="","",Table21215[[#This Row],[Weight]:[Weight]]-(Table21215[[#This Row],[Weight]:[Weight]]*((_xlfn.XMATCH(Table21215[[#This Row],[4]],Table21215[[#This Row],[1]:[11]],0))-1)/(COUNTA(Table21215[[#This Row],[1]:[11]])-COUNTBLANK(Table21215[[#This Row],[1]:[11]])-1)))</f>
        <v>0</v>
      </c>
      <c r="AC14" s="30" t="str" cm="1">
        <f t="array" ref="AC14">IF(Table21215[[#This Row],[5]]="","",Table21215[[#This Row],[Weight]:[Weight]]-(Table21215[[#This Row],[Weight]:[Weight]]*((_xlfn.XMATCH(Table21215[[#This Row],[5]],Table21215[[#This Row],[1]:[11]],0))-1)/(COUNTA(Table21215[[#This Row],[1]:[11]])-COUNTBLANK(Table21215[[#This Row],[1]:[11]])-1)))</f>
        <v/>
      </c>
      <c r="AD14" s="30" t="str" cm="1">
        <f t="array" ref="AD14">IF(Table21215[[#This Row],[6]]="","",Table21215[[#This Row],[Weight]:[Weight]]-(Table21215[[#This Row],[Weight]:[Weight]]*((_xlfn.XMATCH(Table21215[[#This Row],[6]],Table21215[[#This Row],[1]:[11]],0))-1)/(COUNTA(Table21215[[#This Row],[1]:[11]])-COUNTBLANK(Table21215[[#This Row],[1]:[11]])-1)))</f>
        <v/>
      </c>
      <c r="AE14" s="30" t="str" cm="1">
        <f t="array" ref="AE14">IF(Table21215[[#This Row],[7]]="","",Table21215[[#This Row],[Weight]:[Weight]]-(Table21215[[#This Row],[Weight]:[Weight]]*((_xlfn.XMATCH(Table21215[[#This Row],[7]],Table21215[[#This Row],[1]:[11]],0))-1)/(COUNTA(Table21215[[#This Row],[1]:[11]])-COUNTBLANK(Table21215[[#This Row],[1]:[11]])-1)))</f>
        <v/>
      </c>
      <c r="AF14" s="30" t="str" cm="1">
        <f t="array" ref="AF14">IF(Table21215[[#This Row],[8]]="","",Table21215[[#This Row],[Weight]:[Weight]]-(Table21215[[#This Row],[Weight]:[Weight]]*((_xlfn.XMATCH(Table21215[[#This Row],[8]],Table21215[[#This Row],[1]:[11]],0))-1)/(COUNTA(Table21215[[#This Row],[1]:[11]])-COUNTBLANK(Table21215[[#This Row],[1]:[11]])-1)))</f>
        <v/>
      </c>
      <c r="AG14" s="30" t="str" cm="1">
        <f t="array" ref="AG14">IF(Table21215[[#This Row],[9]]="","",Table21215[[#This Row],[Weight]:[Weight]]-(Table21215[[#This Row],[Weight]:[Weight]]*((_xlfn.XMATCH(Table21215[[#This Row],[9]],Table21215[[#This Row],[1]:[11]],0))-1)/(COUNTA(Table21215[[#This Row],[1]:[11]])-COUNTBLANK(Table21215[[#This Row],[1]:[11]])-1)))</f>
        <v/>
      </c>
      <c r="AH14" s="30" t="str" cm="1">
        <f t="array" ref="AH14">IF(Table21215[[#This Row],[10]]="","",Table21215[[#This Row],[Weight]:[Weight]]-(Table21215[[#This Row],[Weight]:[Weight]]*((_xlfn.XMATCH(Table21215[[#This Row],[10]],Table21215[[#This Row],[1]:[11]],0))-1)/(COUNTA(Table21215[[#This Row],[1]:[11]])-COUNTBLANK(Table21215[[#This Row],[1]:[11]])-1)))</f>
        <v/>
      </c>
      <c r="AI14" s="30" t="str" cm="1">
        <f t="array" ref="AI14">IF(Table21215[[#This Row],[11]]="","",Table21215[[#This Row],[Weight]:[Weight]]-(Table21215[[#This Row],[Weight]:[Weight]]*((_xlfn.XMATCH(Table21215[[#This Row],[11]],Table21215[[#This Row],[1]:[11]],0))-1)/(COUNTA(Table21215[[#This Row],[1]:[11]])-COUNTBLANK(Table21215[[#This Row],[1]:[11]])-1)))</f>
        <v/>
      </c>
    </row>
    <row r="15" spans="1:35" ht="108" x14ac:dyDescent="0.2">
      <c r="A15" s="20">
        <v>3</v>
      </c>
      <c r="B15" s="158" t="s">
        <v>832</v>
      </c>
      <c r="C15" s="158" t="s">
        <v>826</v>
      </c>
      <c r="D15" s="32"/>
      <c r="E15" s="32"/>
      <c r="F15" s="87" t="s">
        <v>60</v>
      </c>
      <c r="G15" s="160" cm="1">
        <f t="array" ref="G15">_xlfn.IFS(F15="","",F15="No interest",0,F15="Nice to have",1,F15="Useful",2,F15="Important",3,F15="Very important",4,F15="Critical",5,F15="Show stopper",6)</f>
        <v>6</v>
      </c>
      <c r="H15" s="161">
        <f t="shared" si="0"/>
        <v>4.7656870532168391E-3</v>
      </c>
      <c r="I15" s="157" t="s">
        <v>827</v>
      </c>
      <c r="J15" s="25" t="str" cm="1">
        <f t="array" ref="J15">_xlfn.TEXTJOIN(","&amp;CHAR(10),,TEXT(Table21215[[#This Row],[12]:[22]],"0,00%"))</f>
        <v>0,00%,
0,00%,
0,00%,
0,00%</v>
      </c>
      <c r="K15" s="36"/>
      <c r="L15" s="37" t="e">
        <f>H15-(H15*((MATCH(Table21215[[#This Row],[Evaluators Response (SELECT)]],Table21215[[#This Row],[1]:[11]],0)-1)/(COUNTA(Table21215[[#This Row],[1]:[11]])-COUNTBLANK(Table21215[[#This Row],[1]:[11]])-1)))</f>
        <v>#N/A</v>
      </c>
      <c r="M15" s="38"/>
      <c r="N15" s="29" t="s">
        <v>828</v>
      </c>
      <c r="O15" s="29" t="s">
        <v>829</v>
      </c>
      <c r="P15" s="29" t="s">
        <v>830</v>
      </c>
      <c r="Q15" s="29" t="str" cm="1">
        <f t="array" ref="Q15">IFERROR(INDEX(_xlfn.UNIQUE(TRIM(_xlfn.TEXTSPLIT(Table21215[[#This Row],[Selection Options]:[Selection Options]],","))),,Q$11),"")</f>
        <v xml:space="preserve">
 0%: Not currently supported</v>
      </c>
      <c r="R15" s="29" t="str" cm="1">
        <f t="array" ref="R15">IFERROR(INDEX(_xlfn.UNIQUE(TRIM(_xlfn.TEXTSPLIT(Table21215[[#This Row],[Selection Options]:[Selection Options]],","))),,R$11),"")</f>
        <v/>
      </c>
      <c r="S15" s="29" t="str" cm="1">
        <f t="array" ref="S15">IFERROR(INDEX(_xlfn.UNIQUE(TRIM(_xlfn.TEXTSPLIT(Table21215[[#This Row],[Selection Options]:[Selection Options]],","))),,S$11),"")</f>
        <v/>
      </c>
      <c r="T15" s="29" t="str" cm="1">
        <f t="array" ref="T15">IFERROR(INDEX(_xlfn.UNIQUE(TRIM(_xlfn.TEXTSPLIT(Table21215[[#This Row],[Selection Options]:[Selection Options]],","))),,T$11),"")</f>
        <v/>
      </c>
      <c r="U15" s="29" t="str" cm="1">
        <f t="array" ref="U15">IFERROR(INDEX(_xlfn.UNIQUE(TRIM(_xlfn.TEXTSPLIT(Table21215[[#This Row],[Selection Options]:[Selection Options]],","))),,U$11),"")</f>
        <v/>
      </c>
      <c r="V15" s="29" t="str" cm="1">
        <f t="array" ref="V15">IFERROR(INDEX(_xlfn.UNIQUE(TRIM(_xlfn.TEXTSPLIT(Table21215[[#This Row],[Selection Options]:[Selection Options]],","))),,V$11),"")</f>
        <v/>
      </c>
      <c r="W15" s="29" t="str" cm="1">
        <f t="array" ref="W15">IFERROR(INDEX(_xlfn.UNIQUE(TRIM(_xlfn.TEXTSPLIT(Table21215[[#This Row],[Selection Options]:[Selection Options]],","))),,W$11),"")</f>
        <v/>
      </c>
      <c r="X15" s="29" t="str" cm="1">
        <f t="array" ref="X15">IFERROR(INDEX(_xlfn.UNIQUE(TRIM(_xlfn.TEXTSPLIT(Table21215[[#This Row],[Selection Options]:[Selection Options]],","))),,X$11),"")</f>
        <v/>
      </c>
      <c r="Y15" s="30" cm="1">
        <f t="array" ref="Y15">IF(Table21215[[#This Row],[1]]="","",Table21215[[#This Row],[Weight]:[Weight]]-(Table21215[[#This Row],[Weight]:[Weight]]*((_xlfn.XMATCH(Table21215[[#This Row],[1]],Table21215[[#This Row],[1]:[11]],0))-1)/(COUNTA(Table21215[[#This Row],[1]:[11]])-COUNTBLANK(Table21215[[#This Row],[1]:[11]])-1)))</f>
        <v>4.7656870532168391E-3</v>
      </c>
      <c r="Z15" s="30" cm="1">
        <f t="array" ref="Z15">IF(Table21215[[#This Row],[2]]="","",Table21215[[#This Row],[Weight]:[Weight]]-(Table21215[[#This Row],[Weight]:[Weight]]*((_xlfn.XMATCH(Table21215[[#This Row],[2]],Table21215[[#This Row],[1]:[11]],0))-1)/(COUNTA(Table21215[[#This Row],[1]:[11]])-COUNTBLANK(Table21215[[#This Row],[1]:[11]])-1)))</f>
        <v>3.1771247021445594E-3</v>
      </c>
      <c r="AA15" s="30" cm="1">
        <f t="array" ref="AA15">IF(Table21215[[#This Row],[3]]="","",Table21215[[#This Row],[Weight]:[Weight]]-(Table21215[[#This Row],[Weight]:[Weight]]*((_xlfn.XMATCH(Table21215[[#This Row],[3]],Table21215[[#This Row],[1]:[11]],0))-1)/(COUNTA(Table21215[[#This Row],[1]:[11]])-COUNTBLANK(Table21215[[#This Row],[1]:[11]])-1)))</f>
        <v>1.5885623510722797E-3</v>
      </c>
      <c r="AB15" s="30" cm="1">
        <f t="array" ref="AB15">IF(Table21215[[#This Row],[4]]="","",Table21215[[#This Row],[Weight]:[Weight]]-(Table21215[[#This Row],[Weight]:[Weight]]*((_xlfn.XMATCH(Table21215[[#This Row],[4]],Table21215[[#This Row],[1]:[11]],0))-1)/(COUNTA(Table21215[[#This Row],[1]:[11]])-COUNTBLANK(Table21215[[#This Row],[1]:[11]])-1)))</f>
        <v>0</v>
      </c>
      <c r="AC15" s="30" t="str" cm="1">
        <f t="array" ref="AC15">IF(Table21215[[#This Row],[5]]="","",Table21215[[#This Row],[Weight]:[Weight]]-(Table21215[[#This Row],[Weight]:[Weight]]*((_xlfn.XMATCH(Table21215[[#This Row],[5]],Table21215[[#This Row],[1]:[11]],0))-1)/(COUNTA(Table21215[[#This Row],[1]:[11]])-COUNTBLANK(Table21215[[#This Row],[1]:[11]])-1)))</f>
        <v/>
      </c>
      <c r="AD15" s="30" t="str" cm="1">
        <f t="array" ref="AD15">IF(Table21215[[#This Row],[6]]="","",Table21215[[#This Row],[Weight]:[Weight]]-(Table21215[[#This Row],[Weight]:[Weight]]*((_xlfn.XMATCH(Table21215[[#This Row],[6]],Table21215[[#This Row],[1]:[11]],0))-1)/(COUNTA(Table21215[[#This Row],[1]:[11]])-COUNTBLANK(Table21215[[#This Row],[1]:[11]])-1)))</f>
        <v/>
      </c>
      <c r="AE15" s="30" t="str" cm="1">
        <f t="array" ref="AE15">IF(Table21215[[#This Row],[7]]="","",Table21215[[#This Row],[Weight]:[Weight]]-(Table21215[[#This Row],[Weight]:[Weight]]*((_xlfn.XMATCH(Table21215[[#This Row],[7]],Table21215[[#This Row],[1]:[11]],0))-1)/(COUNTA(Table21215[[#This Row],[1]:[11]])-COUNTBLANK(Table21215[[#This Row],[1]:[11]])-1)))</f>
        <v/>
      </c>
      <c r="AF15" s="30" t="str" cm="1">
        <f t="array" ref="AF15">IF(Table21215[[#This Row],[8]]="","",Table21215[[#This Row],[Weight]:[Weight]]-(Table21215[[#This Row],[Weight]:[Weight]]*((_xlfn.XMATCH(Table21215[[#This Row],[8]],Table21215[[#This Row],[1]:[11]],0))-1)/(COUNTA(Table21215[[#This Row],[1]:[11]])-COUNTBLANK(Table21215[[#This Row],[1]:[11]])-1)))</f>
        <v/>
      </c>
      <c r="AG15" s="30" t="str" cm="1">
        <f t="array" ref="AG15">IF(Table21215[[#This Row],[9]]="","",Table21215[[#This Row],[Weight]:[Weight]]-(Table21215[[#This Row],[Weight]:[Weight]]*((_xlfn.XMATCH(Table21215[[#This Row],[9]],Table21215[[#This Row],[1]:[11]],0))-1)/(COUNTA(Table21215[[#This Row],[1]:[11]])-COUNTBLANK(Table21215[[#This Row],[1]:[11]])-1)))</f>
        <v/>
      </c>
      <c r="AH15" s="30" t="str" cm="1">
        <f t="array" ref="AH15">IF(Table21215[[#This Row],[10]]="","",Table21215[[#This Row],[Weight]:[Weight]]-(Table21215[[#This Row],[Weight]:[Weight]]*((_xlfn.XMATCH(Table21215[[#This Row],[10]],Table21215[[#This Row],[1]:[11]],0))-1)/(COUNTA(Table21215[[#This Row],[1]:[11]])-COUNTBLANK(Table21215[[#This Row],[1]:[11]])-1)))</f>
        <v/>
      </c>
      <c r="AI15" s="30" t="str" cm="1">
        <f t="array" ref="AI15">IF(Table21215[[#This Row],[11]]="","",Table21215[[#This Row],[Weight]:[Weight]]-(Table21215[[#This Row],[Weight]:[Weight]]*((_xlfn.XMATCH(Table21215[[#This Row],[11]],Table21215[[#This Row],[1]:[11]],0))-1)/(COUNTA(Table21215[[#This Row],[1]:[11]])-COUNTBLANK(Table21215[[#This Row],[1]:[11]])-1)))</f>
        <v/>
      </c>
    </row>
    <row r="16" spans="1:35" ht="156" x14ac:dyDescent="0.2">
      <c r="A16" s="20">
        <v>4</v>
      </c>
      <c r="B16" s="21" t="s">
        <v>833</v>
      </c>
      <c r="C16" s="21" t="s">
        <v>826</v>
      </c>
      <c r="D16" s="31"/>
      <c r="E16" s="31"/>
      <c r="F16" s="87" t="s">
        <v>60</v>
      </c>
      <c r="G16" s="155" cm="1">
        <f t="array" ref="G16">_xlfn.IFS(F16="","",F16="No interest",0,F16="Nice to have",1,F16="Useful",2,F16="Important",3,F16="Very important",4,F16="Critical",5,F16="Show stopper",6)</f>
        <v>6</v>
      </c>
      <c r="H16" s="156">
        <f t="shared" si="0"/>
        <v>4.7656870532168391E-3</v>
      </c>
      <c r="I16" s="157" t="s">
        <v>827</v>
      </c>
      <c r="J16" s="25" t="str" cm="1">
        <f t="array" ref="J16">_xlfn.TEXTJOIN(","&amp;CHAR(10),,TEXT(Table21215[[#This Row],[12]:[22]],"0,00%"))</f>
        <v>0,00%,
0,00%,
0,00%,
0,00%</v>
      </c>
      <c r="K16" s="26"/>
      <c r="L16" s="27" t="e">
        <f>H16-(H16*((MATCH(Table21215[[#This Row],[Evaluators Response (SELECT)]],Table21215[[#This Row],[1]:[11]],0)-1)/(COUNTA(Table21215[[#This Row],[1]:[11]])-COUNTBLANK(Table21215[[#This Row],[1]:[11]])-1)))</f>
        <v>#N/A</v>
      </c>
      <c r="M16" s="28"/>
      <c r="N16" s="29" t="s">
        <v>828</v>
      </c>
      <c r="O16" s="29" t="s">
        <v>829</v>
      </c>
      <c r="P16" s="29" t="s">
        <v>830</v>
      </c>
      <c r="Q16" s="29" t="str" cm="1">
        <f t="array" ref="Q16">IFERROR(INDEX(_xlfn.UNIQUE(TRIM(_xlfn.TEXTSPLIT(Table21215[[#This Row],[Selection Options]:[Selection Options]],","))),,Q$11),"")</f>
        <v xml:space="preserve">
 0%: Not currently supported</v>
      </c>
      <c r="R16" s="29" t="str" cm="1">
        <f t="array" ref="R16">IFERROR(INDEX(_xlfn.UNIQUE(TRIM(_xlfn.TEXTSPLIT(Table21215[[#This Row],[Selection Options]:[Selection Options]],","))),,R$11),"")</f>
        <v/>
      </c>
      <c r="S16" s="29" t="str" cm="1">
        <f t="array" ref="S16">IFERROR(INDEX(_xlfn.UNIQUE(TRIM(_xlfn.TEXTSPLIT(Table21215[[#This Row],[Selection Options]:[Selection Options]],","))),,S$11),"")</f>
        <v/>
      </c>
      <c r="T16" s="29" t="str" cm="1">
        <f t="array" ref="T16">IFERROR(INDEX(_xlfn.UNIQUE(TRIM(_xlfn.TEXTSPLIT(Table21215[[#This Row],[Selection Options]:[Selection Options]],","))),,T$11),"")</f>
        <v/>
      </c>
      <c r="U16" s="29" t="str" cm="1">
        <f t="array" ref="U16">IFERROR(INDEX(_xlfn.UNIQUE(TRIM(_xlfn.TEXTSPLIT(Table21215[[#This Row],[Selection Options]:[Selection Options]],","))),,U$11),"")</f>
        <v/>
      </c>
      <c r="V16" s="29" t="str" cm="1">
        <f t="array" ref="V16">IFERROR(INDEX(_xlfn.UNIQUE(TRIM(_xlfn.TEXTSPLIT(Table21215[[#This Row],[Selection Options]:[Selection Options]],","))),,V$11),"")</f>
        <v/>
      </c>
      <c r="W16" s="29" t="str" cm="1">
        <f t="array" ref="W16">IFERROR(INDEX(_xlfn.UNIQUE(TRIM(_xlfn.TEXTSPLIT(Table21215[[#This Row],[Selection Options]:[Selection Options]],","))),,W$11),"")</f>
        <v/>
      </c>
      <c r="X16" s="29" t="str" cm="1">
        <f t="array" ref="X16">IFERROR(INDEX(_xlfn.UNIQUE(TRIM(_xlfn.TEXTSPLIT(Table21215[[#This Row],[Selection Options]:[Selection Options]],","))),,X$11),"")</f>
        <v/>
      </c>
      <c r="Y16" s="30" cm="1">
        <f t="array" ref="Y16">IF(Table21215[[#This Row],[1]]="","",Table21215[[#This Row],[Weight]:[Weight]]-(Table21215[[#This Row],[Weight]:[Weight]]*((_xlfn.XMATCH(Table21215[[#This Row],[1]],Table21215[[#This Row],[1]:[11]],0))-1)/(COUNTA(Table21215[[#This Row],[1]:[11]])-COUNTBLANK(Table21215[[#This Row],[1]:[11]])-1)))</f>
        <v>4.7656870532168391E-3</v>
      </c>
      <c r="Z16" s="30" cm="1">
        <f t="array" ref="Z16">IF(Table21215[[#This Row],[2]]="","",Table21215[[#This Row],[Weight]:[Weight]]-(Table21215[[#This Row],[Weight]:[Weight]]*((_xlfn.XMATCH(Table21215[[#This Row],[2]],Table21215[[#This Row],[1]:[11]],0))-1)/(COUNTA(Table21215[[#This Row],[1]:[11]])-COUNTBLANK(Table21215[[#This Row],[1]:[11]])-1)))</f>
        <v>3.1771247021445594E-3</v>
      </c>
      <c r="AA16" s="30" cm="1">
        <f t="array" ref="AA16">IF(Table21215[[#This Row],[3]]="","",Table21215[[#This Row],[Weight]:[Weight]]-(Table21215[[#This Row],[Weight]:[Weight]]*((_xlfn.XMATCH(Table21215[[#This Row],[3]],Table21215[[#This Row],[1]:[11]],0))-1)/(COUNTA(Table21215[[#This Row],[1]:[11]])-COUNTBLANK(Table21215[[#This Row],[1]:[11]])-1)))</f>
        <v>1.5885623510722797E-3</v>
      </c>
      <c r="AB16" s="30" cm="1">
        <f t="array" ref="AB16">IF(Table21215[[#This Row],[4]]="","",Table21215[[#This Row],[Weight]:[Weight]]-(Table21215[[#This Row],[Weight]:[Weight]]*((_xlfn.XMATCH(Table21215[[#This Row],[4]],Table21215[[#This Row],[1]:[11]],0))-1)/(COUNTA(Table21215[[#This Row],[1]:[11]])-COUNTBLANK(Table21215[[#This Row],[1]:[11]])-1)))</f>
        <v>0</v>
      </c>
      <c r="AC16" s="30" t="str" cm="1">
        <f t="array" ref="AC16">IF(Table21215[[#This Row],[5]]="","",Table21215[[#This Row],[Weight]:[Weight]]-(Table21215[[#This Row],[Weight]:[Weight]]*((_xlfn.XMATCH(Table21215[[#This Row],[5]],Table21215[[#This Row],[1]:[11]],0))-1)/(COUNTA(Table21215[[#This Row],[1]:[11]])-COUNTBLANK(Table21215[[#This Row],[1]:[11]])-1)))</f>
        <v/>
      </c>
      <c r="AD16" s="30" t="str" cm="1">
        <f t="array" ref="AD16">IF(Table21215[[#This Row],[6]]="","",Table21215[[#This Row],[Weight]:[Weight]]-(Table21215[[#This Row],[Weight]:[Weight]]*((_xlfn.XMATCH(Table21215[[#This Row],[6]],Table21215[[#This Row],[1]:[11]],0))-1)/(COUNTA(Table21215[[#This Row],[1]:[11]])-COUNTBLANK(Table21215[[#This Row],[1]:[11]])-1)))</f>
        <v/>
      </c>
      <c r="AE16" s="30" t="str" cm="1">
        <f t="array" ref="AE16">IF(Table21215[[#This Row],[7]]="","",Table21215[[#This Row],[Weight]:[Weight]]-(Table21215[[#This Row],[Weight]:[Weight]]*((_xlfn.XMATCH(Table21215[[#This Row],[7]],Table21215[[#This Row],[1]:[11]],0))-1)/(COUNTA(Table21215[[#This Row],[1]:[11]])-COUNTBLANK(Table21215[[#This Row],[1]:[11]])-1)))</f>
        <v/>
      </c>
      <c r="AF16" s="30" t="str" cm="1">
        <f t="array" ref="AF16">IF(Table21215[[#This Row],[8]]="","",Table21215[[#This Row],[Weight]:[Weight]]-(Table21215[[#This Row],[Weight]:[Weight]]*((_xlfn.XMATCH(Table21215[[#This Row],[8]],Table21215[[#This Row],[1]:[11]],0))-1)/(COUNTA(Table21215[[#This Row],[1]:[11]])-COUNTBLANK(Table21215[[#This Row],[1]:[11]])-1)))</f>
        <v/>
      </c>
      <c r="AG16" s="30" t="str" cm="1">
        <f t="array" ref="AG16">IF(Table21215[[#This Row],[9]]="","",Table21215[[#This Row],[Weight]:[Weight]]-(Table21215[[#This Row],[Weight]:[Weight]]*((_xlfn.XMATCH(Table21215[[#This Row],[9]],Table21215[[#This Row],[1]:[11]],0))-1)/(COUNTA(Table21215[[#This Row],[1]:[11]])-COUNTBLANK(Table21215[[#This Row],[1]:[11]])-1)))</f>
        <v/>
      </c>
      <c r="AH16" s="30" t="str" cm="1">
        <f t="array" ref="AH16">IF(Table21215[[#This Row],[10]]="","",Table21215[[#This Row],[Weight]:[Weight]]-(Table21215[[#This Row],[Weight]:[Weight]]*((_xlfn.XMATCH(Table21215[[#This Row],[10]],Table21215[[#This Row],[1]:[11]],0))-1)/(COUNTA(Table21215[[#This Row],[1]:[11]])-COUNTBLANK(Table21215[[#This Row],[1]:[11]])-1)))</f>
        <v/>
      </c>
      <c r="AI16" s="30" t="str" cm="1">
        <f t="array" ref="AI16">IF(Table21215[[#This Row],[11]]="","",Table21215[[#This Row],[Weight]:[Weight]]-(Table21215[[#This Row],[Weight]:[Weight]]*((_xlfn.XMATCH(Table21215[[#This Row],[11]],Table21215[[#This Row],[1]:[11]],0))-1)/(COUNTA(Table21215[[#This Row],[1]:[11]])-COUNTBLANK(Table21215[[#This Row],[1]:[11]])-1)))</f>
        <v/>
      </c>
    </row>
    <row r="17" spans="1:35" ht="204" x14ac:dyDescent="0.2">
      <c r="A17" s="20">
        <v>5</v>
      </c>
      <c r="B17" s="21" t="s">
        <v>834</v>
      </c>
      <c r="C17" s="21" t="s">
        <v>826</v>
      </c>
      <c r="D17" s="31"/>
      <c r="E17" s="31"/>
      <c r="F17" s="87" t="s">
        <v>188</v>
      </c>
      <c r="G17" s="155" cm="1">
        <f t="array" ref="G17">_xlfn.IFS(F17="","",F17="No interest",0,F17="Nice to have",1,F17="Useful",2,F17="Important",3,F17="Very important",4,F17="Critical",5,F17="Show stopper",6)</f>
        <v>5</v>
      </c>
      <c r="H17" s="156">
        <f>(G17/$G$11)*$F$11</f>
        <v>3.9714058776806989E-3</v>
      </c>
      <c r="I17" s="157" t="s">
        <v>827</v>
      </c>
      <c r="J17" s="35" t="str" cm="1">
        <f t="array" ref="J17">_xlfn.TEXTJOIN(","&amp;CHAR(10),,TEXT(Table21215[[#This Row],[12]:[22]],"0,00%"))</f>
        <v>0,00%,
0,00%,
0,00%,
0,00%</v>
      </c>
      <c r="K17" s="26"/>
      <c r="L17" s="27" t="e">
        <f>H17-(H17*((MATCH(Table21215[[#This Row],[Evaluators Response (SELECT)]],Table21215[[#This Row],[1]:[11]],0)-1)/(COUNTA(Table21215[[#This Row],[1]:[11]])-COUNTBLANK(Table21215[[#This Row],[1]:[11]])-1)))</f>
        <v>#N/A</v>
      </c>
      <c r="M17" s="28"/>
      <c r="N17" s="29" t="s">
        <v>828</v>
      </c>
      <c r="O17" s="29" t="s">
        <v>829</v>
      </c>
      <c r="P17" s="29" t="s">
        <v>830</v>
      </c>
      <c r="Q17" s="29" t="str" cm="1">
        <f t="array" ref="Q17">IFERROR(INDEX(_xlfn.UNIQUE(TRIM(_xlfn.TEXTSPLIT(Table21215[[#This Row],[Selection Options]:[Selection Options]],","))),,Q$11),"")</f>
        <v xml:space="preserve">
 0%: Not currently supported</v>
      </c>
      <c r="R17" s="29" t="str" cm="1">
        <f t="array" ref="R17">IFERROR(INDEX(_xlfn.UNIQUE(TRIM(_xlfn.TEXTSPLIT(Table21215[[#This Row],[Selection Options]:[Selection Options]],","))),,R$11),"")</f>
        <v/>
      </c>
      <c r="S17" s="29" t="str" cm="1">
        <f t="array" ref="S17">IFERROR(INDEX(_xlfn.UNIQUE(TRIM(_xlfn.TEXTSPLIT(Table21215[[#This Row],[Selection Options]:[Selection Options]],","))),,S$11),"")</f>
        <v/>
      </c>
      <c r="T17" s="29" t="str" cm="1">
        <f t="array" ref="T17">IFERROR(INDEX(_xlfn.UNIQUE(TRIM(_xlfn.TEXTSPLIT(Table21215[[#This Row],[Selection Options]:[Selection Options]],","))),,T$11),"")</f>
        <v/>
      </c>
      <c r="U17" s="29" t="str" cm="1">
        <f t="array" ref="U17">IFERROR(INDEX(_xlfn.UNIQUE(TRIM(_xlfn.TEXTSPLIT(Table21215[[#This Row],[Selection Options]:[Selection Options]],","))),,U$11),"")</f>
        <v/>
      </c>
      <c r="V17" s="29" t="str" cm="1">
        <f t="array" ref="V17">IFERROR(INDEX(_xlfn.UNIQUE(TRIM(_xlfn.TEXTSPLIT(Table21215[[#This Row],[Selection Options]:[Selection Options]],","))),,V$11),"")</f>
        <v/>
      </c>
      <c r="W17" s="29" t="str" cm="1">
        <f t="array" ref="W17">IFERROR(INDEX(_xlfn.UNIQUE(TRIM(_xlfn.TEXTSPLIT(Table21215[[#This Row],[Selection Options]:[Selection Options]],","))),,W$11),"")</f>
        <v/>
      </c>
      <c r="X17" s="29" t="str" cm="1">
        <f t="array" ref="X17">IFERROR(INDEX(_xlfn.UNIQUE(TRIM(_xlfn.TEXTSPLIT(Table21215[[#This Row],[Selection Options]:[Selection Options]],","))),,X$11),"")</f>
        <v/>
      </c>
      <c r="Y17" s="30" cm="1">
        <f t="array" ref="Y17">IF(Table21215[[#This Row],[1]]="","",Table21215[[#This Row],[Weight]:[Weight]]-(Table21215[[#This Row],[Weight]:[Weight]]*((_xlfn.XMATCH(Table21215[[#This Row],[1]],Table21215[[#This Row],[1]:[11]],0))-1)/(COUNTA(Table21215[[#This Row],[1]:[11]])-COUNTBLANK(Table21215[[#This Row],[1]:[11]])-1)))</f>
        <v>3.9714058776806989E-3</v>
      </c>
      <c r="Z17" s="30" cm="1">
        <f t="array" ref="Z17">IF(Table21215[[#This Row],[2]]="","",Table21215[[#This Row],[Weight]:[Weight]]-(Table21215[[#This Row],[Weight]:[Weight]]*((_xlfn.XMATCH(Table21215[[#This Row],[2]],Table21215[[#This Row],[1]:[11]],0))-1)/(COUNTA(Table21215[[#This Row],[1]:[11]])-COUNTBLANK(Table21215[[#This Row],[1]:[11]])-1)))</f>
        <v>2.6476039184537992E-3</v>
      </c>
      <c r="AA17" s="30" cm="1">
        <f t="array" ref="AA17">IF(Table21215[[#This Row],[3]]="","",Table21215[[#This Row],[Weight]:[Weight]]-(Table21215[[#This Row],[Weight]:[Weight]]*((_xlfn.XMATCH(Table21215[[#This Row],[3]],Table21215[[#This Row],[1]:[11]],0))-1)/(COUNTA(Table21215[[#This Row],[1]:[11]])-COUNTBLANK(Table21215[[#This Row],[1]:[11]])-1)))</f>
        <v>1.3238019592268996E-3</v>
      </c>
      <c r="AB17" s="30" cm="1">
        <f t="array" ref="AB17">IF(Table21215[[#This Row],[4]]="","",Table21215[[#This Row],[Weight]:[Weight]]-(Table21215[[#This Row],[Weight]:[Weight]]*((_xlfn.XMATCH(Table21215[[#This Row],[4]],Table21215[[#This Row],[1]:[11]],0))-1)/(COUNTA(Table21215[[#This Row],[1]:[11]])-COUNTBLANK(Table21215[[#This Row],[1]:[11]])-1)))</f>
        <v>0</v>
      </c>
      <c r="AC17" s="30" t="str" cm="1">
        <f t="array" ref="AC17">IF(Table21215[[#This Row],[5]]="","",Table21215[[#This Row],[Weight]:[Weight]]-(Table21215[[#This Row],[Weight]:[Weight]]*((_xlfn.XMATCH(Table21215[[#This Row],[5]],Table21215[[#This Row],[1]:[11]],0))-1)/(COUNTA(Table21215[[#This Row],[1]:[11]])-COUNTBLANK(Table21215[[#This Row],[1]:[11]])-1)))</f>
        <v/>
      </c>
      <c r="AD17" s="30" t="str" cm="1">
        <f t="array" ref="AD17">IF(Table21215[[#This Row],[6]]="","",Table21215[[#This Row],[Weight]:[Weight]]-(Table21215[[#This Row],[Weight]:[Weight]]*((_xlfn.XMATCH(Table21215[[#This Row],[6]],Table21215[[#This Row],[1]:[11]],0))-1)/(COUNTA(Table21215[[#This Row],[1]:[11]])-COUNTBLANK(Table21215[[#This Row],[1]:[11]])-1)))</f>
        <v/>
      </c>
      <c r="AE17" s="30" t="str" cm="1">
        <f t="array" ref="AE17">IF(Table21215[[#This Row],[7]]="","",Table21215[[#This Row],[Weight]:[Weight]]-(Table21215[[#This Row],[Weight]:[Weight]]*((_xlfn.XMATCH(Table21215[[#This Row],[7]],Table21215[[#This Row],[1]:[11]],0))-1)/(COUNTA(Table21215[[#This Row],[1]:[11]])-COUNTBLANK(Table21215[[#This Row],[1]:[11]])-1)))</f>
        <v/>
      </c>
      <c r="AF17" s="30" t="str" cm="1">
        <f t="array" ref="AF17">IF(Table21215[[#This Row],[8]]="","",Table21215[[#This Row],[Weight]:[Weight]]-(Table21215[[#This Row],[Weight]:[Weight]]*((_xlfn.XMATCH(Table21215[[#This Row],[8]],Table21215[[#This Row],[1]:[11]],0))-1)/(COUNTA(Table21215[[#This Row],[1]:[11]])-COUNTBLANK(Table21215[[#This Row],[1]:[11]])-1)))</f>
        <v/>
      </c>
      <c r="AG17" s="30" t="str" cm="1">
        <f t="array" ref="AG17">IF(Table21215[[#This Row],[9]]="","",Table21215[[#This Row],[Weight]:[Weight]]-(Table21215[[#This Row],[Weight]:[Weight]]*((_xlfn.XMATCH(Table21215[[#This Row],[9]],Table21215[[#This Row],[1]:[11]],0))-1)/(COUNTA(Table21215[[#This Row],[1]:[11]])-COUNTBLANK(Table21215[[#This Row],[1]:[11]])-1)))</f>
        <v/>
      </c>
      <c r="AH17" s="30" t="str" cm="1">
        <f t="array" ref="AH17">IF(Table21215[[#This Row],[10]]="","",Table21215[[#This Row],[Weight]:[Weight]]-(Table21215[[#This Row],[Weight]:[Weight]]*((_xlfn.XMATCH(Table21215[[#This Row],[10]],Table21215[[#This Row],[1]:[11]],0))-1)/(COUNTA(Table21215[[#This Row],[1]:[11]])-COUNTBLANK(Table21215[[#This Row],[1]:[11]])-1)))</f>
        <v/>
      </c>
      <c r="AI17" s="30" t="str" cm="1">
        <f t="array" ref="AI17">IF(Table21215[[#This Row],[11]]="","",Table21215[[#This Row],[Weight]:[Weight]]-(Table21215[[#This Row],[Weight]:[Weight]]*((_xlfn.XMATCH(Table21215[[#This Row],[11]],Table21215[[#This Row],[1]:[11]],0))-1)/(COUNTA(Table21215[[#This Row],[1]:[11]])-COUNTBLANK(Table21215[[#This Row],[1]:[11]])-1)))</f>
        <v/>
      </c>
    </row>
    <row r="18" spans="1:35" ht="108" x14ac:dyDescent="0.2">
      <c r="A18" s="20">
        <v>6</v>
      </c>
      <c r="B18" s="158" t="s">
        <v>835</v>
      </c>
      <c r="C18" s="21" t="s">
        <v>826</v>
      </c>
      <c r="D18" s="32"/>
      <c r="E18" s="32"/>
      <c r="F18" s="87" t="s">
        <v>188</v>
      </c>
      <c r="G18" s="160" cm="1">
        <f t="array" ref="G18">_xlfn.IFS(F18="","",F18="No interest",0,F18="Nice to have",1,F18="Useful",2,F18="Important",3,F18="Very important",4,F18="Critical",5,F18="Show stopper",6)</f>
        <v>5</v>
      </c>
      <c r="H18" s="161">
        <f t="shared" ref="H18:H26" si="1">(G18/$G$11)*$F$11</f>
        <v>3.9714058776806989E-3</v>
      </c>
      <c r="I18" s="157" t="s">
        <v>827</v>
      </c>
      <c r="J18" s="35" t="str" cm="1">
        <f t="array" ref="J18">_xlfn.TEXTJOIN(","&amp;CHAR(10),,TEXT(Table21215[[#This Row],[12]:[22]],"0,00%"))</f>
        <v>0,00%,
0,00%,
0,00%,
0,00%</v>
      </c>
      <c r="K18" s="36"/>
      <c r="L18" s="37" t="e">
        <f>H18-(H18*((MATCH(Table21215[[#This Row],[Evaluators Response (SELECT)]],Table21215[[#This Row],[1]:[11]],0)-1)/(COUNTA(Table21215[[#This Row],[1]:[11]])-COUNTBLANK(Table21215[[#This Row],[1]:[11]])-1)))</f>
        <v>#N/A</v>
      </c>
      <c r="M18" s="38"/>
      <c r="N18" s="29" t="s">
        <v>828</v>
      </c>
      <c r="O18" s="29" t="s">
        <v>829</v>
      </c>
      <c r="P18" s="29" t="s">
        <v>830</v>
      </c>
      <c r="Q18" s="29" t="str" cm="1">
        <f t="array" ref="Q18">IFERROR(INDEX(_xlfn.UNIQUE(TRIM(_xlfn.TEXTSPLIT(Table21215[[#This Row],[Selection Options]:[Selection Options]],","))),,Q$11),"")</f>
        <v xml:space="preserve">
 0%: Not currently supported</v>
      </c>
      <c r="R18" s="29" t="str" cm="1">
        <f t="array" ref="R18">IFERROR(INDEX(_xlfn.UNIQUE(TRIM(_xlfn.TEXTSPLIT(Table21215[[#This Row],[Selection Options]:[Selection Options]],","))),,R$11),"")</f>
        <v/>
      </c>
      <c r="S18" s="29" t="str" cm="1">
        <f t="array" ref="S18">IFERROR(INDEX(_xlfn.UNIQUE(TRIM(_xlfn.TEXTSPLIT(Table21215[[#This Row],[Selection Options]:[Selection Options]],","))),,S$11),"")</f>
        <v/>
      </c>
      <c r="T18" s="29" t="str" cm="1">
        <f t="array" ref="T18">IFERROR(INDEX(_xlfn.UNIQUE(TRIM(_xlfn.TEXTSPLIT(Table21215[[#This Row],[Selection Options]:[Selection Options]],","))),,T$11),"")</f>
        <v/>
      </c>
      <c r="U18" s="29" t="str" cm="1">
        <f t="array" ref="U18">IFERROR(INDEX(_xlfn.UNIQUE(TRIM(_xlfn.TEXTSPLIT(Table21215[[#This Row],[Selection Options]:[Selection Options]],","))),,U$11),"")</f>
        <v/>
      </c>
      <c r="V18" s="29" t="str" cm="1">
        <f t="array" ref="V18">IFERROR(INDEX(_xlfn.UNIQUE(TRIM(_xlfn.TEXTSPLIT(Table21215[[#This Row],[Selection Options]:[Selection Options]],","))),,V$11),"")</f>
        <v/>
      </c>
      <c r="W18" s="29" t="str" cm="1">
        <f t="array" ref="W18">IFERROR(INDEX(_xlfn.UNIQUE(TRIM(_xlfn.TEXTSPLIT(Table21215[[#This Row],[Selection Options]:[Selection Options]],","))),,W$11),"")</f>
        <v/>
      </c>
      <c r="X18" s="29" t="str" cm="1">
        <f t="array" ref="X18">IFERROR(INDEX(_xlfn.UNIQUE(TRIM(_xlfn.TEXTSPLIT(Table21215[[#This Row],[Selection Options]:[Selection Options]],","))),,X$11),"")</f>
        <v/>
      </c>
      <c r="Y18" s="30" cm="1">
        <f t="array" ref="Y18">IF(Table21215[[#This Row],[1]]="","",Table21215[[#This Row],[Weight]:[Weight]]-(Table21215[[#This Row],[Weight]:[Weight]]*((_xlfn.XMATCH(Table21215[[#This Row],[1]],Table21215[[#This Row],[1]:[11]],0))-1)/(COUNTA(Table21215[[#This Row],[1]:[11]])-COUNTBLANK(Table21215[[#This Row],[1]:[11]])-1)))</f>
        <v>3.9714058776806989E-3</v>
      </c>
      <c r="Z18" s="30" cm="1">
        <f t="array" ref="Z18">IF(Table21215[[#This Row],[2]]="","",Table21215[[#This Row],[Weight]:[Weight]]-(Table21215[[#This Row],[Weight]:[Weight]]*((_xlfn.XMATCH(Table21215[[#This Row],[2]],Table21215[[#This Row],[1]:[11]],0))-1)/(COUNTA(Table21215[[#This Row],[1]:[11]])-COUNTBLANK(Table21215[[#This Row],[1]:[11]])-1)))</f>
        <v>2.6476039184537992E-3</v>
      </c>
      <c r="AA18" s="30" cm="1">
        <f t="array" ref="AA18">IF(Table21215[[#This Row],[3]]="","",Table21215[[#This Row],[Weight]:[Weight]]-(Table21215[[#This Row],[Weight]:[Weight]]*((_xlfn.XMATCH(Table21215[[#This Row],[3]],Table21215[[#This Row],[1]:[11]],0))-1)/(COUNTA(Table21215[[#This Row],[1]:[11]])-COUNTBLANK(Table21215[[#This Row],[1]:[11]])-1)))</f>
        <v>1.3238019592268996E-3</v>
      </c>
      <c r="AB18" s="30" cm="1">
        <f t="array" ref="AB18">IF(Table21215[[#This Row],[4]]="","",Table21215[[#This Row],[Weight]:[Weight]]-(Table21215[[#This Row],[Weight]:[Weight]]*((_xlfn.XMATCH(Table21215[[#This Row],[4]],Table21215[[#This Row],[1]:[11]],0))-1)/(COUNTA(Table21215[[#This Row],[1]:[11]])-COUNTBLANK(Table21215[[#This Row],[1]:[11]])-1)))</f>
        <v>0</v>
      </c>
      <c r="AC18" s="30" t="str" cm="1">
        <f t="array" ref="AC18">IF(Table21215[[#This Row],[5]]="","",Table21215[[#This Row],[Weight]:[Weight]]-(Table21215[[#This Row],[Weight]:[Weight]]*((_xlfn.XMATCH(Table21215[[#This Row],[5]],Table21215[[#This Row],[1]:[11]],0))-1)/(COUNTA(Table21215[[#This Row],[1]:[11]])-COUNTBLANK(Table21215[[#This Row],[1]:[11]])-1)))</f>
        <v/>
      </c>
      <c r="AD18" s="30" t="str" cm="1">
        <f t="array" ref="AD18">IF(Table21215[[#This Row],[6]]="","",Table21215[[#This Row],[Weight]:[Weight]]-(Table21215[[#This Row],[Weight]:[Weight]]*((_xlfn.XMATCH(Table21215[[#This Row],[6]],Table21215[[#This Row],[1]:[11]],0))-1)/(COUNTA(Table21215[[#This Row],[1]:[11]])-COUNTBLANK(Table21215[[#This Row],[1]:[11]])-1)))</f>
        <v/>
      </c>
      <c r="AE18" s="30" t="str" cm="1">
        <f t="array" ref="AE18">IF(Table21215[[#This Row],[7]]="","",Table21215[[#This Row],[Weight]:[Weight]]-(Table21215[[#This Row],[Weight]:[Weight]]*((_xlfn.XMATCH(Table21215[[#This Row],[7]],Table21215[[#This Row],[1]:[11]],0))-1)/(COUNTA(Table21215[[#This Row],[1]:[11]])-COUNTBLANK(Table21215[[#This Row],[1]:[11]])-1)))</f>
        <v/>
      </c>
      <c r="AF18" s="30" t="str" cm="1">
        <f t="array" ref="AF18">IF(Table21215[[#This Row],[8]]="","",Table21215[[#This Row],[Weight]:[Weight]]-(Table21215[[#This Row],[Weight]:[Weight]]*((_xlfn.XMATCH(Table21215[[#This Row],[8]],Table21215[[#This Row],[1]:[11]],0))-1)/(COUNTA(Table21215[[#This Row],[1]:[11]])-COUNTBLANK(Table21215[[#This Row],[1]:[11]])-1)))</f>
        <v/>
      </c>
      <c r="AG18" s="30" t="str" cm="1">
        <f t="array" ref="AG18">IF(Table21215[[#This Row],[9]]="","",Table21215[[#This Row],[Weight]:[Weight]]-(Table21215[[#This Row],[Weight]:[Weight]]*((_xlfn.XMATCH(Table21215[[#This Row],[9]],Table21215[[#This Row],[1]:[11]],0))-1)/(COUNTA(Table21215[[#This Row],[1]:[11]])-COUNTBLANK(Table21215[[#This Row],[1]:[11]])-1)))</f>
        <v/>
      </c>
      <c r="AH18" s="30" t="str" cm="1">
        <f t="array" ref="AH18">IF(Table21215[[#This Row],[10]]="","",Table21215[[#This Row],[Weight]:[Weight]]-(Table21215[[#This Row],[Weight]:[Weight]]*((_xlfn.XMATCH(Table21215[[#This Row],[10]],Table21215[[#This Row],[1]:[11]],0))-1)/(COUNTA(Table21215[[#This Row],[1]:[11]])-COUNTBLANK(Table21215[[#This Row],[1]:[11]])-1)))</f>
        <v/>
      </c>
      <c r="AI18" s="30" t="str" cm="1">
        <f t="array" ref="AI18">IF(Table21215[[#This Row],[11]]="","",Table21215[[#This Row],[Weight]:[Weight]]-(Table21215[[#This Row],[Weight]:[Weight]]*((_xlfn.XMATCH(Table21215[[#This Row],[11]],Table21215[[#This Row],[1]:[11]],0))-1)/(COUNTA(Table21215[[#This Row],[1]:[11]])-COUNTBLANK(Table21215[[#This Row],[1]:[11]])-1)))</f>
        <v/>
      </c>
    </row>
    <row r="19" spans="1:35" ht="108" x14ac:dyDescent="0.2">
      <c r="A19" s="20">
        <v>7</v>
      </c>
      <c r="B19" s="158" t="s">
        <v>836</v>
      </c>
      <c r="C19" s="21" t="s">
        <v>826</v>
      </c>
      <c r="D19" s="32"/>
      <c r="E19" s="32"/>
      <c r="F19" s="87" t="s">
        <v>60</v>
      </c>
      <c r="G19" s="160" cm="1">
        <f t="array" ref="G19">_xlfn.IFS(F19="","",F19="No interest",0,F19="Nice to have",1,F19="Useful",2,F19="Important",3,F19="Very important",4,F19="Critical",5,F19="Show stopper",6)</f>
        <v>6</v>
      </c>
      <c r="H19" s="161">
        <f t="shared" si="1"/>
        <v>4.7656870532168391E-3</v>
      </c>
      <c r="I19" s="157" t="s">
        <v>827</v>
      </c>
      <c r="J19" s="35" t="str" cm="1">
        <f t="array" ref="J19">_xlfn.TEXTJOIN(","&amp;CHAR(10),,TEXT(Table21215[[#This Row],[12]:[22]],"0,00%"))</f>
        <v>0,00%,
0,00%,
0,00%,
0,00%</v>
      </c>
      <c r="K19" s="36"/>
      <c r="L19" s="37" t="e">
        <f>H19-(H19*((MATCH(Table21215[[#This Row],[Evaluators Response (SELECT)]],Table21215[[#This Row],[1]:[11]],0)-1)/(COUNTA(Table21215[[#This Row],[1]:[11]])-COUNTBLANK(Table21215[[#This Row],[1]:[11]])-1)))</f>
        <v>#N/A</v>
      </c>
      <c r="M19" s="38"/>
      <c r="N19" s="29" t="s">
        <v>828</v>
      </c>
      <c r="O19" s="29" t="s">
        <v>829</v>
      </c>
      <c r="P19" s="29" t="s">
        <v>830</v>
      </c>
      <c r="Q19" s="29" t="str" cm="1">
        <f t="array" ref="Q19">IFERROR(INDEX(_xlfn.UNIQUE(TRIM(_xlfn.TEXTSPLIT(Table21215[[#This Row],[Selection Options]:[Selection Options]],","))),,Q$11),"")</f>
        <v xml:space="preserve">
 0%: Not currently supported</v>
      </c>
      <c r="R19" s="29" t="str" cm="1">
        <f t="array" ref="R19">IFERROR(INDEX(_xlfn.UNIQUE(TRIM(_xlfn.TEXTSPLIT(Table21215[[#This Row],[Selection Options]:[Selection Options]],","))),,R$11),"")</f>
        <v/>
      </c>
      <c r="S19" s="29" t="str" cm="1">
        <f t="array" ref="S19">IFERROR(INDEX(_xlfn.UNIQUE(TRIM(_xlfn.TEXTSPLIT(Table21215[[#This Row],[Selection Options]:[Selection Options]],","))),,S$11),"")</f>
        <v/>
      </c>
      <c r="T19" s="29" t="str" cm="1">
        <f t="array" ref="T19">IFERROR(INDEX(_xlfn.UNIQUE(TRIM(_xlfn.TEXTSPLIT(Table21215[[#This Row],[Selection Options]:[Selection Options]],","))),,T$11),"")</f>
        <v/>
      </c>
      <c r="U19" s="29" t="str" cm="1">
        <f t="array" ref="U19">IFERROR(INDEX(_xlfn.UNIQUE(TRIM(_xlfn.TEXTSPLIT(Table21215[[#This Row],[Selection Options]:[Selection Options]],","))),,U$11),"")</f>
        <v/>
      </c>
      <c r="V19" s="29" t="str" cm="1">
        <f t="array" ref="V19">IFERROR(INDEX(_xlfn.UNIQUE(TRIM(_xlfn.TEXTSPLIT(Table21215[[#This Row],[Selection Options]:[Selection Options]],","))),,V$11),"")</f>
        <v/>
      </c>
      <c r="W19" s="29" t="str" cm="1">
        <f t="array" ref="W19">IFERROR(INDEX(_xlfn.UNIQUE(TRIM(_xlfn.TEXTSPLIT(Table21215[[#This Row],[Selection Options]:[Selection Options]],","))),,W$11),"")</f>
        <v/>
      </c>
      <c r="X19" s="29" t="str" cm="1">
        <f t="array" ref="X19">IFERROR(INDEX(_xlfn.UNIQUE(TRIM(_xlfn.TEXTSPLIT(Table21215[[#This Row],[Selection Options]:[Selection Options]],","))),,X$11),"")</f>
        <v/>
      </c>
      <c r="Y19" s="30" cm="1">
        <f t="array" ref="Y19">IF(Table21215[[#This Row],[1]]="","",Table21215[[#This Row],[Weight]:[Weight]]-(Table21215[[#This Row],[Weight]:[Weight]]*((_xlfn.XMATCH(Table21215[[#This Row],[1]],Table21215[[#This Row],[1]:[11]],0))-1)/(COUNTA(Table21215[[#This Row],[1]:[11]])-COUNTBLANK(Table21215[[#This Row],[1]:[11]])-1)))</f>
        <v>4.7656870532168391E-3</v>
      </c>
      <c r="Z19" s="30" cm="1">
        <f t="array" ref="Z19">IF(Table21215[[#This Row],[2]]="","",Table21215[[#This Row],[Weight]:[Weight]]-(Table21215[[#This Row],[Weight]:[Weight]]*((_xlfn.XMATCH(Table21215[[#This Row],[2]],Table21215[[#This Row],[1]:[11]],0))-1)/(COUNTA(Table21215[[#This Row],[1]:[11]])-COUNTBLANK(Table21215[[#This Row],[1]:[11]])-1)))</f>
        <v>3.1771247021445594E-3</v>
      </c>
      <c r="AA19" s="30" cm="1">
        <f t="array" ref="AA19">IF(Table21215[[#This Row],[3]]="","",Table21215[[#This Row],[Weight]:[Weight]]-(Table21215[[#This Row],[Weight]:[Weight]]*((_xlfn.XMATCH(Table21215[[#This Row],[3]],Table21215[[#This Row],[1]:[11]],0))-1)/(COUNTA(Table21215[[#This Row],[1]:[11]])-COUNTBLANK(Table21215[[#This Row],[1]:[11]])-1)))</f>
        <v>1.5885623510722797E-3</v>
      </c>
      <c r="AB19" s="30" cm="1">
        <f t="array" ref="AB19">IF(Table21215[[#This Row],[4]]="","",Table21215[[#This Row],[Weight]:[Weight]]-(Table21215[[#This Row],[Weight]:[Weight]]*((_xlfn.XMATCH(Table21215[[#This Row],[4]],Table21215[[#This Row],[1]:[11]],0))-1)/(COUNTA(Table21215[[#This Row],[1]:[11]])-COUNTBLANK(Table21215[[#This Row],[1]:[11]])-1)))</f>
        <v>0</v>
      </c>
      <c r="AC19" s="30" t="str" cm="1">
        <f t="array" ref="AC19">IF(Table21215[[#This Row],[5]]="","",Table21215[[#This Row],[Weight]:[Weight]]-(Table21215[[#This Row],[Weight]:[Weight]]*((_xlfn.XMATCH(Table21215[[#This Row],[5]],Table21215[[#This Row],[1]:[11]],0))-1)/(COUNTA(Table21215[[#This Row],[1]:[11]])-COUNTBLANK(Table21215[[#This Row],[1]:[11]])-1)))</f>
        <v/>
      </c>
      <c r="AD19" s="30" t="str" cm="1">
        <f t="array" ref="AD19">IF(Table21215[[#This Row],[6]]="","",Table21215[[#This Row],[Weight]:[Weight]]-(Table21215[[#This Row],[Weight]:[Weight]]*((_xlfn.XMATCH(Table21215[[#This Row],[6]],Table21215[[#This Row],[1]:[11]],0))-1)/(COUNTA(Table21215[[#This Row],[1]:[11]])-COUNTBLANK(Table21215[[#This Row],[1]:[11]])-1)))</f>
        <v/>
      </c>
      <c r="AE19" s="30" t="str" cm="1">
        <f t="array" ref="AE19">IF(Table21215[[#This Row],[7]]="","",Table21215[[#This Row],[Weight]:[Weight]]-(Table21215[[#This Row],[Weight]:[Weight]]*((_xlfn.XMATCH(Table21215[[#This Row],[7]],Table21215[[#This Row],[1]:[11]],0))-1)/(COUNTA(Table21215[[#This Row],[1]:[11]])-COUNTBLANK(Table21215[[#This Row],[1]:[11]])-1)))</f>
        <v/>
      </c>
      <c r="AF19" s="30" t="str" cm="1">
        <f t="array" ref="AF19">IF(Table21215[[#This Row],[8]]="","",Table21215[[#This Row],[Weight]:[Weight]]-(Table21215[[#This Row],[Weight]:[Weight]]*((_xlfn.XMATCH(Table21215[[#This Row],[8]],Table21215[[#This Row],[1]:[11]],0))-1)/(COUNTA(Table21215[[#This Row],[1]:[11]])-COUNTBLANK(Table21215[[#This Row],[1]:[11]])-1)))</f>
        <v/>
      </c>
      <c r="AG19" s="30" t="str" cm="1">
        <f t="array" ref="AG19">IF(Table21215[[#This Row],[9]]="","",Table21215[[#This Row],[Weight]:[Weight]]-(Table21215[[#This Row],[Weight]:[Weight]]*((_xlfn.XMATCH(Table21215[[#This Row],[9]],Table21215[[#This Row],[1]:[11]],0))-1)/(COUNTA(Table21215[[#This Row],[1]:[11]])-COUNTBLANK(Table21215[[#This Row],[1]:[11]])-1)))</f>
        <v/>
      </c>
      <c r="AH19" s="30" t="str" cm="1">
        <f t="array" ref="AH19">IF(Table21215[[#This Row],[10]]="","",Table21215[[#This Row],[Weight]:[Weight]]-(Table21215[[#This Row],[Weight]:[Weight]]*((_xlfn.XMATCH(Table21215[[#This Row],[10]],Table21215[[#This Row],[1]:[11]],0))-1)/(COUNTA(Table21215[[#This Row],[1]:[11]])-COUNTBLANK(Table21215[[#This Row],[1]:[11]])-1)))</f>
        <v/>
      </c>
      <c r="AI19" s="30" t="str" cm="1">
        <f t="array" ref="AI19">IF(Table21215[[#This Row],[11]]="","",Table21215[[#This Row],[Weight]:[Weight]]-(Table21215[[#This Row],[Weight]:[Weight]]*((_xlfn.XMATCH(Table21215[[#This Row],[11]],Table21215[[#This Row],[1]:[11]],0))-1)/(COUNTA(Table21215[[#This Row],[1]:[11]])-COUNTBLANK(Table21215[[#This Row],[1]:[11]])-1)))</f>
        <v/>
      </c>
    </row>
    <row r="20" spans="1:35" ht="108" x14ac:dyDescent="0.2">
      <c r="A20" s="20">
        <v>8</v>
      </c>
      <c r="B20" s="158" t="s">
        <v>837</v>
      </c>
      <c r="C20" s="21" t="s">
        <v>826</v>
      </c>
      <c r="D20" s="32"/>
      <c r="E20" s="32"/>
      <c r="F20" s="87" t="s">
        <v>188</v>
      </c>
      <c r="G20" s="160" cm="1">
        <f t="array" ref="G20">_xlfn.IFS(F20="","",F20="No interest",0,F20="Nice to have",1,F20="Useful",2,F20="Important",3,F20="Very important",4,F20="Critical",5,F20="Show stopper",6)</f>
        <v>5</v>
      </c>
      <c r="H20" s="161">
        <f t="shared" si="1"/>
        <v>3.9714058776806989E-3</v>
      </c>
      <c r="I20" s="157" t="s">
        <v>827</v>
      </c>
      <c r="J20" s="35" t="str" cm="1">
        <f t="array" ref="J20">_xlfn.TEXTJOIN(","&amp;CHAR(10),,TEXT(Table21215[[#This Row],[12]:[22]],"0,00%"))</f>
        <v>0,00%,
0,00%,
0,00%,
0,00%</v>
      </c>
      <c r="K20" s="36"/>
      <c r="L20" s="37" t="e">
        <f>H20-(H20*((MATCH(Table21215[[#This Row],[Evaluators Response (SELECT)]],Table21215[[#This Row],[1]:[11]],0)-1)/(COUNTA(Table21215[[#This Row],[1]:[11]])-COUNTBLANK(Table21215[[#This Row],[1]:[11]])-1)))</f>
        <v>#N/A</v>
      </c>
      <c r="M20" s="38"/>
      <c r="N20" s="29" t="s">
        <v>828</v>
      </c>
      <c r="O20" s="29" t="s">
        <v>829</v>
      </c>
      <c r="P20" s="29" t="s">
        <v>830</v>
      </c>
      <c r="Q20" s="29" t="str" cm="1">
        <f t="array" ref="Q20">IFERROR(INDEX(_xlfn.UNIQUE(TRIM(_xlfn.TEXTSPLIT(Table21215[[#This Row],[Selection Options]:[Selection Options]],","))),,Q$11),"")</f>
        <v xml:space="preserve">
 0%: Not currently supported</v>
      </c>
      <c r="R20" s="29" t="str" cm="1">
        <f t="array" ref="R20">IFERROR(INDEX(_xlfn.UNIQUE(TRIM(_xlfn.TEXTSPLIT(Table21215[[#This Row],[Selection Options]:[Selection Options]],","))),,R$11),"")</f>
        <v/>
      </c>
      <c r="S20" s="29" t="str" cm="1">
        <f t="array" ref="S20">IFERROR(INDEX(_xlfn.UNIQUE(TRIM(_xlfn.TEXTSPLIT(Table21215[[#This Row],[Selection Options]:[Selection Options]],","))),,S$11),"")</f>
        <v/>
      </c>
      <c r="T20" s="29" t="str" cm="1">
        <f t="array" ref="T20">IFERROR(INDEX(_xlfn.UNIQUE(TRIM(_xlfn.TEXTSPLIT(Table21215[[#This Row],[Selection Options]:[Selection Options]],","))),,T$11),"")</f>
        <v/>
      </c>
      <c r="U20" s="29" t="str" cm="1">
        <f t="array" ref="U20">IFERROR(INDEX(_xlfn.UNIQUE(TRIM(_xlfn.TEXTSPLIT(Table21215[[#This Row],[Selection Options]:[Selection Options]],","))),,U$11),"")</f>
        <v/>
      </c>
      <c r="V20" s="29" t="str" cm="1">
        <f t="array" ref="V20">IFERROR(INDEX(_xlfn.UNIQUE(TRIM(_xlfn.TEXTSPLIT(Table21215[[#This Row],[Selection Options]:[Selection Options]],","))),,V$11),"")</f>
        <v/>
      </c>
      <c r="W20" s="29" t="str" cm="1">
        <f t="array" ref="W20">IFERROR(INDEX(_xlfn.UNIQUE(TRIM(_xlfn.TEXTSPLIT(Table21215[[#This Row],[Selection Options]:[Selection Options]],","))),,W$11),"")</f>
        <v/>
      </c>
      <c r="X20" s="29" t="str" cm="1">
        <f t="array" ref="X20">IFERROR(INDEX(_xlfn.UNIQUE(TRIM(_xlfn.TEXTSPLIT(Table21215[[#This Row],[Selection Options]:[Selection Options]],","))),,X$11),"")</f>
        <v/>
      </c>
      <c r="Y20" s="30" cm="1">
        <f t="array" ref="Y20">IF(Table21215[[#This Row],[1]]="","",Table21215[[#This Row],[Weight]:[Weight]]-(Table21215[[#This Row],[Weight]:[Weight]]*((_xlfn.XMATCH(Table21215[[#This Row],[1]],Table21215[[#This Row],[1]:[11]],0))-1)/(COUNTA(Table21215[[#This Row],[1]:[11]])-COUNTBLANK(Table21215[[#This Row],[1]:[11]])-1)))</f>
        <v>3.9714058776806989E-3</v>
      </c>
      <c r="Z20" s="30" cm="1">
        <f t="array" ref="Z20">IF(Table21215[[#This Row],[2]]="","",Table21215[[#This Row],[Weight]:[Weight]]-(Table21215[[#This Row],[Weight]:[Weight]]*((_xlfn.XMATCH(Table21215[[#This Row],[2]],Table21215[[#This Row],[1]:[11]],0))-1)/(COUNTA(Table21215[[#This Row],[1]:[11]])-COUNTBLANK(Table21215[[#This Row],[1]:[11]])-1)))</f>
        <v>2.6476039184537992E-3</v>
      </c>
      <c r="AA20" s="30" cm="1">
        <f t="array" ref="AA20">IF(Table21215[[#This Row],[3]]="","",Table21215[[#This Row],[Weight]:[Weight]]-(Table21215[[#This Row],[Weight]:[Weight]]*((_xlfn.XMATCH(Table21215[[#This Row],[3]],Table21215[[#This Row],[1]:[11]],0))-1)/(COUNTA(Table21215[[#This Row],[1]:[11]])-COUNTBLANK(Table21215[[#This Row],[1]:[11]])-1)))</f>
        <v>1.3238019592268996E-3</v>
      </c>
      <c r="AB20" s="30" cm="1">
        <f t="array" ref="AB20">IF(Table21215[[#This Row],[4]]="","",Table21215[[#This Row],[Weight]:[Weight]]-(Table21215[[#This Row],[Weight]:[Weight]]*((_xlfn.XMATCH(Table21215[[#This Row],[4]],Table21215[[#This Row],[1]:[11]],0))-1)/(COUNTA(Table21215[[#This Row],[1]:[11]])-COUNTBLANK(Table21215[[#This Row],[1]:[11]])-1)))</f>
        <v>0</v>
      </c>
      <c r="AC20" s="30" t="str" cm="1">
        <f t="array" ref="AC20">IF(Table21215[[#This Row],[5]]="","",Table21215[[#This Row],[Weight]:[Weight]]-(Table21215[[#This Row],[Weight]:[Weight]]*((_xlfn.XMATCH(Table21215[[#This Row],[5]],Table21215[[#This Row],[1]:[11]],0))-1)/(COUNTA(Table21215[[#This Row],[1]:[11]])-COUNTBLANK(Table21215[[#This Row],[1]:[11]])-1)))</f>
        <v/>
      </c>
      <c r="AD20" s="30" t="str" cm="1">
        <f t="array" ref="AD20">IF(Table21215[[#This Row],[6]]="","",Table21215[[#This Row],[Weight]:[Weight]]-(Table21215[[#This Row],[Weight]:[Weight]]*((_xlfn.XMATCH(Table21215[[#This Row],[6]],Table21215[[#This Row],[1]:[11]],0))-1)/(COUNTA(Table21215[[#This Row],[1]:[11]])-COUNTBLANK(Table21215[[#This Row],[1]:[11]])-1)))</f>
        <v/>
      </c>
      <c r="AE20" s="30" t="str" cm="1">
        <f t="array" ref="AE20">IF(Table21215[[#This Row],[7]]="","",Table21215[[#This Row],[Weight]:[Weight]]-(Table21215[[#This Row],[Weight]:[Weight]]*((_xlfn.XMATCH(Table21215[[#This Row],[7]],Table21215[[#This Row],[1]:[11]],0))-1)/(COUNTA(Table21215[[#This Row],[1]:[11]])-COUNTBLANK(Table21215[[#This Row],[1]:[11]])-1)))</f>
        <v/>
      </c>
      <c r="AF20" s="30" t="str" cm="1">
        <f t="array" ref="AF20">IF(Table21215[[#This Row],[8]]="","",Table21215[[#This Row],[Weight]:[Weight]]-(Table21215[[#This Row],[Weight]:[Weight]]*((_xlfn.XMATCH(Table21215[[#This Row],[8]],Table21215[[#This Row],[1]:[11]],0))-1)/(COUNTA(Table21215[[#This Row],[1]:[11]])-COUNTBLANK(Table21215[[#This Row],[1]:[11]])-1)))</f>
        <v/>
      </c>
      <c r="AG20" s="30" t="str" cm="1">
        <f t="array" ref="AG20">IF(Table21215[[#This Row],[9]]="","",Table21215[[#This Row],[Weight]:[Weight]]-(Table21215[[#This Row],[Weight]:[Weight]]*((_xlfn.XMATCH(Table21215[[#This Row],[9]],Table21215[[#This Row],[1]:[11]],0))-1)/(COUNTA(Table21215[[#This Row],[1]:[11]])-COUNTBLANK(Table21215[[#This Row],[1]:[11]])-1)))</f>
        <v/>
      </c>
      <c r="AH20" s="30" t="str" cm="1">
        <f t="array" ref="AH20">IF(Table21215[[#This Row],[10]]="","",Table21215[[#This Row],[Weight]:[Weight]]-(Table21215[[#This Row],[Weight]:[Weight]]*((_xlfn.XMATCH(Table21215[[#This Row],[10]],Table21215[[#This Row],[1]:[11]],0))-1)/(COUNTA(Table21215[[#This Row],[1]:[11]])-COUNTBLANK(Table21215[[#This Row],[1]:[11]])-1)))</f>
        <v/>
      </c>
      <c r="AI20" s="30" t="str" cm="1">
        <f t="array" ref="AI20">IF(Table21215[[#This Row],[11]]="","",Table21215[[#This Row],[Weight]:[Weight]]-(Table21215[[#This Row],[Weight]:[Weight]]*((_xlfn.XMATCH(Table21215[[#This Row],[11]],Table21215[[#This Row],[1]:[11]],0))-1)/(COUNTA(Table21215[[#This Row],[1]:[11]])-COUNTBLANK(Table21215[[#This Row],[1]:[11]])-1)))</f>
        <v/>
      </c>
    </row>
    <row r="21" spans="1:35" ht="108" x14ac:dyDescent="0.2">
      <c r="A21" s="20">
        <v>9</v>
      </c>
      <c r="B21" s="158" t="s">
        <v>838</v>
      </c>
      <c r="C21" s="21" t="s">
        <v>826</v>
      </c>
      <c r="D21" s="32"/>
      <c r="E21" s="32"/>
      <c r="F21" s="87" t="s">
        <v>188</v>
      </c>
      <c r="G21" s="160" cm="1">
        <f t="array" ref="G21">_xlfn.IFS(F21="","",F21="No interest",0,F21="Nice to have",1,F21="Useful",2,F21="Important",3,F21="Very important",4,F21="Critical",5,F21="Show stopper",6)</f>
        <v>5</v>
      </c>
      <c r="H21" s="161">
        <f t="shared" si="1"/>
        <v>3.9714058776806989E-3</v>
      </c>
      <c r="I21" s="157" t="s">
        <v>827</v>
      </c>
      <c r="J21" s="35" t="str" cm="1">
        <f t="array" ref="J21">_xlfn.TEXTJOIN(","&amp;CHAR(10),,TEXT(Table21215[[#This Row],[12]:[22]],"0,00%"))</f>
        <v>0,00%,
0,00%,
0,00%,
0,00%</v>
      </c>
      <c r="K21" s="36"/>
      <c r="L21" s="37" t="e">
        <f>H21-(H21*((MATCH(Table21215[[#This Row],[Evaluators Response (SELECT)]],Table21215[[#This Row],[1]:[11]],0)-1)/(COUNTA(Table21215[[#This Row],[1]:[11]])-COUNTBLANK(Table21215[[#This Row],[1]:[11]])-1)))</f>
        <v>#N/A</v>
      </c>
      <c r="M21" s="38"/>
      <c r="N21" s="29" t="s">
        <v>828</v>
      </c>
      <c r="O21" s="29" t="s">
        <v>829</v>
      </c>
      <c r="P21" s="29" t="s">
        <v>830</v>
      </c>
      <c r="Q21" s="29" t="str" cm="1">
        <f t="array" ref="Q21">IFERROR(INDEX(_xlfn.UNIQUE(TRIM(_xlfn.TEXTSPLIT(Table21215[[#This Row],[Selection Options]:[Selection Options]],","))),,Q$11),"")</f>
        <v xml:space="preserve">
 0%: Not currently supported</v>
      </c>
      <c r="R21" s="29" t="str" cm="1">
        <f t="array" ref="R21">IFERROR(INDEX(_xlfn.UNIQUE(TRIM(_xlfn.TEXTSPLIT(Table21215[[#This Row],[Selection Options]:[Selection Options]],","))),,R$11),"")</f>
        <v/>
      </c>
      <c r="S21" s="29" t="str" cm="1">
        <f t="array" ref="S21">IFERROR(INDEX(_xlfn.UNIQUE(TRIM(_xlfn.TEXTSPLIT(Table21215[[#This Row],[Selection Options]:[Selection Options]],","))),,S$11),"")</f>
        <v/>
      </c>
      <c r="T21" s="29" t="str" cm="1">
        <f t="array" ref="T21">IFERROR(INDEX(_xlfn.UNIQUE(TRIM(_xlfn.TEXTSPLIT(Table21215[[#This Row],[Selection Options]:[Selection Options]],","))),,T$11),"")</f>
        <v/>
      </c>
      <c r="U21" s="29" t="str" cm="1">
        <f t="array" ref="U21">IFERROR(INDEX(_xlfn.UNIQUE(TRIM(_xlfn.TEXTSPLIT(Table21215[[#This Row],[Selection Options]:[Selection Options]],","))),,U$11),"")</f>
        <v/>
      </c>
      <c r="V21" s="29" t="str" cm="1">
        <f t="array" ref="V21">IFERROR(INDEX(_xlfn.UNIQUE(TRIM(_xlfn.TEXTSPLIT(Table21215[[#This Row],[Selection Options]:[Selection Options]],","))),,V$11),"")</f>
        <v/>
      </c>
      <c r="W21" s="29" t="str" cm="1">
        <f t="array" ref="W21">IFERROR(INDEX(_xlfn.UNIQUE(TRIM(_xlfn.TEXTSPLIT(Table21215[[#This Row],[Selection Options]:[Selection Options]],","))),,W$11),"")</f>
        <v/>
      </c>
      <c r="X21" s="29" t="str" cm="1">
        <f t="array" ref="X21">IFERROR(INDEX(_xlfn.UNIQUE(TRIM(_xlfn.TEXTSPLIT(Table21215[[#This Row],[Selection Options]:[Selection Options]],","))),,X$11),"")</f>
        <v/>
      </c>
      <c r="Y21" s="30" cm="1">
        <f t="array" ref="Y21">IF(Table21215[[#This Row],[1]]="","",Table21215[[#This Row],[Weight]:[Weight]]-(Table21215[[#This Row],[Weight]:[Weight]]*((_xlfn.XMATCH(Table21215[[#This Row],[1]],Table21215[[#This Row],[1]:[11]],0))-1)/(COUNTA(Table21215[[#This Row],[1]:[11]])-COUNTBLANK(Table21215[[#This Row],[1]:[11]])-1)))</f>
        <v>3.9714058776806989E-3</v>
      </c>
      <c r="Z21" s="30" cm="1">
        <f t="array" ref="Z21">IF(Table21215[[#This Row],[2]]="","",Table21215[[#This Row],[Weight]:[Weight]]-(Table21215[[#This Row],[Weight]:[Weight]]*((_xlfn.XMATCH(Table21215[[#This Row],[2]],Table21215[[#This Row],[1]:[11]],0))-1)/(COUNTA(Table21215[[#This Row],[1]:[11]])-COUNTBLANK(Table21215[[#This Row],[1]:[11]])-1)))</f>
        <v>2.6476039184537992E-3</v>
      </c>
      <c r="AA21" s="30" cm="1">
        <f t="array" ref="AA21">IF(Table21215[[#This Row],[3]]="","",Table21215[[#This Row],[Weight]:[Weight]]-(Table21215[[#This Row],[Weight]:[Weight]]*((_xlfn.XMATCH(Table21215[[#This Row],[3]],Table21215[[#This Row],[1]:[11]],0))-1)/(COUNTA(Table21215[[#This Row],[1]:[11]])-COUNTBLANK(Table21215[[#This Row],[1]:[11]])-1)))</f>
        <v>1.3238019592268996E-3</v>
      </c>
      <c r="AB21" s="30" cm="1">
        <f t="array" ref="AB21">IF(Table21215[[#This Row],[4]]="","",Table21215[[#This Row],[Weight]:[Weight]]-(Table21215[[#This Row],[Weight]:[Weight]]*((_xlfn.XMATCH(Table21215[[#This Row],[4]],Table21215[[#This Row],[1]:[11]],0))-1)/(COUNTA(Table21215[[#This Row],[1]:[11]])-COUNTBLANK(Table21215[[#This Row],[1]:[11]])-1)))</f>
        <v>0</v>
      </c>
      <c r="AC21" s="30" t="str" cm="1">
        <f t="array" ref="AC21">IF(Table21215[[#This Row],[5]]="","",Table21215[[#This Row],[Weight]:[Weight]]-(Table21215[[#This Row],[Weight]:[Weight]]*((_xlfn.XMATCH(Table21215[[#This Row],[5]],Table21215[[#This Row],[1]:[11]],0))-1)/(COUNTA(Table21215[[#This Row],[1]:[11]])-COUNTBLANK(Table21215[[#This Row],[1]:[11]])-1)))</f>
        <v/>
      </c>
      <c r="AD21" s="30" t="str" cm="1">
        <f t="array" ref="AD21">IF(Table21215[[#This Row],[6]]="","",Table21215[[#This Row],[Weight]:[Weight]]-(Table21215[[#This Row],[Weight]:[Weight]]*((_xlfn.XMATCH(Table21215[[#This Row],[6]],Table21215[[#This Row],[1]:[11]],0))-1)/(COUNTA(Table21215[[#This Row],[1]:[11]])-COUNTBLANK(Table21215[[#This Row],[1]:[11]])-1)))</f>
        <v/>
      </c>
      <c r="AE21" s="30" t="str" cm="1">
        <f t="array" ref="AE21">IF(Table21215[[#This Row],[7]]="","",Table21215[[#This Row],[Weight]:[Weight]]-(Table21215[[#This Row],[Weight]:[Weight]]*((_xlfn.XMATCH(Table21215[[#This Row],[7]],Table21215[[#This Row],[1]:[11]],0))-1)/(COUNTA(Table21215[[#This Row],[1]:[11]])-COUNTBLANK(Table21215[[#This Row],[1]:[11]])-1)))</f>
        <v/>
      </c>
      <c r="AF21" s="30" t="str" cm="1">
        <f t="array" ref="AF21">IF(Table21215[[#This Row],[8]]="","",Table21215[[#This Row],[Weight]:[Weight]]-(Table21215[[#This Row],[Weight]:[Weight]]*((_xlfn.XMATCH(Table21215[[#This Row],[8]],Table21215[[#This Row],[1]:[11]],0))-1)/(COUNTA(Table21215[[#This Row],[1]:[11]])-COUNTBLANK(Table21215[[#This Row],[1]:[11]])-1)))</f>
        <v/>
      </c>
      <c r="AG21" s="30" t="str" cm="1">
        <f t="array" ref="AG21">IF(Table21215[[#This Row],[9]]="","",Table21215[[#This Row],[Weight]:[Weight]]-(Table21215[[#This Row],[Weight]:[Weight]]*((_xlfn.XMATCH(Table21215[[#This Row],[9]],Table21215[[#This Row],[1]:[11]],0))-1)/(COUNTA(Table21215[[#This Row],[1]:[11]])-COUNTBLANK(Table21215[[#This Row],[1]:[11]])-1)))</f>
        <v/>
      </c>
      <c r="AH21" s="30" t="str" cm="1">
        <f t="array" ref="AH21">IF(Table21215[[#This Row],[10]]="","",Table21215[[#This Row],[Weight]:[Weight]]-(Table21215[[#This Row],[Weight]:[Weight]]*((_xlfn.XMATCH(Table21215[[#This Row],[10]],Table21215[[#This Row],[1]:[11]],0))-1)/(COUNTA(Table21215[[#This Row],[1]:[11]])-COUNTBLANK(Table21215[[#This Row],[1]:[11]])-1)))</f>
        <v/>
      </c>
      <c r="AI21" s="30" t="str" cm="1">
        <f t="array" ref="AI21">IF(Table21215[[#This Row],[11]]="","",Table21215[[#This Row],[Weight]:[Weight]]-(Table21215[[#This Row],[Weight]:[Weight]]*((_xlfn.XMATCH(Table21215[[#This Row],[11]],Table21215[[#This Row],[1]:[11]],0))-1)/(COUNTA(Table21215[[#This Row],[1]:[11]])-COUNTBLANK(Table21215[[#This Row],[1]:[11]])-1)))</f>
        <v/>
      </c>
    </row>
    <row r="22" spans="1:35" ht="108" x14ac:dyDescent="0.2">
      <c r="A22" s="20">
        <v>10</v>
      </c>
      <c r="B22" s="158" t="s">
        <v>839</v>
      </c>
      <c r="C22" s="21" t="s">
        <v>826</v>
      </c>
      <c r="D22" s="32"/>
      <c r="E22" s="32"/>
      <c r="F22" s="87" t="s">
        <v>60</v>
      </c>
      <c r="G22" s="160" cm="1">
        <f t="array" ref="G22">_xlfn.IFS(F22="","",F22="No interest",0,F22="Nice to have",1,F22="Useful",2,F22="Important",3,F22="Very important",4,F22="Critical",5,F22="Show stopper",6)</f>
        <v>6</v>
      </c>
      <c r="H22" s="161">
        <f t="shared" si="1"/>
        <v>4.7656870532168391E-3</v>
      </c>
      <c r="I22" s="157" t="s">
        <v>827</v>
      </c>
      <c r="J22" s="35" t="str" cm="1">
        <f t="array" ref="J22">_xlfn.TEXTJOIN(","&amp;CHAR(10),,TEXT(Table21215[[#This Row],[12]:[22]],"0,00%"))</f>
        <v>0,00%,
0,00%,
0,00%,
0,00%</v>
      </c>
      <c r="K22" s="36"/>
      <c r="L22" s="37" t="e">
        <f>H22-(H22*((MATCH(Table21215[[#This Row],[Evaluators Response (SELECT)]],Table21215[[#This Row],[1]:[11]],0)-1)/(COUNTA(Table21215[[#This Row],[1]:[11]])-COUNTBLANK(Table21215[[#This Row],[1]:[11]])-1)))</f>
        <v>#N/A</v>
      </c>
      <c r="M22" s="38"/>
      <c r="N22" s="29" t="s">
        <v>828</v>
      </c>
      <c r="O22" s="29" t="s">
        <v>829</v>
      </c>
      <c r="P22" s="29" t="s">
        <v>830</v>
      </c>
      <c r="Q22" s="29" t="str" cm="1">
        <f t="array" ref="Q22">IFERROR(INDEX(_xlfn.UNIQUE(TRIM(_xlfn.TEXTSPLIT(Table21215[[#This Row],[Selection Options]:[Selection Options]],","))),,Q$11),"")</f>
        <v xml:space="preserve">
 0%: Not currently supported</v>
      </c>
      <c r="R22" s="29" t="str" cm="1">
        <f t="array" ref="R22">IFERROR(INDEX(_xlfn.UNIQUE(TRIM(_xlfn.TEXTSPLIT(Table21215[[#This Row],[Selection Options]:[Selection Options]],","))),,R$11),"")</f>
        <v/>
      </c>
      <c r="S22" s="29" t="str" cm="1">
        <f t="array" ref="S22">IFERROR(INDEX(_xlfn.UNIQUE(TRIM(_xlfn.TEXTSPLIT(Table21215[[#This Row],[Selection Options]:[Selection Options]],","))),,S$11),"")</f>
        <v/>
      </c>
      <c r="T22" s="29" t="str" cm="1">
        <f t="array" ref="T22">IFERROR(INDEX(_xlfn.UNIQUE(TRIM(_xlfn.TEXTSPLIT(Table21215[[#This Row],[Selection Options]:[Selection Options]],","))),,T$11),"")</f>
        <v/>
      </c>
      <c r="U22" s="29" t="str" cm="1">
        <f t="array" ref="U22">IFERROR(INDEX(_xlfn.UNIQUE(TRIM(_xlfn.TEXTSPLIT(Table21215[[#This Row],[Selection Options]:[Selection Options]],","))),,U$11),"")</f>
        <v/>
      </c>
      <c r="V22" s="29" t="str" cm="1">
        <f t="array" ref="V22">IFERROR(INDEX(_xlfn.UNIQUE(TRIM(_xlfn.TEXTSPLIT(Table21215[[#This Row],[Selection Options]:[Selection Options]],","))),,V$11),"")</f>
        <v/>
      </c>
      <c r="W22" s="29" t="str" cm="1">
        <f t="array" ref="W22">IFERROR(INDEX(_xlfn.UNIQUE(TRIM(_xlfn.TEXTSPLIT(Table21215[[#This Row],[Selection Options]:[Selection Options]],","))),,W$11),"")</f>
        <v/>
      </c>
      <c r="X22" s="29" t="str" cm="1">
        <f t="array" ref="X22">IFERROR(INDEX(_xlfn.UNIQUE(TRIM(_xlfn.TEXTSPLIT(Table21215[[#This Row],[Selection Options]:[Selection Options]],","))),,X$11),"")</f>
        <v/>
      </c>
      <c r="Y22" s="30" cm="1">
        <f t="array" ref="Y22">IF(Table21215[[#This Row],[1]]="","",Table21215[[#This Row],[Weight]:[Weight]]-(Table21215[[#This Row],[Weight]:[Weight]]*((_xlfn.XMATCH(Table21215[[#This Row],[1]],Table21215[[#This Row],[1]:[11]],0))-1)/(COUNTA(Table21215[[#This Row],[1]:[11]])-COUNTBLANK(Table21215[[#This Row],[1]:[11]])-1)))</f>
        <v>4.7656870532168391E-3</v>
      </c>
      <c r="Z22" s="30" cm="1">
        <f t="array" ref="Z22">IF(Table21215[[#This Row],[2]]="","",Table21215[[#This Row],[Weight]:[Weight]]-(Table21215[[#This Row],[Weight]:[Weight]]*((_xlfn.XMATCH(Table21215[[#This Row],[2]],Table21215[[#This Row],[1]:[11]],0))-1)/(COUNTA(Table21215[[#This Row],[1]:[11]])-COUNTBLANK(Table21215[[#This Row],[1]:[11]])-1)))</f>
        <v>3.1771247021445594E-3</v>
      </c>
      <c r="AA22" s="30" cm="1">
        <f t="array" ref="AA22">IF(Table21215[[#This Row],[3]]="","",Table21215[[#This Row],[Weight]:[Weight]]-(Table21215[[#This Row],[Weight]:[Weight]]*((_xlfn.XMATCH(Table21215[[#This Row],[3]],Table21215[[#This Row],[1]:[11]],0))-1)/(COUNTA(Table21215[[#This Row],[1]:[11]])-COUNTBLANK(Table21215[[#This Row],[1]:[11]])-1)))</f>
        <v>1.5885623510722797E-3</v>
      </c>
      <c r="AB22" s="30" cm="1">
        <f t="array" ref="AB22">IF(Table21215[[#This Row],[4]]="","",Table21215[[#This Row],[Weight]:[Weight]]-(Table21215[[#This Row],[Weight]:[Weight]]*((_xlfn.XMATCH(Table21215[[#This Row],[4]],Table21215[[#This Row],[1]:[11]],0))-1)/(COUNTA(Table21215[[#This Row],[1]:[11]])-COUNTBLANK(Table21215[[#This Row],[1]:[11]])-1)))</f>
        <v>0</v>
      </c>
      <c r="AC22" s="30" t="str" cm="1">
        <f t="array" ref="AC22">IF(Table21215[[#This Row],[5]]="","",Table21215[[#This Row],[Weight]:[Weight]]-(Table21215[[#This Row],[Weight]:[Weight]]*((_xlfn.XMATCH(Table21215[[#This Row],[5]],Table21215[[#This Row],[1]:[11]],0))-1)/(COUNTA(Table21215[[#This Row],[1]:[11]])-COUNTBLANK(Table21215[[#This Row],[1]:[11]])-1)))</f>
        <v/>
      </c>
      <c r="AD22" s="30" t="str" cm="1">
        <f t="array" ref="AD22">IF(Table21215[[#This Row],[6]]="","",Table21215[[#This Row],[Weight]:[Weight]]-(Table21215[[#This Row],[Weight]:[Weight]]*((_xlfn.XMATCH(Table21215[[#This Row],[6]],Table21215[[#This Row],[1]:[11]],0))-1)/(COUNTA(Table21215[[#This Row],[1]:[11]])-COUNTBLANK(Table21215[[#This Row],[1]:[11]])-1)))</f>
        <v/>
      </c>
      <c r="AE22" s="30" t="str" cm="1">
        <f t="array" ref="AE22">IF(Table21215[[#This Row],[7]]="","",Table21215[[#This Row],[Weight]:[Weight]]-(Table21215[[#This Row],[Weight]:[Weight]]*((_xlfn.XMATCH(Table21215[[#This Row],[7]],Table21215[[#This Row],[1]:[11]],0))-1)/(COUNTA(Table21215[[#This Row],[1]:[11]])-COUNTBLANK(Table21215[[#This Row],[1]:[11]])-1)))</f>
        <v/>
      </c>
      <c r="AF22" s="30" t="str" cm="1">
        <f t="array" ref="AF22">IF(Table21215[[#This Row],[8]]="","",Table21215[[#This Row],[Weight]:[Weight]]-(Table21215[[#This Row],[Weight]:[Weight]]*((_xlfn.XMATCH(Table21215[[#This Row],[8]],Table21215[[#This Row],[1]:[11]],0))-1)/(COUNTA(Table21215[[#This Row],[1]:[11]])-COUNTBLANK(Table21215[[#This Row],[1]:[11]])-1)))</f>
        <v/>
      </c>
      <c r="AG22" s="30" t="str" cm="1">
        <f t="array" ref="AG22">IF(Table21215[[#This Row],[9]]="","",Table21215[[#This Row],[Weight]:[Weight]]-(Table21215[[#This Row],[Weight]:[Weight]]*((_xlfn.XMATCH(Table21215[[#This Row],[9]],Table21215[[#This Row],[1]:[11]],0))-1)/(COUNTA(Table21215[[#This Row],[1]:[11]])-COUNTBLANK(Table21215[[#This Row],[1]:[11]])-1)))</f>
        <v/>
      </c>
      <c r="AH22" s="30" t="str" cm="1">
        <f t="array" ref="AH22">IF(Table21215[[#This Row],[10]]="","",Table21215[[#This Row],[Weight]:[Weight]]-(Table21215[[#This Row],[Weight]:[Weight]]*((_xlfn.XMATCH(Table21215[[#This Row],[10]],Table21215[[#This Row],[1]:[11]],0))-1)/(COUNTA(Table21215[[#This Row],[1]:[11]])-COUNTBLANK(Table21215[[#This Row],[1]:[11]])-1)))</f>
        <v/>
      </c>
      <c r="AI22" s="30" t="str" cm="1">
        <f t="array" ref="AI22">IF(Table21215[[#This Row],[11]]="","",Table21215[[#This Row],[Weight]:[Weight]]-(Table21215[[#This Row],[Weight]:[Weight]]*((_xlfn.XMATCH(Table21215[[#This Row],[11]],Table21215[[#This Row],[1]:[11]],0))-1)/(COUNTA(Table21215[[#This Row],[1]:[11]])-COUNTBLANK(Table21215[[#This Row],[1]:[11]])-1)))</f>
        <v/>
      </c>
    </row>
    <row r="23" spans="1:35" ht="108" x14ac:dyDescent="0.2">
      <c r="A23" s="20">
        <v>11</v>
      </c>
      <c r="B23" s="165" t="s">
        <v>840</v>
      </c>
      <c r="C23" s="21" t="s">
        <v>826</v>
      </c>
      <c r="D23" s="38"/>
      <c r="E23" s="38"/>
      <c r="F23" s="87" t="s">
        <v>60</v>
      </c>
      <c r="G23" s="160" cm="1">
        <f t="array" ref="G23">_xlfn.IFS(F23="","",F23="No interest",0,F23="Nice to have",1,F23="Useful",2,F23="Important",3,F23="Very important",4,F23="Critical",5,F23="Show stopper",6)</f>
        <v>6</v>
      </c>
      <c r="H23" s="161">
        <f t="shared" si="1"/>
        <v>4.7656870532168391E-3</v>
      </c>
      <c r="I23" s="157" t="s">
        <v>827</v>
      </c>
      <c r="J23" s="35" t="str" cm="1">
        <f t="array" ref="J23">_xlfn.TEXTJOIN(","&amp;CHAR(10),,TEXT(Table21215[[#This Row],[12]:[22]],"0,00%"))</f>
        <v>0,00%,
0,00%,
0,00%,
0,00%</v>
      </c>
      <c r="K23" s="36"/>
      <c r="L23" s="37" t="e">
        <f>H23-(H23*((MATCH(Table21215[[#This Row],[Evaluators Response (SELECT)]],Table21215[[#This Row],[1]:[11]],0)-1)/(COUNTA(Table21215[[#This Row],[1]:[11]])-COUNTBLANK(Table21215[[#This Row],[1]:[11]])-1)))</f>
        <v>#N/A</v>
      </c>
      <c r="M23" s="38"/>
      <c r="N23" s="29" t="s">
        <v>828</v>
      </c>
      <c r="O23" s="29" t="s">
        <v>829</v>
      </c>
      <c r="P23" s="29" t="s">
        <v>830</v>
      </c>
      <c r="Q23" s="29" t="str" cm="1">
        <f t="array" ref="Q23">IFERROR(INDEX(_xlfn.UNIQUE(TRIM(_xlfn.TEXTSPLIT(Table21215[[#This Row],[Selection Options]:[Selection Options]],","))),,Q$11),"")</f>
        <v xml:space="preserve">
 0%: Not currently supported</v>
      </c>
      <c r="R23" s="29" t="str" cm="1">
        <f t="array" ref="R23">IFERROR(INDEX(_xlfn.UNIQUE(TRIM(_xlfn.TEXTSPLIT(Table21215[[#This Row],[Selection Options]:[Selection Options]],","))),,R$11),"")</f>
        <v/>
      </c>
      <c r="S23" s="29" t="str" cm="1">
        <f t="array" ref="S23">IFERROR(INDEX(_xlfn.UNIQUE(TRIM(_xlfn.TEXTSPLIT(Table21215[[#This Row],[Selection Options]:[Selection Options]],","))),,S$11),"")</f>
        <v/>
      </c>
      <c r="T23" s="29" t="str" cm="1">
        <f t="array" ref="T23">IFERROR(INDEX(_xlfn.UNIQUE(TRIM(_xlfn.TEXTSPLIT(Table21215[[#This Row],[Selection Options]:[Selection Options]],","))),,T$11),"")</f>
        <v/>
      </c>
      <c r="U23" s="29" t="str" cm="1">
        <f t="array" ref="U23">IFERROR(INDEX(_xlfn.UNIQUE(TRIM(_xlfn.TEXTSPLIT(Table21215[[#This Row],[Selection Options]:[Selection Options]],","))),,U$11),"")</f>
        <v/>
      </c>
      <c r="V23" s="29" t="str" cm="1">
        <f t="array" ref="V23">IFERROR(INDEX(_xlfn.UNIQUE(TRIM(_xlfn.TEXTSPLIT(Table21215[[#This Row],[Selection Options]:[Selection Options]],","))),,V$11),"")</f>
        <v/>
      </c>
      <c r="W23" s="29" t="str" cm="1">
        <f t="array" ref="W23">IFERROR(INDEX(_xlfn.UNIQUE(TRIM(_xlfn.TEXTSPLIT(Table21215[[#This Row],[Selection Options]:[Selection Options]],","))),,W$11),"")</f>
        <v/>
      </c>
      <c r="X23" s="29" t="str" cm="1">
        <f t="array" ref="X23">IFERROR(INDEX(_xlfn.UNIQUE(TRIM(_xlfn.TEXTSPLIT(Table21215[[#This Row],[Selection Options]:[Selection Options]],","))),,X$11),"")</f>
        <v/>
      </c>
      <c r="Y23" s="30" cm="1">
        <f t="array" ref="Y23">IF(Table21215[[#This Row],[1]]="","",Table21215[[#This Row],[Weight]:[Weight]]-(Table21215[[#This Row],[Weight]:[Weight]]*((_xlfn.XMATCH(Table21215[[#This Row],[1]],Table21215[[#This Row],[1]:[11]],0))-1)/(COUNTA(Table21215[[#This Row],[1]:[11]])-COUNTBLANK(Table21215[[#This Row],[1]:[11]])-1)))</f>
        <v>4.7656870532168391E-3</v>
      </c>
      <c r="Z23" s="30" cm="1">
        <f t="array" ref="Z23">IF(Table21215[[#This Row],[2]]="","",Table21215[[#This Row],[Weight]:[Weight]]-(Table21215[[#This Row],[Weight]:[Weight]]*((_xlfn.XMATCH(Table21215[[#This Row],[2]],Table21215[[#This Row],[1]:[11]],0))-1)/(COUNTA(Table21215[[#This Row],[1]:[11]])-COUNTBLANK(Table21215[[#This Row],[1]:[11]])-1)))</f>
        <v>3.1771247021445594E-3</v>
      </c>
      <c r="AA23" s="30" cm="1">
        <f t="array" ref="AA23">IF(Table21215[[#This Row],[3]]="","",Table21215[[#This Row],[Weight]:[Weight]]-(Table21215[[#This Row],[Weight]:[Weight]]*((_xlfn.XMATCH(Table21215[[#This Row],[3]],Table21215[[#This Row],[1]:[11]],0))-1)/(COUNTA(Table21215[[#This Row],[1]:[11]])-COUNTBLANK(Table21215[[#This Row],[1]:[11]])-1)))</f>
        <v>1.5885623510722797E-3</v>
      </c>
      <c r="AB23" s="30" cm="1">
        <f t="array" ref="AB23">IF(Table21215[[#This Row],[4]]="","",Table21215[[#This Row],[Weight]:[Weight]]-(Table21215[[#This Row],[Weight]:[Weight]]*((_xlfn.XMATCH(Table21215[[#This Row],[4]],Table21215[[#This Row],[1]:[11]],0))-1)/(COUNTA(Table21215[[#This Row],[1]:[11]])-COUNTBLANK(Table21215[[#This Row],[1]:[11]])-1)))</f>
        <v>0</v>
      </c>
      <c r="AC23" s="30" t="str" cm="1">
        <f t="array" ref="AC23">IF(Table21215[[#This Row],[5]]="","",Table21215[[#This Row],[Weight]:[Weight]]-(Table21215[[#This Row],[Weight]:[Weight]]*((_xlfn.XMATCH(Table21215[[#This Row],[5]],Table21215[[#This Row],[1]:[11]],0))-1)/(COUNTA(Table21215[[#This Row],[1]:[11]])-COUNTBLANK(Table21215[[#This Row],[1]:[11]])-1)))</f>
        <v/>
      </c>
      <c r="AD23" s="30" t="str" cm="1">
        <f t="array" ref="AD23">IF(Table21215[[#This Row],[6]]="","",Table21215[[#This Row],[Weight]:[Weight]]-(Table21215[[#This Row],[Weight]:[Weight]]*((_xlfn.XMATCH(Table21215[[#This Row],[6]],Table21215[[#This Row],[1]:[11]],0))-1)/(COUNTA(Table21215[[#This Row],[1]:[11]])-COUNTBLANK(Table21215[[#This Row],[1]:[11]])-1)))</f>
        <v/>
      </c>
      <c r="AE23" s="30" t="str" cm="1">
        <f t="array" ref="AE23">IF(Table21215[[#This Row],[7]]="","",Table21215[[#This Row],[Weight]:[Weight]]-(Table21215[[#This Row],[Weight]:[Weight]]*((_xlfn.XMATCH(Table21215[[#This Row],[7]],Table21215[[#This Row],[1]:[11]],0))-1)/(COUNTA(Table21215[[#This Row],[1]:[11]])-COUNTBLANK(Table21215[[#This Row],[1]:[11]])-1)))</f>
        <v/>
      </c>
      <c r="AF23" s="30" t="str" cm="1">
        <f t="array" ref="AF23">IF(Table21215[[#This Row],[8]]="","",Table21215[[#This Row],[Weight]:[Weight]]-(Table21215[[#This Row],[Weight]:[Weight]]*((_xlfn.XMATCH(Table21215[[#This Row],[8]],Table21215[[#This Row],[1]:[11]],0))-1)/(COUNTA(Table21215[[#This Row],[1]:[11]])-COUNTBLANK(Table21215[[#This Row],[1]:[11]])-1)))</f>
        <v/>
      </c>
      <c r="AG23" s="30" t="str" cm="1">
        <f t="array" ref="AG23">IF(Table21215[[#This Row],[9]]="","",Table21215[[#This Row],[Weight]:[Weight]]-(Table21215[[#This Row],[Weight]:[Weight]]*((_xlfn.XMATCH(Table21215[[#This Row],[9]],Table21215[[#This Row],[1]:[11]],0))-1)/(COUNTA(Table21215[[#This Row],[1]:[11]])-COUNTBLANK(Table21215[[#This Row],[1]:[11]])-1)))</f>
        <v/>
      </c>
      <c r="AH23" s="30" t="str" cm="1">
        <f t="array" ref="AH23">IF(Table21215[[#This Row],[10]]="","",Table21215[[#This Row],[Weight]:[Weight]]-(Table21215[[#This Row],[Weight]:[Weight]]*((_xlfn.XMATCH(Table21215[[#This Row],[10]],Table21215[[#This Row],[1]:[11]],0))-1)/(COUNTA(Table21215[[#This Row],[1]:[11]])-COUNTBLANK(Table21215[[#This Row],[1]:[11]])-1)))</f>
        <v/>
      </c>
      <c r="AI23" s="30" t="str" cm="1">
        <f t="array" ref="AI23">IF(Table21215[[#This Row],[11]]="","",Table21215[[#This Row],[Weight]:[Weight]]-(Table21215[[#This Row],[Weight]:[Weight]]*((_xlfn.XMATCH(Table21215[[#This Row],[11]],Table21215[[#This Row],[1]:[11]],0))-1)/(COUNTA(Table21215[[#This Row],[1]:[11]])-COUNTBLANK(Table21215[[#This Row],[1]:[11]])-1)))</f>
        <v/>
      </c>
    </row>
    <row r="24" spans="1:35" ht="108" x14ac:dyDescent="0.2">
      <c r="A24" s="20">
        <v>12</v>
      </c>
      <c r="B24" s="165" t="s">
        <v>841</v>
      </c>
      <c r="C24" s="21" t="s">
        <v>826</v>
      </c>
      <c r="D24" s="38"/>
      <c r="E24" s="38"/>
      <c r="F24" s="87" t="s">
        <v>60</v>
      </c>
      <c r="G24" s="160" cm="1">
        <f t="array" ref="G24">_xlfn.IFS(F24="","",F24="No interest",0,F24="Nice to have",1,F24="Useful",2,F24="Important",3,F24="Very important",4,F24="Critical",5,F24="Show stopper",6)</f>
        <v>6</v>
      </c>
      <c r="H24" s="161">
        <f t="shared" si="1"/>
        <v>4.7656870532168391E-3</v>
      </c>
      <c r="I24" s="157" t="s">
        <v>827</v>
      </c>
      <c r="J24" s="35" t="str" cm="1">
        <f t="array" ref="J24">_xlfn.TEXTJOIN(","&amp;CHAR(10),,TEXT(Table21215[[#This Row],[12]:[22]],"0,00%"))</f>
        <v>0,00%,
0,00%,
0,00%,
0,00%</v>
      </c>
      <c r="K24" s="36"/>
      <c r="L24" s="37" t="e">
        <f>H24-(H24*((MATCH(Table21215[[#This Row],[Evaluators Response (SELECT)]],Table21215[[#This Row],[1]:[11]],0)-1)/(COUNTA(Table21215[[#This Row],[1]:[11]])-COUNTBLANK(Table21215[[#This Row],[1]:[11]])-1)))</f>
        <v>#N/A</v>
      </c>
      <c r="M24" s="38"/>
      <c r="N24" s="29" t="s">
        <v>828</v>
      </c>
      <c r="O24" s="29" t="s">
        <v>829</v>
      </c>
      <c r="P24" s="29" t="s">
        <v>830</v>
      </c>
      <c r="Q24" s="29" t="str" cm="1">
        <f t="array" ref="Q24">IFERROR(INDEX(_xlfn.UNIQUE(TRIM(_xlfn.TEXTSPLIT(Table21215[[#This Row],[Selection Options]:[Selection Options]],","))),,Q$11),"")</f>
        <v xml:space="preserve">
 0%: Not currently supported</v>
      </c>
      <c r="R24" s="29" t="str" cm="1">
        <f t="array" ref="R24">IFERROR(INDEX(_xlfn.UNIQUE(TRIM(_xlfn.TEXTSPLIT(Table21215[[#This Row],[Selection Options]:[Selection Options]],","))),,R$11),"")</f>
        <v/>
      </c>
      <c r="S24" s="29" t="str" cm="1">
        <f t="array" ref="S24">IFERROR(INDEX(_xlfn.UNIQUE(TRIM(_xlfn.TEXTSPLIT(Table21215[[#This Row],[Selection Options]:[Selection Options]],","))),,S$11),"")</f>
        <v/>
      </c>
      <c r="T24" s="29" t="str" cm="1">
        <f t="array" ref="T24">IFERROR(INDEX(_xlfn.UNIQUE(TRIM(_xlfn.TEXTSPLIT(Table21215[[#This Row],[Selection Options]:[Selection Options]],","))),,T$11),"")</f>
        <v/>
      </c>
      <c r="U24" s="29" t="str" cm="1">
        <f t="array" ref="U24">IFERROR(INDEX(_xlfn.UNIQUE(TRIM(_xlfn.TEXTSPLIT(Table21215[[#This Row],[Selection Options]:[Selection Options]],","))),,U$11),"")</f>
        <v/>
      </c>
      <c r="V24" s="29" t="str" cm="1">
        <f t="array" ref="V24">IFERROR(INDEX(_xlfn.UNIQUE(TRIM(_xlfn.TEXTSPLIT(Table21215[[#This Row],[Selection Options]:[Selection Options]],","))),,V$11),"")</f>
        <v/>
      </c>
      <c r="W24" s="29" t="str" cm="1">
        <f t="array" ref="W24">IFERROR(INDEX(_xlfn.UNIQUE(TRIM(_xlfn.TEXTSPLIT(Table21215[[#This Row],[Selection Options]:[Selection Options]],","))),,W$11),"")</f>
        <v/>
      </c>
      <c r="X24" s="29" t="str" cm="1">
        <f t="array" ref="X24">IFERROR(INDEX(_xlfn.UNIQUE(TRIM(_xlfn.TEXTSPLIT(Table21215[[#This Row],[Selection Options]:[Selection Options]],","))),,X$11),"")</f>
        <v/>
      </c>
      <c r="Y24" s="30" cm="1">
        <f t="array" ref="Y24">IF(Table21215[[#This Row],[1]]="","",Table21215[[#This Row],[Weight]:[Weight]]-(Table21215[[#This Row],[Weight]:[Weight]]*((_xlfn.XMATCH(Table21215[[#This Row],[1]],Table21215[[#This Row],[1]:[11]],0))-1)/(COUNTA(Table21215[[#This Row],[1]:[11]])-COUNTBLANK(Table21215[[#This Row],[1]:[11]])-1)))</f>
        <v>4.7656870532168391E-3</v>
      </c>
      <c r="Z24" s="30" cm="1">
        <f t="array" ref="Z24">IF(Table21215[[#This Row],[2]]="","",Table21215[[#This Row],[Weight]:[Weight]]-(Table21215[[#This Row],[Weight]:[Weight]]*((_xlfn.XMATCH(Table21215[[#This Row],[2]],Table21215[[#This Row],[1]:[11]],0))-1)/(COUNTA(Table21215[[#This Row],[1]:[11]])-COUNTBLANK(Table21215[[#This Row],[1]:[11]])-1)))</f>
        <v>3.1771247021445594E-3</v>
      </c>
      <c r="AA24" s="30" cm="1">
        <f t="array" ref="AA24">IF(Table21215[[#This Row],[3]]="","",Table21215[[#This Row],[Weight]:[Weight]]-(Table21215[[#This Row],[Weight]:[Weight]]*((_xlfn.XMATCH(Table21215[[#This Row],[3]],Table21215[[#This Row],[1]:[11]],0))-1)/(COUNTA(Table21215[[#This Row],[1]:[11]])-COUNTBLANK(Table21215[[#This Row],[1]:[11]])-1)))</f>
        <v>1.5885623510722797E-3</v>
      </c>
      <c r="AB24" s="30" cm="1">
        <f t="array" ref="AB24">IF(Table21215[[#This Row],[4]]="","",Table21215[[#This Row],[Weight]:[Weight]]-(Table21215[[#This Row],[Weight]:[Weight]]*((_xlfn.XMATCH(Table21215[[#This Row],[4]],Table21215[[#This Row],[1]:[11]],0))-1)/(COUNTA(Table21215[[#This Row],[1]:[11]])-COUNTBLANK(Table21215[[#This Row],[1]:[11]])-1)))</f>
        <v>0</v>
      </c>
      <c r="AC24" s="30" t="str" cm="1">
        <f t="array" ref="AC24">IF(Table21215[[#This Row],[5]]="","",Table21215[[#This Row],[Weight]:[Weight]]-(Table21215[[#This Row],[Weight]:[Weight]]*((_xlfn.XMATCH(Table21215[[#This Row],[5]],Table21215[[#This Row],[1]:[11]],0))-1)/(COUNTA(Table21215[[#This Row],[1]:[11]])-COUNTBLANK(Table21215[[#This Row],[1]:[11]])-1)))</f>
        <v/>
      </c>
      <c r="AD24" s="30" t="str" cm="1">
        <f t="array" ref="AD24">IF(Table21215[[#This Row],[6]]="","",Table21215[[#This Row],[Weight]:[Weight]]-(Table21215[[#This Row],[Weight]:[Weight]]*((_xlfn.XMATCH(Table21215[[#This Row],[6]],Table21215[[#This Row],[1]:[11]],0))-1)/(COUNTA(Table21215[[#This Row],[1]:[11]])-COUNTBLANK(Table21215[[#This Row],[1]:[11]])-1)))</f>
        <v/>
      </c>
      <c r="AE24" s="30" t="str" cm="1">
        <f t="array" ref="AE24">IF(Table21215[[#This Row],[7]]="","",Table21215[[#This Row],[Weight]:[Weight]]-(Table21215[[#This Row],[Weight]:[Weight]]*((_xlfn.XMATCH(Table21215[[#This Row],[7]],Table21215[[#This Row],[1]:[11]],0))-1)/(COUNTA(Table21215[[#This Row],[1]:[11]])-COUNTBLANK(Table21215[[#This Row],[1]:[11]])-1)))</f>
        <v/>
      </c>
      <c r="AF24" s="30" t="str" cm="1">
        <f t="array" ref="AF24">IF(Table21215[[#This Row],[8]]="","",Table21215[[#This Row],[Weight]:[Weight]]-(Table21215[[#This Row],[Weight]:[Weight]]*((_xlfn.XMATCH(Table21215[[#This Row],[8]],Table21215[[#This Row],[1]:[11]],0))-1)/(COUNTA(Table21215[[#This Row],[1]:[11]])-COUNTBLANK(Table21215[[#This Row],[1]:[11]])-1)))</f>
        <v/>
      </c>
      <c r="AG24" s="30" t="str" cm="1">
        <f t="array" ref="AG24">IF(Table21215[[#This Row],[9]]="","",Table21215[[#This Row],[Weight]:[Weight]]-(Table21215[[#This Row],[Weight]:[Weight]]*((_xlfn.XMATCH(Table21215[[#This Row],[9]],Table21215[[#This Row],[1]:[11]],0))-1)/(COUNTA(Table21215[[#This Row],[1]:[11]])-COUNTBLANK(Table21215[[#This Row],[1]:[11]])-1)))</f>
        <v/>
      </c>
      <c r="AH24" s="30" t="str" cm="1">
        <f t="array" ref="AH24">IF(Table21215[[#This Row],[10]]="","",Table21215[[#This Row],[Weight]:[Weight]]-(Table21215[[#This Row],[Weight]:[Weight]]*((_xlfn.XMATCH(Table21215[[#This Row],[10]],Table21215[[#This Row],[1]:[11]],0))-1)/(COUNTA(Table21215[[#This Row],[1]:[11]])-COUNTBLANK(Table21215[[#This Row],[1]:[11]])-1)))</f>
        <v/>
      </c>
      <c r="AI24" s="30" t="str" cm="1">
        <f t="array" ref="AI24">IF(Table21215[[#This Row],[11]]="","",Table21215[[#This Row],[Weight]:[Weight]]-(Table21215[[#This Row],[Weight]:[Weight]]*((_xlfn.XMATCH(Table21215[[#This Row],[11]],Table21215[[#This Row],[1]:[11]],0))-1)/(COUNTA(Table21215[[#This Row],[1]:[11]])-COUNTBLANK(Table21215[[#This Row],[1]:[11]])-1)))</f>
        <v/>
      </c>
    </row>
    <row r="25" spans="1:35" ht="108" x14ac:dyDescent="0.2">
      <c r="A25" s="20">
        <v>13</v>
      </c>
      <c r="B25" s="165" t="s">
        <v>842</v>
      </c>
      <c r="C25" s="21" t="s">
        <v>826</v>
      </c>
      <c r="D25" s="38"/>
      <c r="E25" s="38"/>
      <c r="F25" s="87" t="s">
        <v>188</v>
      </c>
      <c r="G25" s="160" cm="1">
        <f t="array" ref="G25">_xlfn.IFS(F25="","",F25="No interest",0,F25="Nice to have",1,F25="Useful",2,F25="Important",3,F25="Very important",4,F25="Critical",5,F25="Show stopper",6)</f>
        <v>5</v>
      </c>
      <c r="H25" s="161">
        <f t="shared" si="1"/>
        <v>3.9714058776806989E-3</v>
      </c>
      <c r="I25" s="157" t="s">
        <v>827</v>
      </c>
      <c r="J25" s="35" t="str" cm="1">
        <f t="array" ref="J25">_xlfn.TEXTJOIN(","&amp;CHAR(10),,TEXT(Table21215[[#This Row],[12]:[22]],"0,00%"))</f>
        <v>0,00%,
0,00%,
0,00%,
0,00%</v>
      </c>
      <c r="K25" s="36"/>
      <c r="L25" s="37" t="e">
        <f>H25-(H25*((MATCH(Table21215[[#This Row],[Evaluators Response (SELECT)]],Table21215[[#This Row],[1]:[11]],0)-1)/(COUNTA(Table21215[[#This Row],[1]:[11]])-COUNTBLANK(Table21215[[#This Row],[1]:[11]])-1)))</f>
        <v>#N/A</v>
      </c>
      <c r="M25" s="38"/>
      <c r="N25" s="29" t="s">
        <v>828</v>
      </c>
      <c r="O25" s="29" t="s">
        <v>829</v>
      </c>
      <c r="P25" s="29" t="s">
        <v>830</v>
      </c>
      <c r="Q25" s="29" t="str" cm="1">
        <f t="array" ref="Q25">IFERROR(INDEX(_xlfn.UNIQUE(TRIM(_xlfn.TEXTSPLIT(Table21215[[#This Row],[Selection Options]:[Selection Options]],","))),,Q$11),"")</f>
        <v xml:space="preserve">
 0%: Not currently supported</v>
      </c>
      <c r="R25" s="29" t="str" cm="1">
        <f t="array" ref="R25">IFERROR(INDEX(_xlfn.UNIQUE(TRIM(_xlfn.TEXTSPLIT(Table21215[[#This Row],[Selection Options]:[Selection Options]],","))),,R$11),"")</f>
        <v/>
      </c>
      <c r="S25" s="29" t="str" cm="1">
        <f t="array" ref="S25">IFERROR(INDEX(_xlfn.UNIQUE(TRIM(_xlfn.TEXTSPLIT(Table21215[[#This Row],[Selection Options]:[Selection Options]],","))),,S$11),"")</f>
        <v/>
      </c>
      <c r="T25" s="29" t="str" cm="1">
        <f t="array" ref="T25">IFERROR(INDEX(_xlfn.UNIQUE(TRIM(_xlfn.TEXTSPLIT(Table21215[[#This Row],[Selection Options]:[Selection Options]],","))),,T$11),"")</f>
        <v/>
      </c>
      <c r="U25" s="29" t="str" cm="1">
        <f t="array" ref="U25">IFERROR(INDEX(_xlfn.UNIQUE(TRIM(_xlfn.TEXTSPLIT(Table21215[[#This Row],[Selection Options]:[Selection Options]],","))),,U$11),"")</f>
        <v/>
      </c>
      <c r="V25" s="29" t="str" cm="1">
        <f t="array" ref="V25">IFERROR(INDEX(_xlfn.UNIQUE(TRIM(_xlfn.TEXTSPLIT(Table21215[[#This Row],[Selection Options]:[Selection Options]],","))),,V$11),"")</f>
        <v/>
      </c>
      <c r="W25" s="29" t="str" cm="1">
        <f t="array" ref="W25">IFERROR(INDEX(_xlfn.UNIQUE(TRIM(_xlfn.TEXTSPLIT(Table21215[[#This Row],[Selection Options]:[Selection Options]],","))),,W$11),"")</f>
        <v/>
      </c>
      <c r="X25" s="29" t="str" cm="1">
        <f t="array" ref="X25">IFERROR(INDEX(_xlfn.UNIQUE(TRIM(_xlfn.TEXTSPLIT(Table21215[[#This Row],[Selection Options]:[Selection Options]],","))),,X$11),"")</f>
        <v/>
      </c>
      <c r="Y25" s="30" cm="1">
        <f t="array" ref="Y25">IF(Table21215[[#This Row],[1]]="","",Table21215[[#This Row],[Weight]:[Weight]]-(Table21215[[#This Row],[Weight]:[Weight]]*((_xlfn.XMATCH(Table21215[[#This Row],[1]],Table21215[[#This Row],[1]:[11]],0))-1)/(COUNTA(Table21215[[#This Row],[1]:[11]])-COUNTBLANK(Table21215[[#This Row],[1]:[11]])-1)))</f>
        <v>3.9714058776806989E-3</v>
      </c>
      <c r="Z25" s="30" cm="1">
        <f t="array" ref="Z25">IF(Table21215[[#This Row],[2]]="","",Table21215[[#This Row],[Weight]:[Weight]]-(Table21215[[#This Row],[Weight]:[Weight]]*((_xlfn.XMATCH(Table21215[[#This Row],[2]],Table21215[[#This Row],[1]:[11]],0))-1)/(COUNTA(Table21215[[#This Row],[1]:[11]])-COUNTBLANK(Table21215[[#This Row],[1]:[11]])-1)))</f>
        <v>2.6476039184537992E-3</v>
      </c>
      <c r="AA25" s="30" cm="1">
        <f t="array" ref="AA25">IF(Table21215[[#This Row],[3]]="","",Table21215[[#This Row],[Weight]:[Weight]]-(Table21215[[#This Row],[Weight]:[Weight]]*((_xlfn.XMATCH(Table21215[[#This Row],[3]],Table21215[[#This Row],[1]:[11]],0))-1)/(COUNTA(Table21215[[#This Row],[1]:[11]])-COUNTBLANK(Table21215[[#This Row],[1]:[11]])-1)))</f>
        <v>1.3238019592268996E-3</v>
      </c>
      <c r="AB25" s="30" cm="1">
        <f t="array" ref="AB25">IF(Table21215[[#This Row],[4]]="","",Table21215[[#This Row],[Weight]:[Weight]]-(Table21215[[#This Row],[Weight]:[Weight]]*((_xlfn.XMATCH(Table21215[[#This Row],[4]],Table21215[[#This Row],[1]:[11]],0))-1)/(COUNTA(Table21215[[#This Row],[1]:[11]])-COUNTBLANK(Table21215[[#This Row],[1]:[11]])-1)))</f>
        <v>0</v>
      </c>
      <c r="AC25" s="30" t="str" cm="1">
        <f t="array" ref="AC25">IF(Table21215[[#This Row],[5]]="","",Table21215[[#This Row],[Weight]:[Weight]]-(Table21215[[#This Row],[Weight]:[Weight]]*((_xlfn.XMATCH(Table21215[[#This Row],[5]],Table21215[[#This Row],[1]:[11]],0))-1)/(COUNTA(Table21215[[#This Row],[1]:[11]])-COUNTBLANK(Table21215[[#This Row],[1]:[11]])-1)))</f>
        <v/>
      </c>
      <c r="AD25" s="30" t="str" cm="1">
        <f t="array" ref="AD25">IF(Table21215[[#This Row],[6]]="","",Table21215[[#This Row],[Weight]:[Weight]]-(Table21215[[#This Row],[Weight]:[Weight]]*((_xlfn.XMATCH(Table21215[[#This Row],[6]],Table21215[[#This Row],[1]:[11]],0))-1)/(COUNTA(Table21215[[#This Row],[1]:[11]])-COUNTBLANK(Table21215[[#This Row],[1]:[11]])-1)))</f>
        <v/>
      </c>
      <c r="AE25" s="30" t="str" cm="1">
        <f t="array" ref="AE25">IF(Table21215[[#This Row],[7]]="","",Table21215[[#This Row],[Weight]:[Weight]]-(Table21215[[#This Row],[Weight]:[Weight]]*((_xlfn.XMATCH(Table21215[[#This Row],[7]],Table21215[[#This Row],[1]:[11]],0))-1)/(COUNTA(Table21215[[#This Row],[1]:[11]])-COUNTBLANK(Table21215[[#This Row],[1]:[11]])-1)))</f>
        <v/>
      </c>
      <c r="AF25" s="30" t="str" cm="1">
        <f t="array" ref="AF25">IF(Table21215[[#This Row],[8]]="","",Table21215[[#This Row],[Weight]:[Weight]]-(Table21215[[#This Row],[Weight]:[Weight]]*((_xlfn.XMATCH(Table21215[[#This Row],[8]],Table21215[[#This Row],[1]:[11]],0))-1)/(COUNTA(Table21215[[#This Row],[1]:[11]])-COUNTBLANK(Table21215[[#This Row],[1]:[11]])-1)))</f>
        <v/>
      </c>
      <c r="AG25" s="30" t="str" cm="1">
        <f t="array" ref="AG25">IF(Table21215[[#This Row],[9]]="","",Table21215[[#This Row],[Weight]:[Weight]]-(Table21215[[#This Row],[Weight]:[Weight]]*((_xlfn.XMATCH(Table21215[[#This Row],[9]],Table21215[[#This Row],[1]:[11]],0))-1)/(COUNTA(Table21215[[#This Row],[1]:[11]])-COUNTBLANK(Table21215[[#This Row],[1]:[11]])-1)))</f>
        <v/>
      </c>
      <c r="AH25" s="30" t="str" cm="1">
        <f t="array" ref="AH25">IF(Table21215[[#This Row],[10]]="","",Table21215[[#This Row],[Weight]:[Weight]]-(Table21215[[#This Row],[Weight]:[Weight]]*((_xlfn.XMATCH(Table21215[[#This Row],[10]],Table21215[[#This Row],[1]:[11]],0))-1)/(COUNTA(Table21215[[#This Row],[1]:[11]])-COUNTBLANK(Table21215[[#This Row],[1]:[11]])-1)))</f>
        <v/>
      </c>
      <c r="AI25" s="30" t="str" cm="1">
        <f t="array" ref="AI25">IF(Table21215[[#This Row],[11]]="","",Table21215[[#This Row],[Weight]:[Weight]]-(Table21215[[#This Row],[Weight]:[Weight]]*((_xlfn.XMATCH(Table21215[[#This Row],[11]],Table21215[[#This Row],[1]:[11]],0))-1)/(COUNTA(Table21215[[#This Row],[1]:[11]])-COUNTBLANK(Table21215[[#This Row],[1]:[11]])-1)))</f>
        <v/>
      </c>
    </row>
    <row r="26" spans="1:35" ht="108" x14ac:dyDescent="0.2">
      <c r="A26" s="20">
        <v>14</v>
      </c>
      <c r="B26" s="165" t="s">
        <v>843</v>
      </c>
      <c r="C26" s="21" t="s">
        <v>826</v>
      </c>
      <c r="D26" s="38"/>
      <c r="E26" s="38"/>
      <c r="F26" s="159" t="s">
        <v>188</v>
      </c>
      <c r="G26" s="160" cm="1">
        <f t="array" ref="G26">_xlfn.IFS(F26="","",F26="No interest",0,F26="Nice to have",1,F26="Useful",2,F26="Important",3,F26="Very important",4,F26="Critical",5,F26="Show stopper",6)</f>
        <v>5</v>
      </c>
      <c r="H26" s="161">
        <f t="shared" si="1"/>
        <v>3.9714058776806989E-3</v>
      </c>
      <c r="I26" s="157" t="s">
        <v>827</v>
      </c>
      <c r="J26" s="35" t="str" cm="1">
        <f t="array" ref="J26">_xlfn.TEXTJOIN(","&amp;CHAR(10),,TEXT(Table21215[[#This Row],[12]:[22]],"0,00%"))</f>
        <v>0,00%,
0,00%,
0,00%,
0,00%</v>
      </c>
      <c r="K26" s="36"/>
      <c r="L26" s="37" t="e">
        <f>H26-(H26*((MATCH(Table21215[[#This Row],[Evaluators Response (SELECT)]],Table21215[[#This Row],[1]:[11]],0)-1)/(COUNTA(Table21215[[#This Row],[1]:[11]])-COUNTBLANK(Table21215[[#This Row],[1]:[11]])-1)))</f>
        <v>#N/A</v>
      </c>
      <c r="M26" s="38"/>
      <c r="N26" s="29" t="s">
        <v>828</v>
      </c>
      <c r="O26" s="29" t="s">
        <v>829</v>
      </c>
      <c r="P26" s="29" t="s">
        <v>830</v>
      </c>
      <c r="Q26" s="29" t="str" cm="1">
        <f t="array" ref="Q26">IFERROR(INDEX(_xlfn.UNIQUE(TRIM(_xlfn.TEXTSPLIT(Table21215[[#This Row],[Selection Options]:[Selection Options]],","))),,Q$11),"")</f>
        <v xml:space="preserve">
 0%: Not currently supported</v>
      </c>
      <c r="R26" s="29" t="str" cm="1">
        <f t="array" ref="R26">IFERROR(INDEX(_xlfn.UNIQUE(TRIM(_xlfn.TEXTSPLIT(Table21215[[#This Row],[Selection Options]:[Selection Options]],","))),,R$11),"")</f>
        <v/>
      </c>
      <c r="S26" s="29" t="str" cm="1">
        <f t="array" ref="S26">IFERROR(INDEX(_xlfn.UNIQUE(TRIM(_xlfn.TEXTSPLIT(Table21215[[#This Row],[Selection Options]:[Selection Options]],","))),,S$11),"")</f>
        <v/>
      </c>
      <c r="T26" s="29" t="str" cm="1">
        <f t="array" ref="T26">IFERROR(INDEX(_xlfn.UNIQUE(TRIM(_xlfn.TEXTSPLIT(Table21215[[#This Row],[Selection Options]:[Selection Options]],","))),,T$11),"")</f>
        <v/>
      </c>
      <c r="U26" s="29" t="str" cm="1">
        <f t="array" ref="U26">IFERROR(INDEX(_xlfn.UNIQUE(TRIM(_xlfn.TEXTSPLIT(Table21215[[#This Row],[Selection Options]:[Selection Options]],","))),,U$11),"")</f>
        <v/>
      </c>
      <c r="V26" s="29" t="str" cm="1">
        <f t="array" ref="V26">IFERROR(INDEX(_xlfn.UNIQUE(TRIM(_xlfn.TEXTSPLIT(Table21215[[#This Row],[Selection Options]:[Selection Options]],","))),,V$11),"")</f>
        <v/>
      </c>
      <c r="W26" s="29" t="str" cm="1">
        <f t="array" ref="W26">IFERROR(INDEX(_xlfn.UNIQUE(TRIM(_xlfn.TEXTSPLIT(Table21215[[#This Row],[Selection Options]:[Selection Options]],","))),,W$11),"")</f>
        <v/>
      </c>
      <c r="X26" s="29" t="str" cm="1">
        <f t="array" ref="X26">IFERROR(INDEX(_xlfn.UNIQUE(TRIM(_xlfn.TEXTSPLIT(Table21215[[#This Row],[Selection Options]:[Selection Options]],","))),,X$11),"")</f>
        <v/>
      </c>
      <c r="Y26" s="30" cm="1">
        <f t="array" ref="Y26">IF(Table21215[[#This Row],[1]]="","",Table21215[[#This Row],[Weight]:[Weight]]-(Table21215[[#This Row],[Weight]:[Weight]]*((_xlfn.XMATCH(Table21215[[#This Row],[1]],Table21215[[#This Row],[1]:[11]],0))-1)/(COUNTA(Table21215[[#This Row],[1]:[11]])-COUNTBLANK(Table21215[[#This Row],[1]:[11]])-1)))</f>
        <v>3.9714058776806989E-3</v>
      </c>
      <c r="Z26" s="30" cm="1">
        <f t="array" ref="Z26">IF(Table21215[[#This Row],[2]]="","",Table21215[[#This Row],[Weight]:[Weight]]-(Table21215[[#This Row],[Weight]:[Weight]]*((_xlfn.XMATCH(Table21215[[#This Row],[2]],Table21215[[#This Row],[1]:[11]],0))-1)/(COUNTA(Table21215[[#This Row],[1]:[11]])-COUNTBLANK(Table21215[[#This Row],[1]:[11]])-1)))</f>
        <v>2.6476039184537992E-3</v>
      </c>
      <c r="AA26" s="30" cm="1">
        <f t="array" ref="AA26">IF(Table21215[[#This Row],[3]]="","",Table21215[[#This Row],[Weight]:[Weight]]-(Table21215[[#This Row],[Weight]:[Weight]]*((_xlfn.XMATCH(Table21215[[#This Row],[3]],Table21215[[#This Row],[1]:[11]],0))-1)/(COUNTA(Table21215[[#This Row],[1]:[11]])-COUNTBLANK(Table21215[[#This Row],[1]:[11]])-1)))</f>
        <v>1.3238019592268996E-3</v>
      </c>
      <c r="AB26" s="30" cm="1">
        <f t="array" ref="AB26">IF(Table21215[[#This Row],[4]]="","",Table21215[[#This Row],[Weight]:[Weight]]-(Table21215[[#This Row],[Weight]:[Weight]]*((_xlfn.XMATCH(Table21215[[#This Row],[4]],Table21215[[#This Row],[1]:[11]],0))-1)/(COUNTA(Table21215[[#This Row],[1]:[11]])-COUNTBLANK(Table21215[[#This Row],[1]:[11]])-1)))</f>
        <v>0</v>
      </c>
      <c r="AC26" s="30" t="str" cm="1">
        <f t="array" ref="AC26">IF(Table21215[[#This Row],[5]]="","",Table21215[[#This Row],[Weight]:[Weight]]-(Table21215[[#This Row],[Weight]:[Weight]]*((_xlfn.XMATCH(Table21215[[#This Row],[5]],Table21215[[#This Row],[1]:[11]],0))-1)/(COUNTA(Table21215[[#This Row],[1]:[11]])-COUNTBLANK(Table21215[[#This Row],[1]:[11]])-1)))</f>
        <v/>
      </c>
      <c r="AD26" s="30" t="str" cm="1">
        <f t="array" ref="AD26">IF(Table21215[[#This Row],[6]]="","",Table21215[[#This Row],[Weight]:[Weight]]-(Table21215[[#This Row],[Weight]:[Weight]]*((_xlfn.XMATCH(Table21215[[#This Row],[6]],Table21215[[#This Row],[1]:[11]],0))-1)/(COUNTA(Table21215[[#This Row],[1]:[11]])-COUNTBLANK(Table21215[[#This Row],[1]:[11]])-1)))</f>
        <v/>
      </c>
      <c r="AE26" s="30" t="str" cm="1">
        <f t="array" ref="AE26">IF(Table21215[[#This Row],[7]]="","",Table21215[[#This Row],[Weight]:[Weight]]-(Table21215[[#This Row],[Weight]:[Weight]]*((_xlfn.XMATCH(Table21215[[#This Row],[7]],Table21215[[#This Row],[1]:[11]],0))-1)/(COUNTA(Table21215[[#This Row],[1]:[11]])-COUNTBLANK(Table21215[[#This Row],[1]:[11]])-1)))</f>
        <v/>
      </c>
      <c r="AF26" s="30" t="str" cm="1">
        <f t="array" ref="AF26">IF(Table21215[[#This Row],[8]]="","",Table21215[[#This Row],[Weight]:[Weight]]-(Table21215[[#This Row],[Weight]:[Weight]]*((_xlfn.XMATCH(Table21215[[#This Row],[8]],Table21215[[#This Row],[1]:[11]],0))-1)/(COUNTA(Table21215[[#This Row],[1]:[11]])-COUNTBLANK(Table21215[[#This Row],[1]:[11]])-1)))</f>
        <v/>
      </c>
      <c r="AG26" s="30" t="str" cm="1">
        <f t="array" ref="AG26">IF(Table21215[[#This Row],[9]]="","",Table21215[[#This Row],[Weight]:[Weight]]-(Table21215[[#This Row],[Weight]:[Weight]]*((_xlfn.XMATCH(Table21215[[#This Row],[9]],Table21215[[#This Row],[1]:[11]],0))-1)/(COUNTA(Table21215[[#This Row],[1]:[11]])-COUNTBLANK(Table21215[[#This Row],[1]:[11]])-1)))</f>
        <v/>
      </c>
      <c r="AH26" s="30" t="str" cm="1">
        <f t="array" ref="AH26">IF(Table21215[[#This Row],[10]]="","",Table21215[[#This Row],[Weight]:[Weight]]-(Table21215[[#This Row],[Weight]:[Weight]]*((_xlfn.XMATCH(Table21215[[#This Row],[10]],Table21215[[#This Row],[1]:[11]],0))-1)/(COUNTA(Table21215[[#This Row],[1]:[11]])-COUNTBLANK(Table21215[[#This Row],[1]:[11]])-1)))</f>
        <v/>
      </c>
      <c r="AI26" s="30" t="str" cm="1">
        <f t="array" ref="AI26">IF(Table21215[[#This Row],[11]]="","",Table21215[[#This Row],[Weight]:[Weight]]-(Table21215[[#This Row],[Weight]:[Weight]]*((_xlfn.XMATCH(Table21215[[#This Row],[11]],Table21215[[#This Row],[1]:[11]],0))-1)/(COUNTA(Table21215[[#This Row],[1]:[11]])-COUNTBLANK(Table21215[[#This Row],[1]:[11]])-1)))</f>
        <v/>
      </c>
    </row>
    <row r="27" spans="1:35" ht="108" x14ac:dyDescent="0.2">
      <c r="A27" s="20">
        <v>15</v>
      </c>
      <c r="B27" s="165" t="s">
        <v>844</v>
      </c>
      <c r="C27" s="21" t="s">
        <v>826</v>
      </c>
      <c r="D27" s="38"/>
      <c r="E27" s="38"/>
      <c r="F27" s="159" t="s">
        <v>188</v>
      </c>
      <c r="G27" s="160" cm="1">
        <f t="array" ref="G27">_xlfn.IFS(F27="","",F27="No interest",0,F27="Nice to have",1,F27="Useful",2,F27="Important",3,F27="Very important",4,F27="Critical",5,F27="Show stopper",6)</f>
        <v>5</v>
      </c>
      <c r="H27" s="161">
        <f t="shared" ref="H27:H90" si="2">(G27/$G$11)*$F$11</f>
        <v>3.9714058776806989E-3</v>
      </c>
      <c r="I27" s="157" t="s">
        <v>827</v>
      </c>
      <c r="J27" s="35" t="str" cm="1">
        <f t="array" ref="J27">_xlfn.TEXTJOIN(","&amp;CHAR(10),,TEXT(Table21215[[#This Row],[12]:[22]],"0,00%"))</f>
        <v>0,00%,
0,00%,
0,00%,
0,00%</v>
      </c>
      <c r="K27" s="36"/>
      <c r="L27" s="37" t="e">
        <f>H27-(H27*((MATCH(Table21215[[#This Row],[Evaluators Response (SELECT)]],Table21215[[#This Row],[1]:[11]],0)-1)/(COUNTA(Table21215[[#This Row],[1]:[11]])-COUNTBLANK(Table21215[[#This Row],[1]:[11]])-1)))</f>
        <v>#N/A</v>
      </c>
      <c r="M27" s="38"/>
      <c r="N27" s="29" t="s">
        <v>828</v>
      </c>
      <c r="O27" s="29" t="s">
        <v>829</v>
      </c>
      <c r="P27" s="29" t="s">
        <v>830</v>
      </c>
      <c r="Q27" s="29" t="str" cm="1">
        <f t="array" ref="Q27">IFERROR(INDEX(_xlfn.UNIQUE(TRIM(_xlfn.TEXTSPLIT(Table21215[[#This Row],[Selection Options]:[Selection Options]],","))),,Q$11),"")</f>
        <v xml:space="preserve">
 0%: Not currently supported</v>
      </c>
      <c r="R27" s="29" t="str" cm="1">
        <f t="array" ref="R27">IFERROR(INDEX(_xlfn.UNIQUE(TRIM(_xlfn.TEXTSPLIT(Table21215[[#This Row],[Selection Options]:[Selection Options]],","))),,R$11),"")</f>
        <v/>
      </c>
      <c r="S27" s="29" t="str" cm="1">
        <f t="array" ref="S27">IFERROR(INDEX(_xlfn.UNIQUE(TRIM(_xlfn.TEXTSPLIT(Table21215[[#This Row],[Selection Options]:[Selection Options]],","))),,S$11),"")</f>
        <v/>
      </c>
      <c r="T27" s="29" t="str" cm="1">
        <f t="array" ref="T27">IFERROR(INDEX(_xlfn.UNIQUE(TRIM(_xlfn.TEXTSPLIT(Table21215[[#This Row],[Selection Options]:[Selection Options]],","))),,T$11),"")</f>
        <v/>
      </c>
      <c r="U27" s="29" t="str" cm="1">
        <f t="array" ref="U27">IFERROR(INDEX(_xlfn.UNIQUE(TRIM(_xlfn.TEXTSPLIT(Table21215[[#This Row],[Selection Options]:[Selection Options]],","))),,U$11),"")</f>
        <v/>
      </c>
      <c r="V27" s="29" t="str" cm="1">
        <f t="array" ref="V27">IFERROR(INDEX(_xlfn.UNIQUE(TRIM(_xlfn.TEXTSPLIT(Table21215[[#This Row],[Selection Options]:[Selection Options]],","))),,V$11),"")</f>
        <v/>
      </c>
      <c r="W27" s="29" t="str" cm="1">
        <f t="array" ref="W27">IFERROR(INDEX(_xlfn.UNIQUE(TRIM(_xlfn.TEXTSPLIT(Table21215[[#This Row],[Selection Options]:[Selection Options]],","))),,W$11),"")</f>
        <v/>
      </c>
      <c r="X27" s="29" t="str" cm="1">
        <f t="array" ref="X27">IFERROR(INDEX(_xlfn.UNIQUE(TRIM(_xlfn.TEXTSPLIT(Table21215[[#This Row],[Selection Options]:[Selection Options]],","))),,X$11),"")</f>
        <v/>
      </c>
      <c r="Y27" s="30" cm="1">
        <f t="array" ref="Y27">IF(Table21215[[#This Row],[1]]="","",Table21215[[#This Row],[Weight]:[Weight]]-(Table21215[[#This Row],[Weight]:[Weight]]*((_xlfn.XMATCH(Table21215[[#This Row],[1]],Table21215[[#This Row],[1]:[11]],0))-1)/(COUNTA(Table21215[[#This Row],[1]:[11]])-COUNTBLANK(Table21215[[#This Row],[1]:[11]])-1)))</f>
        <v>3.9714058776806989E-3</v>
      </c>
      <c r="Z27" s="30" cm="1">
        <f t="array" ref="Z27">IF(Table21215[[#This Row],[2]]="","",Table21215[[#This Row],[Weight]:[Weight]]-(Table21215[[#This Row],[Weight]:[Weight]]*((_xlfn.XMATCH(Table21215[[#This Row],[2]],Table21215[[#This Row],[1]:[11]],0))-1)/(COUNTA(Table21215[[#This Row],[1]:[11]])-COUNTBLANK(Table21215[[#This Row],[1]:[11]])-1)))</f>
        <v>2.6476039184537992E-3</v>
      </c>
      <c r="AA27" s="30" cm="1">
        <f t="array" ref="AA27">IF(Table21215[[#This Row],[3]]="","",Table21215[[#This Row],[Weight]:[Weight]]-(Table21215[[#This Row],[Weight]:[Weight]]*((_xlfn.XMATCH(Table21215[[#This Row],[3]],Table21215[[#This Row],[1]:[11]],0))-1)/(COUNTA(Table21215[[#This Row],[1]:[11]])-COUNTBLANK(Table21215[[#This Row],[1]:[11]])-1)))</f>
        <v>1.3238019592268996E-3</v>
      </c>
      <c r="AB27" s="30" cm="1">
        <f t="array" ref="AB27">IF(Table21215[[#This Row],[4]]="","",Table21215[[#This Row],[Weight]:[Weight]]-(Table21215[[#This Row],[Weight]:[Weight]]*((_xlfn.XMATCH(Table21215[[#This Row],[4]],Table21215[[#This Row],[1]:[11]],0))-1)/(COUNTA(Table21215[[#This Row],[1]:[11]])-COUNTBLANK(Table21215[[#This Row],[1]:[11]])-1)))</f>
        <v>0</v>
      </c>
      <c r="AC27" s="30" t="str" cm="1">
        <f t="array" ref="AC27">IF(Table21215[[#This Row],[5]]="","",Table21215[[#This Row],[Weight]:[Weight]]-(Table21215[[#This Row],[Weight]:[Weight]]*((_xlfn.XMATCH(Table21215[[#This Row],[5]],Table21215[[#This Row],[1]:[11]],0))-1)/(COUNTA(Table21215[[#This Row],[1]:[11]])-COUNTBLANK(Table21215[[#This Row],[1]:[11]])-1)))</f>
        <v/>
      </c>
      <c r="AD27" s="30" t="str" cm="1">
        <f t="array" ref="AD27">IF(Table21215[[#This Row],[6]]="","",Table21215[[#This Row],[Weight]:[Weight]]-(Table21215[[#This Row],[Weight]:[Weight]]*((_xlfn.XMATCH(Table21215[[#This Row],[6]],Table21215[[#This Row],[1]:[11]],0))-1)/(COUNTA(Table21215[[#This Row],[1]:[11]])-COUNTBLANK(Table21215[[#This Row],[1]:[11]])-1)))</f>
        <v/>
      </c>
      <c r="AE27" s="30" t="str" cm="1">
        <f t="array" ref="AE27">IF(Table21215[[#This Row],[7]]="","",Table21215[[#This Row],[Weight]:[Weight]]-(Table21215[[#This Row],[Weight]:[Weight]]*((_xlfn.XMATCH(Table21215[[#This Row],[7]],Table21215[[#This Row],[1]:[11]],0))-1)/(COUNTA(Table21215[[#This Row],[1]:[11]])-COUNTBLANK(Table21215[[#This Row],[1]:[11]])-1)))</f>
        <v/>
      </c>
      <c r="AF27" s="30" t="str" cm="1">
        <f t="array" ref="AF27">IF(Table21215[[#This Row],[8]]="","",Table21215[[#This Row],[Weight]:[Weight]]-(Table21215[[#This Row],[Weight]:[Weight]]*((_xlfn.XMATCH(Table21215[[#This Row],[8]],Table21215[[#This Row],[1]:[11]],0))-1)/(COUNTA(Table21215[[#This Row],[1]:[11]])-COUNTBLANK(Table21215[[#This Row],[1]:[11]])-1)))</f>
        <v/>
      </c>
      <c r="AG27" s="30" t="str" cm="1">
        <f t="array" ref="AG27">IF(Table21215[[#This Row],[9]]="","",Table21215[[#This Row],[Weight]:[Weight]]-(Table21215[[#This Row],[Weight]:[Weight]]*((_xlfn.XMATCH(Table21215[[#This Row],[9]],Table21215[[#This Row],[1]:[11]],0))-1)/(COUNTA(Table21215[[#This Row],[1]:[11]])-COUNTBLANK(Table21215[[#This Row],[1]:[11]])-1)))</f>
        <v/>
      </c>
      <c r="AH27" s="30" t="str" cm="1">
        <f t="array" ref="AH27">IF(Table21215[[#This Row],[10]]="","",Table21215[[#This Row],[Weight]:[Weight]]-(Table21215[[#This Row],[Weight]:[Weight]]*((_xlfn.XMATCH(Table21215[[#This Row],[10]],Table21215[[#This Row],[1]:[11]],0))-1)/(COUNTA(Table21215[[#This Row],[1]:[11]])-COUNTBLANK(Table21215[[#This Row],[1]:[11]])-1)))</f>
        <v/>
      </c>
      <c r="AI27" s="30" t="str" cm="1">
        <f t="array" ref="AI27">IF(Table21215[[#This Row],[11]]="","",Table21215[[#This Row],[Weight]:[Weight]]-(Table21215[[#This Row],[Weight]:[Weight]]*((_xlfn.XMATCH(Table21215[[#This Row],[11]],Table21215[[#This Row],[1]:[11]],0))-1)/(COUNTA(Table21215[[#This Row],[1]:[11]])-COUNTBLANK(Table21215[[#This Row],[1]:[11]])-1)))</f>
        <v/>
      </c>
    </row>
    <row r="28" spans="1:35" ht="108" x14ac:dyDescent="0.2">
      <c r="A28" s="20">
        <v>16</v>
      </c>
      <c r="B28" s="165" t="s">
        <v>845</v>
      </c>
      <c r="C28" s="21" t="s">
        <v>826</v>
      </c>
      <c r="D28" s="38"/>
      <c r="E28" s="38"/>
      <c r="F28" s="159" t="s">
        <v>188</v>
      </c>
      <c r="G28" s="160" cm="1">
        <f t="array" ref="G28">_xlfn.IFS(F28="","",F28="No interest",0,F28="Nice to have",1,F28="Useful",2,F28="Important",3,F28="Very important",4,F28="Critical",5,F28="Show stopper",6)</f>
        <v>5</v>
      </c>
      <c r="H28" s="161">
        <f t="shared" si="2"/>
        <v>3.9714058776806989E-3</v>
      </c>
      <c r="I28" s="157" t="s">
        <v>827</v>
      </c>
      <c r="J28" s="35" t="str" cm="1">
        <f t="array" ref="J28">_xlfn.TEXTJOIN(","&amp;CHAR(10),,TEXT(Table21215[[#This Row],[12]:[22]],"0,00%"))</f>
        <v>0,00%,
0,00%,
0,00%,
0,00%</v>
      </c>
      <c r="K28" s="36"/>
      <c r="L28" s="37" t="e">
        <f>H28-(H28*((MATCH(Table21215[[#This Row],[Evaluators Response (SELECT)]],Table21215[[#This Row],[1]:[11]],0)-1)/(COUNTA(Table21215[[#This Row],[1]:[11]])-COUNTBLANK(Table21215[[#This Row],[1]:[11]])-1)))</f>
        <v>#N/A</v>
      </c>
      <c r="M28" s="38"/>
      <c r="N28" s="29" t="s">
        <v>828</v>
      </c>
      <c r="O28" s="29" t="s">
        <v>829</v>
      </c>
      <c r="P28" s="29" t="s">
        <v>830</v>
      </c>
      <c r="Q28" s="29" t="str" cm="1">
        <f t="array" ref="Q28">IFERROR(INDEX(_xlfn.UNIQUE(TRIM(_xlfn.TEXTSPLIT(Table21215[[#This Row],[Selection Options]:[Selection Options]],","))),,Q$11),"")</f>
        <v xml:space="preserve">
 0%: Not currently supported</v>
      </c>
      <c r="R28" s="29" t="str" cm="1">
        <f t="array" ref="R28">IFERROR(INDEX(_xlfn.UNIQUE(TRIM(_xlfn.TEXTSPLIT(Table21215[[#This Row],[Selection Options]:[Selection Options]],","))),,R$11),"")</f>
        <v/>
      </c>
      <c r="S28" s="29" t="str" cm="1">
        <f t="array" ref="S28">IFERROR(INDEX(_xlfn.UNIQUE(TRIM(_xlfn.TEXTSPLIT(Table21215[[#This Row],[Selection Options]:[Selection Options]],","))),,S$11),"")</f>
        <v/>
      </c>
      <c r="T28" s="29" t="str" cm="1">
        <f t="array" ref="T28">IFERROR(INDEX(_xlfn.UNIQUE(TRIM(_xlfn.TEXTSPLIT(Table21215[[#This Row],[Selection Options]:[Selection Options]],","))),,T$11),"")</f>
        <v/>
      </c>
      <c r="U28" s="29" t="str" cm="1">
        <f t="array" ref="U28">IFERROR(INDEX(_xlfn.UNIQUE(TRIM(_xlfn.TEXTSPLIT(Table21215[[#This Row],[Selection Options]:[Selection Options]],","))),,U$11),"")</f>
        <v/>
      </c>
      <c r="V28" s="29" t="str" cm="1">
        <f t="array" ref="V28">IFERROR(INDEX(_xlfn.UNIQUE(TRIM(_xlfn.TEXTSPLIT(Table21215[[#This Row],[Selection Options]:[Selection Options]],","))),,V$11),"")</f>
        <v/>
      </c>
      <c r="W28" s="29" t="str" cm="1">
        <f t="array" ref="W28">IFERROR(INDEX(_xlfn.UNIQUE(TRIM(_xlfn.TEXTSPLIT(Table21215[[#This Row],[Selection Options]:[Selection Options]],","))),,W$11),"")</f>
        <v/>
      </c>
      <c r="X28" s="29" t="str" cm="1">
        <f t="array" ref="X28">IFERROR(INDEX(_xlfn.UNIQUE(TRIM(_xlfn.TEXTSPLIT(Table21215[[#This Row],[Selection Options]:[Selection Options]],","))),,X$11),"")</f>
        <v/>
      </c>
      <c r="Y28" s="30" cm="1">
        <f t="array" ref="Y28">IF(Table21215[[#This Row],[1]]="","",Table21215[[#This Row],[Weight]:[Weight]]-(Table21215[[#This Row],[Weight]:[Weight]]*((_xlfn.XMATCH(Table21215[[#This Row],[1]],Table21215[[#This Row],[1]:[11]],0))-1)/(COUNTA(Table21215[[#This Row],[1]:[11]])-COUNTBLANK(Table21215[[#This Row],[1]:[11]])-1)))</f>
        <v>3.9714058776806989E-3</v>
      </c>
      <c r="Z28" s="30" cm="1">
        <f t="array" ref="Z28">IF(Table21215[[#This Row],[2]]="","",Table21215[[#This Row],[Weight]:[Weight]]-(Table21215[[#This Row],[Weight]:[Weight]]*((_xlfn.XMATCH(Table21215[[#This Row],[2]],Table21215[[#This Row],[1]:[11]],0))-1)/(COUNTA(Table21215[[#This Row],[1]:[11]])-COUNTBLANK(Table21215[[#This Row],[1]:[11]])-1)))</f>
        <v>2.6476039184537992E-3</v>
      </c>
      <c r="AA28" s="30" cm="1">
        <f t="array" ref="AA28">IF(Table21215[[#This Row],[3]]="","",Table21215[[#This Row],[Weight]:[Weight]]-(Table21215[[#This Row],[Weight]:[Weight]]*((_xlfn.XMATCH(Table21215[[#This Row],[3]],Table21215[[#This Row],[1]:[11]],0))-1)/(COUNTA(Table21215[[#This Row],[1]:[11]])-COUNTBLANK(Table21215[[#This Row],[1]:[11]])-1)))</f>
        <v>1.3238019592268996E-3</v>
      </c>
      <c r="AB28" s="30" cm="1">
        <f t="array" ref="AB28">IF(Table21215[[#This Row],[4]]="","",Table21215[[#This Row],[Weight]:[Weight]]-(Table21215[[#This Row],[Weight]:[Weight]]*((_xlfn.XMATCH(Table21215[[#This Row],[4]],Table21215[[#This Row],[1]:[11]],0))-1)/(COUNTA(Table21215[[#This Row],[1]:[11]])-COUNTBLANK(Table21215[[#This Row],[1]:[11]])-1)))</f>
        <v>0</v>
      </c>
      <c r="AC28" s="30" t="str" cm="1">
        <f t="array" ref="AC28">IF(Table21215[[#This Row],[5]]="","",Table21215[[#This Row],[Weight]:[Weight]]-(Table21215[[#This Row],[Weight]:[Weight]]*((_xlfn.XMATCH(Table21215[[#This Row],[5]],Table21215[[#This Row],[1]:[11]],0))-1)/(COUNTA(Table21215[[#This Row],[1]:[11]])-COUNTBLANK(Table21215[[#This Row],[1]:[11]])-1)))</f>
        <v/>
      </c>
      <c r="AD28" s="30" t="str" cm="1">
        <f t="array" ref="AD28">IF(Table21215[[#This Row],[6]]="","",Table21215[[#This Row],[Weight]:[Weight]]-(Table21215[[#This Row],[Weight]:[Weight]]*((_xlfn.XMATCH(Table21215[[#This Row],[6]],Table21215[[#This Row],[1]:[11]],0))-1)/(COUNTA(Table21215[[#This Row],[1]:[11]])-COUNTBLANK(Table21215[[#This Row],[1]:[11]])-1)))</f>
        <v/>
      </c>
      <c r="AE28" s="30" t="str" cm="1">
        <f t="array" ref="AE28">IF(Table21215[[#This Row],[7]]="","",Table21215[[#This Row],[Weight]:[Weight]]-(Table21215[[#This Row],[Weight]:[Weight]]*((_xlfn.XMATCH(Table21215[[#This Row],[7]],Table21215[[#This Row],[1]:[11]],0))-1)/(COUNTA(Table21215[[#This Row],[1]:[11]])-COUNTBLANK(Table21215[[#This Row],[1]:[11]])-1)))</f>
        <v/>
      </c>
      <c r="AF28" s="30" t="str" cm="1">
        <f t="array" ref="AF28">IF(Table21215[[#This Row],[8]]="","",Table21215[[#This Row],[Weight]:[Weight]]-(Table21215[[#This Row],[Weight]:[Weight]]*((_xlfn.XMATCH(Table21215[[#This Row],[8]],Table21215[[#This Row],[1]:[11]],0))-1)/(COUNTA(Table21215[[#This Row],[1]:[11]])-COUNTBLANK(Table21215[[#This Row],[1]:[11]])-1)))</f>
        <v/>
      </c>
      <c r="AG28" s="30" t="str" cm="1">
        <f t="array" ref="AG28">IF(Table21215[[#This Row],[9]]="","",Table21215[[#This Row],[Weight]:[Weight]]-(Table21215[[#This Row],[Weight]:[Weight]]*((_xlfn.XMATCH(Table21215[[#This Row],[9]],Table21215[[#This Row],[1]:[11]],0))-1)/(COUNTA(Table21215[[#This Row],[1]:[11]])-COUNTBLANK(Table21215[[#This Row],[1]:[11]])-1)))</f>
        <v/>
      </c>
      <c r="AH28" s="30" t="str" cm="1">
        <f t="array" ref="AH28">IF(Table21215[[#This Row],[10]]="","",Table21215[[#This Row],[Weight]:[Weight]]-(Table21215[[#This Row],[Weight]:[Weight]]*((_xlfn.XMATCH(Table21215[[#This Row],[10]],Table21215[[#This Row],[1]:[11]],0))-1)/(COUNTA(Table21215[[#This Row],[1]:[11]])-COUNTBLANK(Table21215[[#This Row],[1]:[11]])-1)))</f>
        <v/>
      </c>
      <c r="AI28" s="30" t="str" cm="1">
        <f t="array" ref="AI28">IF(Table21215[[#This Row],[11]]="","",Table21215[[#This Row],[Weight]:[Weight]]-(Table21215[[#This Row],[Weight]:[Weight]]*((_xlfn.XMATCH(Table21215[[#This Row],[11]],Table21215[[#This Row],[1]:[11]],0))-1)/(COUNTA(Table21215[[#This Row],[1]:[11]])-COUNTBLANK(Table21215[[#This Row],[1]:[11]])-1)))</f>
        <v/>
      </c>
    </row>
    <row r="29" spans="1:35" ht="108" x14ac:dyDescent="0.2">
      <c r="A29" s="20">
        <v>17</v>
      </c>
      <c r="B29" s="165" t="s">
        <v>846</v>
      </c>
      <c r="C29" s="21" t="s">
        <v>826</v>
      </c>
      <c r="D29" s="38"/>
      <c r="E29" s="38"/>
      <c r="F29" s="159" t="s">
        <v>60</v>
      </c>
      <c r="G29" s="160" cm="1">
        <f t="array" ref="G29">_xlfn.IFS(F29="","",F29="No interest",0,F29="Nice to have",1,F29="Useful",2,F29="Important",3,F29="Very important",4,F29="Critical",5,F29="Show stopper",6)</f>
        <v>6</v>
      </c>
      <c r="H29" s="161">
        <f t="shared" si="2"/>
        <v>4.7656870532168391E-3</v>
      </c>
      <c r="I29" s="157" t="s">
        <v>827</v>
      </c>
      <c r="J29" s="35" t="str" cm="1">
        <f t="array" ref="J29">_xlfn.TEXTJOIN(","&amp;CHAR(10),,TEXT(Table21215[[#This Row],[12]:[22]],"0,00%"))</f>
        <v>0,00%,
0,00%,
0,00%,
0,00%</v>
      </c>
      <c r="K29" s="36"/>
      <c r="L29" s="37" t="e">
        <f>H29-(H29*((MATCH(Table21215[[#This Row],[Evaluators Response (SELECT)]],Table21215[[#This Row],[1]:[11]],0)-1)/(COUNTA(Table21215[[#This Row],[1]:[11]])-COUNTBLANK(Table21215[[#This Row],[1]:[11]])-1)))</f>
        <v>#N/A</v>
      </c>
      <c r="M29" s="38"/>
      <c r="N29" s="29" t="s">
        <v>828</v>
      </c>
      <c r="O29" s="29" t="s">
        <v>829</v>
      </c>
      <c r="P29" s="29" t="s">
        <v>830</v>
      </c>
      <c r="Q29" s="29" t="str" cm="1">
        <f t="array" ref="Q29">IFERROR(INDEX(_xlfn.UNIQUE(TRIM(_xlfn.TEXTSPLIT(Table21215[[#This Row],[Selection Options]:[Selection Options]],","))),,Q$11),"")</f>
        <v xml:space="preserve">
 0%: Not currently supported</v>
      </c>
      <c r="R29" s="29" t="str" cm="1">
        <f t="array" ref="R29">IFERROR(INDEX(_xlfn.UNIQUE(TRIM(_xlfn.TEXTSPLIT(Table21215[[#This Row],[Selection Options]:[Selection Options]],","))),,R$11),"")</f>
        <v/>
      </c>
      <c r="S29" s="29" t="str" cm="1">
        <f t="array" ref="S29">IFERROR(INDEX(_xlfn.UNIQUE(TRIM(_xlfn.TEXTSPLIT(Table21215[[#This Row],[Selection Options]:[Selection Options]],","))),,S$11),"")</f>
        <v/>
      </c>
      <c r="T29" s="29" t="str" cm="1">
        <f t="array" ref="T29">IFERROR(INDEX(_xlfn.UNIQUE(TRIM(_xlfn.TEXTSPLIT(Table21215[[#This Row],[Selection Options]:[Selection Options]],","))),,T$11),"")</f>
        <v/>
      </c>
      <c r="U29" s="29" t="str" cm="1">
        <f t="array" ref="U29">IFERROR(INDEX(_xlfn.UNIQUE(TRIM(_xlfn.TEXTSPLIT(Table21215[[#This Row],[Selection Options]:[Selection Options]],","))),,U$11),"")</f>
        <v/>
      </c>
      <c r="V29" s="29" t="str" cm="1">
        <f t="array" ref="V29">IFERROR(INDEX(_xlfn.UNIQUE(TRIM(_xlfn.TEXTSPLIT(Table21215[[#This Row],[Selection Options]:[Selection Options]],","))),,V$11),"")</f>
        <v/>
      </c>
      <c r="W29" s="29" t="str" cm="1">
        <f t="array" ref="W29">IFERROR(INDEX(_xlfn.UNIQUE(TRIM(_xlfn.TEXTSPLIT(Table21215[[#This Row],[Selection Options]:[Selection Options]],","))),,W$11),"")</f>
        <v/>
      </c>
      <c r="X29" s="29" t="str" cm="1">
        <f t="array" ref="X29">IFERROR(INDEX(_xlfn.UNIQUE(TRIM(_xlfn.TEXTSPLIT(Table21215[[#This Row],[Selection Options]:[Selection Options]],","))),,X$11),"")</f>
        <v/>
      </c>
      <c r="Y29" s="30" cm="1">
        <f t="array" ref="Y29">IF(Table21215[[#This Row],[1]]="","",Table21215[[#This Row],[Weight]:[Weight]]-(Table21215[[#This Row],[Weight]:[Weight]]*((_xlfn.XMATCH(Table21215[[#This Row],[1]],Table21215[[#This Row],[1]:[11]],0))-1)/(COUNTA(Table21215[[#This Row],[1]:[11]])-COUNTBLANK(Table21215[[#This Row],[1]:[11]])-1)))</f>
        <v>4.7656870532168391E-3</v>
      </c>
      <c r="Z29" s="30" cm="1">
        <f t="array" ref="Z29">IF(Table21215[[#This Row],[2]]="","",Table21215[[#This Row],[Weight]:[Weight]]-(Table21215[[#This Row],[Weight]:[Weight]]*((_xlfn.XMATCH(Table21215[[#This Row],[2]],Table21215[[#This Row],[1]:[11]],0))-1)/(COUNTA(Table21215[[#This Row],[1]:[11]])-COUNTBLANK(Table21215[[#This Row],[1]:[11]])-1)))</f>
        <v>3.1771247021445594E-3</v>
      </c>
      <c r="AA29" s="30" cm="1">
        <f t="array" ref="AA29">IF(Table21215[[#This Row],[3]]="","",Table21215[[#This Row],[Weight]:[Weight]]-(Table21215[[#This Row],[Weight]:[Weight]]*((_xlfn.XMATCH(Table21215[[#This Row],[3]],Table21215[[#This Row],[1]:[11]],0))-1)/(COUNTA(Table21215[[#This Row],[1]:[11]])-COUNTBLANK(Table21215[[#This Row],[1]:[11]])-1)))</f>
        <v>1.5885623510722797E-3</v>
      </c>
      <c r="AB29" s="30" cm="1">
        <f t="array" ref="AB29">IF(Table21215[[#This Row],[4]]="","",Table21215[[#This Row],[Weight]:[Weight]]-(Table21215[[#This Row],[Weight]:[Weight]]*((_xlfn.XMATCH(Table21215[[#This Row],[4]],Table21215[[#This Row],[1]:[11]],0))-1)/(COUNTA(Table21215[[#This Row],[1]:[11]])-COUNTBLANK(Table21215[[#This Row],[1]:[11]])-1)))</f>
        <v>0</v>
      </c>
      <c r="AC29" s="30" t="str" cm="1">
        <f t="array" ref="AC29">IF(Table21215[[#This Row],[5]]="","",Table21215[[#This Row],[Weight]:[Weight]]-(Table21215[[#This Row],[Weight]:[Weight]]*((_xlfn.XMATCH(Table21215[[#This Row],[5]],Table21215[[#This Row],[1]:[11]],0))-1)/(COUNTA(Table21215[[#This Row],[1]:[11]])-COUNTBLANK(Table21215[[#This Row],[1]:[11]])-1)))</f>
        <v/>
      </c>
      <c r="AD29" s="30" t="str" cm="1">
        <f t="array" ref="AD29">IF(Table21215[[#This Row],[6]]="","",Table21215[[#This Row],[Weight]:[Weight]]-(Table21215[[#This Row],[Weight]:[Weight]]*((_xlfn.XMATCH(Table21215[[#This Row],[6]],Table21215[[#This Row],[1]:[11]],0))-1)/(COUNTA(Table21215[[#This Row],[1]:[11]])-COUNTBLANK(Table21215[[#This Row],[1]:[11]])-1)))</f>
        <v/>
      </c>
      <c r="AE29" s="30" t="str" cm="1">
        <f t="array" ref="AE29">IF(Table21215[[#This Row],[7]]="","",Table21215[[#This Row],[Weight]:[Weight]]-(Table21215[[#This Row],[Weight]:[Weight]]*((_xlfn.XMATCH(Table21215[[#This Row],[7]],Table21215[[#This Row],[1]:[11]],0))-1)/(COUNTA(Table21215[[#This Row],[1]:[11]])-COUNTBLANK(Table21215[[#This Row],[1]:[11]])-1)))</f>
        <v/>
      </c>
      <c r="AF29" s="30" t="str" cm="1">
        <f t="array" ref="AF29">IF(Table21215[[#This Row],[8]]="","",Table21215[[#This Row],[Weight]:[Weight]]-(Table21215[[#This Row],[Weight]:[Weight]]*((_xlfn.XMATCH(Table21215[[#This Row],[8]],Table21215[[#This Row],[1]:[11]],0))-1)/(COUNTA(Table21215[[#This Row],[1]:[11]])-COUNTBLANK(Table21215[[#This Row],[1]:[11]])-1)))</f>
        <v/>
      </c>
      <c r="AG29" s="30" t="str" cm="1">
        <f t="array" ref="AG29">IF(Table21215[[#This Row],[9]]="","",Table21215[[#This Row],[Weight]:[Weight]]-(Table21215[[#This Row],[Weight]:[Weight]]*((_xlfn.XMATCH(Table21215[[#This Row],[9]],Table21215[[#This Row],[1]:[11]],0))-1)/(COUNTA(Table21215[[#This Row],[1]:[11]])-COUNTBLANK(Table21215[[#This Row],[1]:[11]])-1)))</f>
        <v/>
      </c>
      <c r="AH29" s="30" t="str" cm="1">
        <f t="array" ref="AH29">IF(Table21215[[#This Row],[10]]="","",Table21215[[#This Row],[Weight]:[Weight]]-(Table21215[[#This Row],[Weight]:[Weight]]*((_xlfn.XMATCH(Table21215[[#This Row],[10]],Table21215[[#This Row],[1]:[11]],0))-1)/(COUNTA(Table21215[[#This Row],[1]:[11]])-COUNTBLANK(Table21215[[#This Row],[1]:[11]])-1)))</f>
        <v/>
      </c>
      <c r="AI29" s="30" t="str" cm="1">
        <f t="array" ref="AI29">IF(Table21215[[#This Row],[11]]="","",Table21215[[#This Row],[Weight]:[Weight]]-(Table21215[[#This Row],[Weight]:[Weight]]*((_xlfn.XMATCH(Table21215[[#This Row],[11]],Table21215[[#This Row],[1]:[11]],0))-1)/(COUNTA(Table21215[[#This Row],[1]:[11]])-COUNTBLANK(Table21215[[#This Row],[1]:[11]])-1)))</f>
        <v/>
      </c>
    </row>
    <row r="30" spans="1:35" ht="108" x14ac:dyDescent="0.2">
      <c r="A30" s="20">
        <v>18</v>
      </c>
      <c r="B30" s="165" t="s">
        <v>847</v>
      </c>
      <c r="C30" s="21" t="s">
        <v>826</v>
      </c>
      <c r="D30" s="38"/>
      <c r="E30" s="38"/>
      <c r="F30" s="159" t="s">
        <v>188</v>
      </c>
      <c r="G30" s="160" cm="1">
        <f t="array" ref="G30">_xlfn.IFS(F30="","",F30="No interest",0,F30="Nice to have",1,F30="Useful",2,F30="Important",3,F30="Very important",4,F30="Critical",5,F30="Show stopper",6)</f>
        <v>5</v>
      </c>
      <c r="H30" s="161">
        <f t="shared" si="2"/>
        <v>3.9714058776806989E-3</v>
      </c>
      <c r="I30" s="157" t="s">
        <v>827</v>
      </c>
      <c r="J30" s="35" t="str" cm="1">
        <f t="array" ref="J30">_xlfn.TEXTJOIN(","&amp;CHAR(10),,TEXT(Table21215[[#This Row],[12]:[22]],"0,00%"))</f>
        <v>0,00%,
0,00%,
0,00%,
0,00%</v>
      </c>
      <c r="K30" s="36"/>
      <c r="L30" s="37" t="e">
        <f>H30-(H30*((MATCH(Table21215[[#This Row],[Evaluators Response (SELECT)]],Table21215[[#This Row],[1]:[11]],0)-1)/(COUNTA(Table21215[[#This Row],[1]:[11]])-COUNTBLANK(Table21215[[#This Row],[1]:[11]])-1)))</f>
        <v>#N/A</v>
      </c>
      <c r="M30" s="38"/>
      <c r="N30" s="29" t="s">
        <v>828</v>
      </c>
      <c r="O30" s="29" t="s">
        <v>829</v>
      </c>
      <c r="P30" s="29" t="s">
        <v>830</v>
      </c>
      <c r="Q30" s="29" t="str" cm="1">
        <f t="array" ref="Q30">IFERROR(INDEX(_xlfn.UNIQUE(TRIM(_xlfn.TEXTSPLIT(Table21215[[#This Row],[Selection Options]:[Selection Options]],","))),,Q$11),"")</f>
        <v xml:space="preserve">
 0%: Not currently supported</v>
      </c>
      <c r="R30" s="29" t="str" cm="1">
        <f t="array" ref="R30">IFERROR(INDEX(_xlfn.UNIQUE(TRIM(_xlfn.TEXTSPLIT(Table21215[[#This Row],[Selection Options]:[Selection Options]],","))),,R$11),"")</f>
        <v/>
      </c>
      <c r="S30" s="29" t="str" cm="1">
        <f t="array" ref="S30">IFERROR(INDEX(_xlfn.UNIQUE(TRIM(_xlfn.TEXTSPLIT(Table21215[[#This Row],[Selection Options]:[Selection Options]],","))),,S$11),"")</f>
        <v/>
      </c>
      <c r="T30" s="29" t="str" cm="1">
        <f t="array" ref="T30">IFERROR(INDEX(_xlfn.UNIQUE(TRIM(_xlfn.TEXTSPLIT(Table21215[[#This Row],[Selection Options]:[Selection Options]],","))),,T$11),"")</f>
        <v/>
      </c>
      <c r="U30" s="29" t="str" cm="1">
        <f t="array" ref="U30">IFERROR(INDEX(_xlfn.UNIQUE(TRIM(_xlfn.TEXTSPLIT(Table21215[[#This Row],[Selection Options]:[Selection Options]],","))),,U$11),"")</f>
        <v/>
      </c>
      <c r="V30" s="29" t="str" cm="1">
        <f t="array" ref="V30">IFERROR(INDEX(_xlfn.UNIQUE(TRIM(_xlfn.TEXTSPLIT(Table21215[[#This Row],[Selection Options]:[Selection Options]],","))),,V$11),"")</f>
        <v/>
      </c>
      <c r="W30" s="29" t="str" cm="1">
        <f t="array" ref="W30">IFERROR(INDEX(_xlfn.UNIQUE(TRIM(_xlfn.TEXTSPLIT(Table21215[[#This Row],[Selection Options]:[Selection Options]],","))),,W$11),"")</f>
        <v/>
      </c>
      <c r="X30" s="29" t="str" cm="1">
        <f t="array" ref="X30">IFERROR(INDEX(_xlfn.UNIQUE(TRIM(_xlfn.TEXTSPLIT(Table21215[[#This Row],[Selection Options]:[Selection Options]],","))),,X$11),"")</f>
        <v/>
      </c>
      <c r="Y30" s="30" cm="1">
        <f t="array" ref="Y30">IF(Table21215[[#This Row],[1]]="","",Table21215[[#This Row],[Weight]:[Weight]]-(Table21215[[#This Row],[Weight]:[Weight]]*((_xlfn.XMATCH(Table21215[[#This Row],[1]],Table21215[[#This Row],[1]:[11]],0))-1)/(COUNTA(Table21215[[#This Row],[1]:[11]])-COUNTBLANK(Table21215[[#This Row],[1]:[11]])-1)))</f>
        <v>3.9714058776806989E-3</v>
      </c>
      <c r="Z30" s="30" cm="1">
        <f t="array" ref="Z30">IF(Table21215[[#This Row],[2]]="","",Table21215[[#This Row],[Weight]:[Weight]]-(Table21215[[#This Row],[Weight]:[Weight]]*((_xlfn.XMATCH(Table21215[[#This Row],[2]],Table21215[[#This Row],[1]:[11]],0))-1)/(COUNTA(Table21215[[#This Row],[1]:[11]])-COUNTBLANK(Table21215[[#This Row],[1]:[11]])-1)))</f>
        <v>2.6476039184537992E-3</v>
      </c>
      <c r="AA30" s="30" cm="1">
        <f t="array" ref="AA30">IF(Table21215[[#This Row],[3]]="","",Table21215[[#This Row],[Weight]:[Weight]]-(Table21215[[#This Row],[Weight]:[Weight]]*((_xlfn.XMATCH(Table21215[[#This Row],[3]],Table21215[[#This Row],[1]:[11]],0))-1)/(COUNTA(Table21215[[#This Row],[1]:[11]])-COUNTBLANK(Table21215[[#This Row],[1]:[11]])-1)))</f>
        <v>1.3238019592268996E-3</v>
      </c>
      <c r="AB30" s="30" cm="1">
        <f t="array" ref="AB30">IF(Table21215[[#This Row],[4]]="","",Table21215[[#This Row],[Weight]:[Weight]]-(Table21215[[#This Row],[Weight]:[Weight]]*((_xlfn.XMATCH(Table21215[[#This Row],[4]],Table21215[[#This Row],[1]:[11]],0))-1)/(COUNTA(Table21215[[#This Row],[1]:[11]])-COUNTBLANK(Table21215[[#This Row],[1]:[11]])-1)))</f>
        <v>0</v>
      </c>
      <c r="AC30" s="30" t="str" cm="1">
        <f t="array" ref="AC30">IF(Table21215[[#This Row],[5]]="","",Table21215[[#This Row],[Weight]:[Weight]]-(Table21215[[#This Row],[Weight]:[Weight]]*((_xlfn.XMATCH(Table21215[[#This Row],[5]],Table21215[[#This Row],[1]:[11]],0))-1)/(COUNTA(Table21215[[#This Row],[1]:[11]])-COUNTBLANK(Table21215[[#This Row],[1]:[11]])-1)))</f>
        <v/>
      </c>
      <c r="AD30" s="30" t="str" cm="1">
        <f t="array" ref="AD30">IF(Table21215[[#This Row],[6]]="","",Table21215[[#This Row],[Weight]:[Weight]]-(Table21215[[#This Row],[Weight]:[Weight]]*((_xlfn.XMATCH(Table21215[[#This Row],[6]],Table21215[[#This Row],[1]:[11]],0))-1)/(COUNTA(Table21215[[#This Row],[1]:[11]])-COUNTBLANK(Table21215[[#This Row],[1]:[11]])-1)))</f>
        <v/>
      </c>
      <c r="AE30" s="30" t="str" cm="1">
        <f t="array" ref="AE30">IF(Table21215[[#This Row],[7]]="","",Table21215[[#This Row],[Weight]:[Weight]]-(Table21215[[#This Row],[Weight]:[Weight]]*((_xlfn.XMATCH(Table21215[[#This Row],[7]],Table21215[[#This Row],[1]:[11]],0))-1)/(COUNTA(Table21215[[#This Row],[1]:[11]])-COUNTBLANK(Table21215[[#This Row],[1]:[11]])-1)))</f>
        <v/>
      </c>
      <c r="AF30" s="30" t="str" cm="1">
        <f t="array" ref="AF30">IF(Table21215[[#This Row],[8]]="","",Table21215[[#This Row],[Weight]:[Weight]]-(Table21215[[#This Row],[Weight]:[Weight]]*((_xlfn.XMATCH(Table21215[[#This Row],[8]],Table21215[[#This Row],[1]:[11]],0))-1)/(COUNTA(Table21215[[#This Row],[1]:[11]])-COUNTBLANK(Table21215[[#This Row],[1]:[11]])-1)))</f>
        <v/>
      </c>
      <c r="AG30" s="30" t="str" cm="1">
        <f t="array" ref="AG30">IF(Table21215[[#This Row],[9]]="","",Table21215[[#This Row],[Weight]:[Weight]]-(Table21215[[#This Row],[Weight]:[Weight]]*((_xlfn.XMATCH(Table21215[[#This Row],[9]],Table21215[[#This Row],[1]:[11]],0))-1)/(COUNTA(Table21215[[#This Row],[1]:[11]])-COUNTBLANK(Table21215[[#This Row],[1]:[11]])-1)))</f>
        <v/>
      </c>
      <c r="AH30" s="30" t="str" cm="1">
        <f t="array" ref="AH30">IF(Table21215[[#This Row],[10]]="","",Table21215[[#This Row],[Weight]:[Weight]]-(Table21215[[#This Row],[Weight]:[Weight]]*((_xlfn.XMATCH(Table21215[[#This Row],[10]],Table21215[[#This Row],[1]:[11]],0))-1)/(COUNTA(Table21215[[#This Row],[1]:[11]])-COUNTBLANK(Table21215[[#This Row],[1]:[11]])-1)))</f>
        <v/>
      </c>
      <c r="AI30" s="30" t="str" cm="1">
        <f t="array" ref="AI30">IF(Table21215[[#This Row],[11]]="","",Table21215[[#This Row],[Weight]:[Weight]]-(Table21215[[#This Row],[Weight]:[Weight]]*((_xlfn.XMATCH(Table21215[[#This Row],[11]],Table21215[[#This Row],[1]:[11]],0))-1)/(COUNTA(Table21215[[#This Row],[1]:[11]])-COUNTBLANK(Table21215[[#This Row],[1]:[11]])-1)))</f>
        <v/>
      </c>
    </row>
    <row r="31" spans="1:35" ht="108" x14ac:dyDescent="0.2">
      <c r="A31" s="20">
        <v>19</v>
      </c>
      <c r="B31" s="165" t="s">
        <v>848</v>
      </c>
      <c r="C31" s="21" t="s">
        <v>826</v>
      </c>
      <c r="D31" s="38"/>
      <c r="E31" s="38"/>
      <c r="F31" s="159" t="s">
        <v>188</v>
      </c>
      <c r="G31" s="160" cm="1">
        <f t="array" ref="G31">_xlfn.IFS(F31="","",F31="No interest",0,F31="Nice to have",1,F31="Useful",2,F31="Important",3,F31="Very important",4,F31="Critical",5,F31="Show stopper",6)</f>
        <v>5</v>
      </c>
      <c r="H31" s="161">
        <f t="shared" si="2"/>
        <v>3.9714058776806989E-3</v>
      </c>
      <c r="I31" s="157" t="s">
        <v>827</v>
      </c>
      <c r="J31" s="35" t="str" cm="1">
        <f t="array" ref="J31">_xlfn.TEXTJOIN(","&amp;CHAR(10),,TEXT(Table21215[[#This Row],[12]:[22]],"0,00%"))</f>
        <v>0,00%,
0,00%,
0,00%,
0,00%</v>
      </c>
      <c r="K31" s="36"/>
      <c r="L31" s="37" t="e">
        <f>H31-(H31*((MATCH(Table21215[[#This Row],[Evaluators Response (SELECT)]],Table21215[[#This Row],[1]:[11]],0)-1)/(COUNTA(Table21215[[#This Row],[1]:[11]])-COUNTBLANK(Table21215[[#This Row],[1]:[11]])-1)))</f>
        <v>#N/A</v>
      </c>
      <c r="M31" s="38"/>
      <c r="N31" s="29" t="s">
        <v>828</v>
      </c>
      <c r="O31" s="29" t="s">
        <v>829</v>
      </c>
      <c r="P31" s="29" t="s">
        <v>830</v>
      </c>
      <c r="Q31" s="29" t="str" cm="1">
        <f t="array" ref="Q31">IFERROR(INDEX(_xlfn.UNIQUE(TRIM(_xlfn.TEXTSPLIT(Table21215[[#This Row],[Selection Options]:[Selection Options]],","))),,Q$11),"")</f>
        <v xml:space="preserve">
 0%: Not currently supported</v>
      </c>
      <c r="R31" s="29" t="str" cm="1">
        <f t="array" ref="R31">IFERROR(INDEX(_xlfn.UNIQUE(TRIM(_xlfn.TEXTSPLIT(Table21215[[#This Row],[Selection Options]:[Selection Options]],","))),,R$11),"")</f>
        <v/>
      </c>
      <c r="S31" s="29" t="str" cm="1">
        <f t="array" ref="S31">IFERROR(INDEX(_xlfn.UNIQUE(TRIM(_xlfn.TEXTSPLIT(Table21215[[#This Row],[Selection Options]:[Selection Options]],","))),,S$11),"")</f>
        <v/>
      </c>
      <c r="T31" s="29" t="str" cm="1">
        <f t="array" ref="T31">IFERROR(INDEX(_xlfn.UNIQUE(TRIM(_xlfn.TEXTSPLIT(Table21215[[#This Row],[Selection Options]:[Selection Options]],","))),,T$11),"")</f>
        <v/>
      </c>
      <c r="U31" s="29" t="str" cm="1">
        <f t="array" ref="U31">IFERROR(INDEX(_xlfn.UNIQUE(TRIM(_xlfn.TEXTSPLIT(Table21215[[#This Row],[Selection Options]:[Selection Options]],","))),,U$11),"")</f>
        <v/>
      </c>
      <c r="V31" s="29" t="str" cm="1">
        <f t="array" ref="V31">IFERROR(INDEX(_xlfn.UNIQUE(TRIM(_xlfn.TEXTSPLIT(Table21215[[#This Row],[Selection Options]:[Selection Options]],","))),,V$11),"")</f>
        <v/>
      </c>
      <c r="W31" s="29" t="str" cm="1">
        <f t="array" ref="W31">IFERROR(INDEX(_xlfn.UNIQUE(TRIM(_xlfn.TEXTSPLIT(Table21215[[#This Row],[Selection Options]:[Selection Options]],","))),,W$11),"")</f>
        <v/>
      </c>
      <c r="X31" s="29" t="str" cm="1">
        <f t="array" ref="X31">IFERROR(INDEX(_xlfn.UNIQUE(TRIM(_xlfn.TEXTSPLIT(Table21215[[#This Row],[Selection Options]:[Selection Options]],","))),,X$11),"")</f>
        <v/>
      </c>
      <c r="Y31" s="30" cm="1">
        <f t="array" ref="Y31">IF(Table21215[[#This Row],[1]]="","",Table21215[[#This Row],[Weight]:[Weight]]-(Table21215[[#This Row],[Weight]:[Weight]]*((_xlfn.XMATCH(Table21215[[#This Row],[1]],Table21215[[#This Row],[1]:[11]],0))-1)/(COUNTA(Table21215[[#This Row],[1]:[11]])-COUNTBLANK(Table21215[[#This Row],[1]:[11]])-1)))</f>
        <v>3.9714058776806989E-3</v>
      </c>
      <c r="Z31" s="30" cm="1">
        <f t="array" ref="Z31">IF(Table21215[[#This Row],[2]]="","",Table21215[[#This Row],[Weight]:[Weight]]-(Table21215[[#This Row],[Weight]:[Weight]]*((_xlfn.XMATCH(Table21215[[#This Row],[2]],Table21215[[#This Row],[1]:[11]],0))-1)/(COUNTA(Table21215[[#This Row],[1]:[11]])-COUNTBLANK(Table21215[[#This Row],[1]:[11]])-1)))</f>
        <v>2.6476039184537992E-3</v>
      </c>
      <c r="AA31" s="30" cm="1">
        <f t="array" ref="AA31">IF(Table21215[[#This Row],[3]]="","",Table21215[[#This Row],[Weight]:[Weight]]-(Table21215[[#This Row],[Weight]:[Weight]]*((_xlfn.XMATCH(Table21215[[#This Row],[3]],Table21215[[#This Row],[1]:[11]],0))-1)/(COUNTA(Table21215[[#This Row],[1]:[11]])-COUNTBLANK(Table21215[[#This Row],[1]:[11]])-1)))</f>
        <v>1.3238019592268996E-3</v>
      </c>
      <c r="AB31" s="30" cm="1">
        <f t="array" ref="AB31">IF(Table21215[[#This Row],[4]]="","",Table21215[[#This Row],[Weight]:[Weight]]-(Table21215[[#This Row],[Weight]:[Weight]]*((_xlfn.XMATCH(Table21215[[#This Row],[4]],Table21215[[#This Row],[1]:[11]],0))-1)/(COUNTA(Table21215[[#This Row],[1]:[11]])-COUNTBLANK(Table21215[[#This Row],[1]:[11]])-1)))</f>
        <v>0</v>
      </c>
      <c r="AC31" s="30" t="str" cm="1">
        <f t="array" ref="AC31">IF(Table21215[[#This Row],[5]]="","",Table21215[[#This Row],[Weight]:[Weight]]-(Table21215[[#This Row],[Weight]:[Weight]]*((_xlfn.XMATCH(Table21215[[#This Row],[5]],Table21215[[#This Row],[1]:[11]],0))-1)/(COUNTA(Table21215[[#This Row],[1]:[11]])-COUNTBLANK(Table21215[[#This Row],[1]:[11]])-1)))</f>
        <v/>
      </c>
      <c r="AD31" s="30" t="str" cm="1">
        <f t="array" ref="AD31">IF(Table21215[[#This Row],[6]]="","",Table21215[[#This Row],[Weight]:[Weight]]-(Table21215[[#This Row],[Weight]:[Weight]]*((_xlfn.XMATCH(Table21215[[#This Row],[6]],Table21215[[#This Row],[1]:[11]],0))-1)/(COUNTA(Table21215[[#This Row],[1]:[11]])-COUNTBLANK(Table21215[[#This Row],[1]:[11]])-1)))</f>
        <v/>
      </c>
      <c r="AE31" s="30" t="str" cm="1">
        <f t="array" ref="AE31">IF(Table21215[[#This Row],[7]]="","",Table21215[[#This Row],[Weight]:[Weight]]-(Table21215[[#This Row],[Weight]:[Weight]]*((_xlfn.XMATCH(Table21215[[#This Row],[7]],Table21215[[#This Row],[1]:[11]],0))-1)/(COUNTA(Table21215[[#This Row],[1]:[11]])-COUNTBLANK(Table21215[[#This Row],[1]:[11]])-1)))</f>
        <v/>
      </c>
      <c r="AF31" s="30" t="str" cm="1">
        <f t="array" ref="AF31">IF(Table21215[[#This Row],[8]]="","",Table21215[[#This Row],[Weight]:[Weight]]-(Table21215[[#This Row],[Weight]:[Weight]]*((_xlfn.XMATCH(Table21215[[#This Row],[8]],Table21215[[#This Row],[1]:[11]],0))-1)/(COUNTA(Table21215[[#This Row],[1]:[11]])-COUNTBLANK(Table21215[[#This Row],[1]:[11]])-1)))</f>
        <v/>
      </c>
      <c r="AG31" s="30" t="str" cm="1">
        <f t="array" ref="AG31">IF(Table21215[[#This Row],[9]]="","",Table21215[[#This Row],[Weight]:[Weight]]-(Table21215[[#This Row],[Weight]:[Weight]]*((_xlfn.XMATCH(Table21215[[#This Row],[9]],Table21215[[#This Row],[1]:[11]],0))-1)/(COUNTA(Table21215[[#This Row],[1]:[11]])-COUNTBLANK(Table21215[[#This Row],[1]:[11]])-1)))</f>
        <v/>
      </c>
      <c r="AH31" s="30" t="str" cm="1">
        <f t="array" ref="AH31">IF(Table21215[[#This Row],[10]]="","",Table21215[[#This Row],[Weight]:[Weight]]-(Table21215[[#This Row],[Weight]:[Weight]]*((_xlfn.XMATCH(Table21215[[#This Row],[10]],Table21215[[#This Row],[1]:[11]],0))-1)/(COUNTA(Table21215[[#This Row],[1]:[11]])-COUNTBLANK(Table21215[[#This Row],[1]:[11]])-1)))</f>
        <v/>
      </c>
      <c r="AI31" s="30" t="str" cm="1">
        <f t="array" ref="AI31">IF(Table21215[[#This Row],[11]]="","",Table21215[[#This Row],[Weight]:[Weight]]-(Table21215[[#This Row],[Weight]:[Weight]]*((_xlfn.XMATCH(Table21215[[#This Row],[11]],Table21215[[#This Row],[1]:[11]],0))-1)/(COUNTA(Table21215[[#This Row],[1]:[11]])-COUNTBLANK(Table21215[[#This Row],[1]:[11]])-1)))</f>
        <v/>
      </c>
    </row>
    <row r="32" spans="1:35" ht="108" x14ac:dyDescent="0.2">
      <c r="A32" s="20">
        <v>20</v>
      </c>
      <c r="B32" s="165" t="s">
        <v>849</v>
      </c>
      <c r="C32" s="21" t="s">
        <v>826</v>
      </c>
      <c r="D32" s="38"/>
      <c r="E32" s="38"/>
      <c r="F32" s="159" t="s">
        <v>60</v>
      </c>
      <c r="G32" s="160" cm="1">
        <f t="array" ref="G32">_xlfn.IFS(F32="","",F32="No interest",0,F32="Nice to have",1,F32="Useful",2,F32="Important",3,F32="Very important",4,F32="Critical",5,F32="Show stopper",6)</f>
        <v>6</v>
      </c>
      <c r="H32" s="161">
        <f t="shared" si="2"/>
        <v>4.7656870532168391E-3</v>
      </c>
      <c r="I32" s="157" t="s">
        <v>827</v>
      </c>
      <c r="J32" s="35" t="str" cm="1">
        <f t="array" ref="J32">_xlfn.TEXTJOIN(","&amp;CHAR(10),,TEXT(Table21215[[#This Row],[12]:[22]],"0,00%"))</f>
        <v>0,00%,
0,00%,
0,00%,
0,00%</v>
      </c>
      <c r="K32" s="36"/>
      <c r="L32" s="37" t="e">
        <f>H32-(H32*((MATCH(Table21215[[#This Row],[Evaluators Response (SELECT)]],Table21215[[#This Row],[1]:[11]],0)-1)/(COUNTA(Table21215[[#This Row],[1]:[11]])-COUNTBLANK(Table21215[[#This Row],[1]:[11]])-1)))</f>
        <v>#N/A</v>
      </c>
      <c r="M32" s="38"/>
      <c r="N32" s="29" t="s">
        <v>828</v>
      </c>
      <c r="O32" s="29" t="s">
        <v>829</v>
      </c>
      <c r="P32" s="29" t="s">
        <v>830</v>
      </c>
      <c r="Q32" s="29" t="str" cm="1">
        <f t="array" ref="Q32">IFERROR(INDEX(_xlfn.UNIQUE(TRIM(_xlfn.TEXTSPLIT(Table21215[[#This Row],[Selection Options]:[Selection Options]],","))),,Q$11),"")</f>
        <v xml:space="preserve">
 0%: Not currently supported</v>
      </c>
      <c r="R32" s="29" t="str" cm="1">
        <f t="array" ref="R32">IFERROR(INDEX(_xlfn.UNIQUE(TRIM(_xlfn.TEXTSPLIT(Table21215[[#This Row],[Selection Options]:[Selection Options]],","))),,R$11),"")</f>
        <v/>
      </c>
      <c r="S32" s="29" t="str" cm="1">
        <f t="array" ref="S32">IFERROR(INDEX(_xlfn.UNIQUE(TRIM(_xlfn.TEXTSPLIT(Table21215[[#This Row],[Selection Options]:[Selection Options]],","))),,S$11),"")</f>
        <v/>
      </c>
      <c r="T32" s="29" t="str" cm="1">
        <f t="array" ref="T32">IFERROR(INDEX(_xlfn.UNIQUE(TRIM(_xlfn.TEXTSPLIT(Table21215[[#This Row],[Selection Options]:[Selection Options]],","))),,T$11),"")</f>
        <v/>
      </c>
      <c r="U32" s="29" t="str" cm="1">
        <f t="array" ref="U32">IFERROR(INDEX(_xlfn.UNIQUE(TRIM(_xlfn.TEXTSPLIT(Table21215[[#This Row],[Selection Options]:[Selection Options]],","))),,U$11),"")</f>
        <v/>
      </c>
      <c r="V32" s="29" t="str" cm="1">
        <f t="array" ref="V32">IFERROR(INDEX(_xlfn.UNIQUE(TRIM(_xlfn.TEXTSPLIT(Table21215[[#This Row],[Selection Options]:[Selection Options]],","))),,V$11),"")</f>
        <v/>
      </c>
      <c r="W32" s="29" t="str" cm="1">
        <f t="array" ref="W32">IFERROR(INDEX(_xlfn.UNIQUE(TRIM(_xlfn.TEXTSPLIT(Table21215[[#This Row],[Selection Options]:[Selection Options]],","))),,W$11),"")</f>
        <v/>
      </c>
      <c r="X32" s="29" t="str" cm="1">
        <f t="array" ref="X32">IFERROR(INDEX(_xlfn.UNIQUE(TRIM(_xlfn.TEXTSPLIT(Table21215[[#This Row],[Selection Options]:[Selection Options]],","))),,X$11),"")</f>
        <v/>
      </c>
      <c r="Y32" s="30" cm="1">
        <f t="array" ref="Y32">IF(Table21215[[#This Row],[1]]="","",Table21215[[#This Row],[Weight]:[Weight]]-(Table21215[[#This Row],[Weight]:[Weight]]*((_xlfn.XMATCH(Table21215[[#This Row],[1]],Table21215[[#This Row],[1]:[11]],0))-1)/(COUNTA(Table21215[[#This Row],[1]:[11]])-COUNTBLANK(Table21215[[#This Row],[1]:[11]])-1)))</f>
        <v>4.7656870532168391E-3</v>
      </c>
      <c r="Z32" s="30" cm="1">
        <f t="array" ref="Z32">IF(Table21215[[#This Row],[2]]="","",Table21215[[#This Row],[Weight]:[Weight]]-(Table21215[[#This Row],[Weight]:[Weight]]*((_xlfn.XMATCH(Table21215[[#This Row],[2]],Table21215[[#This Row],[1]:[11]],0))-1)/(COUNTA(Table21215[[#This Row],[1]:[11]])-COUNTBLANK(Table21215[[#This Row],[1]:[11]])-1)))</f>
        <v>3.1771247021445594E-3</v>
      </c>
      <c r="AA32" s="30" cm="1">
        <f t="array" ref="AA32">IF(Table21215[[#This Row],[3]]="","",Table21215[[#This Row],[Weight]:[Weight]]-(Table21215[[#This Row],[Weight]:[Weight]]*((_xlfn.XMATCH(Table21215[[#This Row],[3]],Table21215[[#This Row],[1]:[11]],0))-1)/(COUNTA(Table21215[[#This Row],[1]:[11]])-COUNTBLANK(Table21215[[#This Row],[1]:[11]])-1)))</f>
        <v>1.5885623510722797E-3</v>
      </c>
      <c r="AB32" s="30" cm="1">
        <f t="array" ref="AB32">IF(Table21215[[#This Row],[4]]="","",Table21215[[#This Row],[Weight]:[Weight]]-(Table21215[[#This Row],[Weight]:[Weight]]*((_xlfn.XMATCH(Table21215[[#This Row],[4]],Table21215[[#This Row],[1]:[11]],0))-1)/(COUNTA(Table21215[[#This Row],[1]:[11]])-COUNTBLANK(Table21215[[#This Row],[1]:[11]])-1)))</f>
        <v>0</v>
      </c>
      <c r="AC32" s="30" t="str" cm="1">
        <f t="array" ref="AC32">IF(Table21215[[#This Row],[5]]="","",Table21215[[#This Row],[Weight]:[Weight]]-(Table21215[[#This Row],[Weight]:[Weight]]*((_xlfn.XMATCH(Table21215[[#This Row],[5]],Table21215[[#This Row],[1]:[11]],0))-1)/(COUNTA(Table21215[[#This Row],[1]:[11]])-COUNTBLANK(Table21215[[#This Row],[1]:[11]])-1)))</f>
        <v/>
      </c>
      <c r="AD32" s="30" t="str" cm="1">
        <f t="array" ref="AD32">IF(Table21215[[#This Row],[6]]="","",Table21215[[#This Row],[Weight]:[Weight]]-(Table21215[[#This Row],[Weight]:[Weight]]*((_xlfn.XMATCH(Table21215[[#This Row],[6]],Table21215[[#This Row],[1]:[11]],0))-1)/(COUNTA(Table21215[[#This Row],[1]:[11]])-COUNTBLANK(Table21215[[#This Row],[1]:[11]])-1)))</f>
        <v/>
      </c>
      <c r="AE32" s="30" t="str" cm="1">
        <f t="array" ref="AE32">IF(Table21215[[#This Row],[7]]="","",Table21215[[#This Row],[Weight]:[Weight]]-(Table21215[[#This Row],[Weight]:[Weight]]*((_xlfn.XMATCH(Table21215[[#This Row],[7]],Table21215[[#This Row],[1]:[11]],0))-1)/(COUNTA(Table21215[[#This Row],[1]:[11]])-COUNTBLANK(Table21215[[#This Row],[1]:[11]])-1)))</f>
        <v/>
      </c>
      <c r="AF32" s="30" t="str" cm="1">
        <f t="array" ref="AF32">IF(Table21215[[#This Row],[8]]="","",Table21215[[#This Row],[Weight]:[Weight]]-(Table21215[[#This Row],[Weight]:[Weight]]*((_xlfn.XMATCH(Table21215[[#This Row],[8]],Table21215[[#This Row],[1]:[11]],0))-1)/(COUNTA(Table21215[[#This Row],[1]:[11]])-COUNTBLANK(Table21215[[#This Row],[1]:[11]])-1)))</f>
        <v/>
      </c>
      <c r="AG32" s="30" t="str" cm="1">
        <f t="array" ref="AG32">IF(Table21215[[#This Row],[9]]="","",Table21215[[#This Row],[Weight]:[Weight]]-(Table21215[[#This Row],[Weight]:[Weight]]*((_xlfn.XMATCH(Table21215[[#This Row],[9]],Table21215[[#This Row],[1]:[11]],0))-1)/(COUNTA(Table21215[[#This Row],[1]:[11]])-COUNTBLANK(Table21215[[#This Row],[1]:[11]])-1)))</f>
        <v/>
      </c>
      <c r="AH32" s="30" t="str" cm="1">
        <f t="array" ref="AH32">IF(Table21215[[#This Row],[10]]="","",Table21215[[#This Row],[Weight]:[Weight]]-(Table21215[[#This Row],[Weight]:[Weight]]*((_xlfn.XMATCH(Table21215[[#This Row],[10]],Table21215[[#This Row],[1]:[11]],0))-1)/(COUNTA(Table21215[[#This Row],[1]:[11]])-COUNTBLANK(Table21215[[#This Row],[1]:[11]])-1)))</f>
        <v/>
      </c>
      <c r="AI32" s="30" t="str" cm="1">
        <f t="array" ref="AI32">IF(Table21215[[#This Row],[11]]="","",Table21215[[#This Row],[Weight]:[Weight]]-(Table21215[[#This Row],[Weight]:[Weight]]*((_xlfn.XMATCH(Table21215[[#This Row],[11]],Table21215[[#This Row],[1]:[11]],0))-1)/(COUNTA(Table21215[[#This Row],[1]:[11]])-COUNTBLANK(Table21215[[#This Row],[1]:[11]])-1)))</f>
        <v/>
      </c>
    </row>
    <row r="33" spans="1:35" ht="108" x14ac:dyDescent="0.2">
      <c r="A33" s="20">
        <v>21</v>
      </c>
      <c r="B33" s="165" t="s">
        <v>850</v>
      </c>
      <c r="C33" s="21" t="s">
        <v>826</v>
      </c>
      <c r="D33" s="38"/>
      <c r="E33" s="38"/>
      <c r="F33" s="159" t="s">
        <v>188</v>
      </c>
      <c r="G33" s="160" cm="1">
        <f t="array" ref="G33">_xlfn.IFS(F33="","",F33="No interest",0,F33="Nice to have",1,F33="Useful",2,F33="Important",3,F33="Very important",4,F33="Critical",5,F33="Show stopper",6)</f>
        <v>5</v>
      </c>
      <c r="H33" s="161">
        <f t="shared" si="2"/>
        <v>3.9714058776806989E-3</v>
      </c>
      <c r="I33" s="157" t="s">
        <v>827</v>
      </c>
      <c r="J33" s="35" t="str" cm="1">
        <f t="array" ref="J33">_xlfn.TEXTJOIN(","&amp;CHAR(10),,TEXT(Table21215[[#This Row],[12]:[22]],"0,00%"))</f>
        <v>0,00%,
0,00%,
0,00%,
0,00%</v>
      </c>
      <c r="K33" s="36"/>
      <c r="L33" s="37" t="e">
        <f>H33-(H33*((MATCH(Table21215[[#This Row],[Evaluators Response (SELECT)]],Table21215[[#This Row],[1]:[11]],0)-1)/(COUNTA(Table21215[[#This Row],[1]:[11]])-COUNTBLANK(Table21215[[#This Row],[1]:[11]])-1)))</f>
        <v>#N/A</v>
      </c>
      <c r="M33" s="38"/>
      <c r="N33" s="29" t="s">
        <v>828</v>
      </c>
      <c r="O33" s="29" t="s">
        <v>829</v>
      </c>
      <c r="P33" s="29" t="s">
        <v>830</v>
      </c>
      <c r="Q33" s="29" t="str" cm="1">
        <f t="array" ref="Q33">IFERROR(INDEX(_xlfn.UNIQUE(TRIM(_xlfn.TEXTSPLIT(Table21215[[#This Row],[Selection Options]:[Selection Options]],","))),,Q$11),"")</f>
        <v xml:space="preserve">
 0%: Not currently supported</v>
      </c>
      <c r="R33" s="29" t="str" cm="1">
        <f t="array" ref="R33">IFERROR(INDEX(_xlfn.UNIQUE(TRIM(_xlfn.TEXTSPLIT(Table21215[[#This Row],[Selection Options]:[Selection Options]],","))),,R$11),"")</f>
        <v/>
      </c>
      <c r="S33" s="29" t="str" cm="1">
        <f t="array" ref="S33">IFERROR(INDEX(_xlfn.UNIQUE(TRIM(_xlfn.TEXTSPLIT(Table21215[[#This Row],[Selection Options]:[Selection Options]],","))),,S$11),"")</f>
        <v/>
      </c>
      <c r="T33" s="29" t="str" cm="1">
        <f t="array" ref="T33">IFERROR(INDEX(_xlfn.UNIQUE(TRIM(_xlfn.TEXTSPLIT(Table21215[[#This Row],[Selection Options]:[Selection Options]],","))),,T$11),"")</f>
        <v/>
      </c>
      <c r="U33" s="29" t="str" cm="1">
        <f t="array" ref="U33">IFERROR(INDEX(_xlfn.UNIQUE(TRIM(_xlfn.TEXTSPLIT(Table21215[[#This Row],[Selection Options]:[Selection Options]],","))),,U$11),"")</f>
        <v/>
      </c>
      <c r="V33" s="29" t="str" cm="1">
        <f t="array" ref="V33">IFERROR(INDEX(_xlfn.UNIQUE(TRIM(_xlfn.TEXTSPLIT(Table21215[[#This Row],[Selection Options]:[Selection Options]],","))),,V$11),"")</f>
        <v/>
      </c>
      <c r="W33" s="29" t="str" cm="1">
        <f t="array" ref="W33">IFERROR(INDEX(_xlfn.UNIQUE(TRIM(_xlfn.TEXTSPLIT(Table21215[[#This Row],[Selection Options]:[Selection Options]],","))),,W$11),"")</f>
        <v/>
      </c>
      <c r="X33" s="29" t="str" cm="1">
        <f t="array" ref="X33">IFERROR(INDEX(_xlfn.UNIQUE(TRIM(_xlfn.TEXTSPLIT(Table21215[[#This Row],[Selection Options]:[Selection Options]],","))),,X$11),"")</f>
        <v/>
      </c>
      <c r="Y33" s="30" cm="1">
        <f t="array" ref="Y33">IF(Table21215[[#This Row],[1]]="","",Table21215[[#This Row],[Weight]:[Weight]]-(Table21215[[#This Row],[Weight]:[Weight]]*((_xlfn.XMATCH(Table21215[[#This Row],[1]],Table21215[[#This Row],[1]:[11]],0))-1)/(COUNTA(Table21215[[#This Row],[1]:[11]])-COUNTBLANK(Table21215[[#This Row],[1]:[11]])-1)))</f>
        <v>3.9714058776806989E-3</v>
      </c>
      <c r="Z33" s="30" cm="1">
        <f t="array" ref="Z33">IF(Table21215[[#This Row],[2]]="","",Table21215[[#This Row],[Weight]:[Weight]]-(Table21215[[#This Row],[Weight]:[Weight]]*((_xlfn.XMATCH(Table21215[[#This Row],[2]],Table21215[[#This Row],[1]:[11]],0))-1)/(COUNTA(Table21215[[#This Row],[1]:[11]])-COUNTBLANK(Table21215[[#This Row],[1]:[11]])-1)))</f>
        <v>2.6476039184537992E-3</v>
      </c>
      <c r="AA33" s="30" cm="1">
        <f t="array" ref="AA33">IF(Table21215[[#This Row],[3]]="","",Table21215[[#This Row],[Weight]:[Weight]]-(Table21215[[#This Row],[Weight]:[Weight]]*((_xlfn.XMATCH(Table21215[[#This Row],[3]],Table21215[[#This Row],[1]:[11]],0))-1)/(COUNTA(Table21215[[#This Row],[1]:[11]])-COUNTBLANK(Table21215[[#This Row],[1]:[11]])-1)))</f>
        <v>1.3238019592268996E-3</v>
      </c>
      <c r="AB33" s="30" cm="1">
        <f t="array" ref="AB33">IF(Table21215[[#This Row],[4]]="","",Table21215[[#This Row],[Weight]:[Weight]]-(Table21215[[#This Row],[Weight]:[Weight]]*((_xlfn.XMATCH(Table21215[[#This Row],[4]],Table21215[[#This Row],[1]:[11]],0))-1)/(COUNTA(Table21215[[#This Row],[1]:[11]])-COUNTBLANK(Table21215[[#This Row],[1]:[11]])-1)))</f>
        <v>0</v>
      </c>
      <c r="AC33" s="30" t="str" cm="1">
        <f t="array" ref="AC33">IF(Table21215[[#This Row],[5]]="","",Table21215[[#This Row],[Weight]:[Weight]]-(Table21215[[#This Row],[Weight]:[Weight]]*((_xlfn.XMATCH(Table21215[[#This Row],[5]],Table21215[[#This Row],[1]:[11]],0))-1)/(COUNTA(Table21215[[#This Row],[1]:[11]])-COUNTBLANK(Table21215[[#This Row],[1]:[11]])-1)))</f>
        <v/>
      </c>
      <c r="AD33" s="30" t="str" cm="1">
        <f t="array" ref="AD33">IF(Table21215[[#This Row],[6]]="","",Table21215[[#This Row],[Weight]:[Weight]]-(Table21215[[#This Row],[Weight]:[Weight]]*((_xlfn.XMATCH(Table21215[[#This Row],[6]],Table21215[[#This Row],[1]:[11]],0))-1)/(COUNTA(Table21215[[#This Row],[1]:[11]])-COUNTBLANK(Table21215[[#This Row],[1]:[11]])-1)))</f>
        <v/>
      </c>
      <c r="AE33" s="30" t="str" cm="1">
        <f t="array" ref="AE33">IF(Table21215[[#This Row],[7]]="","",Table21215[[#This Row],[Weight]:[Weight]]-(Table21215[[#This Row],[Weight]:[Weight]]*((_xlfn.XMATCH(Table21215[[#This Row],[7]],Table21215[[#This Row],[1]:[11]],0))-1)/(COUNTA(Table21215[[#This Row],[1]:[11]])-COUNTBLANK(Table21215[[#This Row],[1]:[11]])-1)))</f>
        <v/>
      </c>
      <c r="AF33" s="30" t="str" cm="1">
        <f t="array" ref="AF33">IF(Table21215[[#This Row],[8]]="","",Table21215[[#This Row],[Weight]:[Weight]]-(Table21215[[#This Row],[Weight]:[Weight]]*((_xlfn.XMATCH(Table21215[[#This Row],[8]],Table21215[[#This Row],[1]:[11]],0))-1)/(COUNTA(Table21215[[#This Row],[1]:[11]])-COUNTBLANK(Table21215[[#This Row],[1]:[11]])-1)))</f>
        <v/>
      </c>
      <c r="AG33" s="30" t="str" cm="1">
        <f t="array" ref="AG33">IF(Table21215[[#This Row],[9]]="","",Table21215[[#This Row],[Weight]:[Weight]]-(Table21215[[#This Row],[Weight]:[Weight]]*((_xlfn.XMATCH(Table21215[[#This Row],[9]],Table21215[[#This Row],[1]:[11]],0))-1)/(COUNTA(Table21215[[#This Row],[1]:[11]])-COUNTBLANK(Table21215[[#This Row],[1]:[11]])-1)))</f>
        <v/>
      </c>
      <c r="AH33" s="30" t="str" cm="1">
        <f t="array" ref="AH33">IF(Table21215[[#This Row],[10]]="","",Table21215[[#This Row],[Weight]:[Weight]]-(Table21215[[#This Row],[Weight]:[Weight]]*((_xlfn.XMATCH(Table21215[[#This Row],[10]],Table21215[[#This Row],[1]:[11]],0))-1)/(COUNTA(Table21215[[#This Row],[1]:[11]])-COUNTBLANK(Table21215[[#This Row],[1]:[11]])-1)))</f>
        <v/>
      </c>
      <c r="AI33" s="30" t="str" cm="1">
        <f t="array" ref="AI33">IF(Table21215[[#This Row],[11]]="","",Table21215[[#This Row],[Weight]:[Weight]]-(Table21215[[#This Row],[Weight]:[Weight]]*((_xlfn.XMATCH(Table21215[[#This Row],[11]],Table21215[[#This Row],[1]:[11]],0))-1)/(COUNTA(Table21215[[#This Row],[1]:[11]])-COUNTBLANK(Table21215[[#This Row],[1]:[11]])-1)))</f>
        <v/>
      </c>
    </row>
    <row r="34" spans="1:35" ht="108" x14ac:dyDescent="0.2">
      <c r="A34" s="20">
        <v>22</v>
      </c>
      <c r="B34" s="165" t="s">
        <v>851</v>
      </c>
      <c r="C34" s="21" t="s">
        <v>826</v>
      </c>
      <c r="D34" s="38"/>
      <c r="E34" s="38"/>
      <c r="F34" s="159" t="s">
        <v>188</v>
      </c>
      <c r="G34" s="160" cm="1">
        <f t="array" ref="G34">_xlfn.IFS(F34="","",F34="No interest",0,F34="Nice to have",1,F34="Useful",2,F34="Important",3,F34="Very important",4,F34="Critical",5,F34="Show stopper",6)</f>
        <v>5</v>
      </c>
      <c r="H34" s="161">
        <f t="shared" si="2"/>
        <v>3.9714058776806989E-3</v>
      </c>
      <c r="I34" s="157" t="s">
        <v>827</v>
      </c>
      <c r="J34" s="35" t="str" cm="1">
        <f t="array" ref="J34">_xlfn.TEXTJOIN(","&amp;CHAR(10),,TEXT(Table21215[[#This Row],[12]:[22]],"0,00%"))</f>
        <v>0,00%,
0,00%,
0,00%,
0,00%</v>
      </c>
      <c r="K34" s="36"/>
      <c r="L34" s="37" t="e">
        <f>H34-(H34*((MATCH(Table21215[[#This Row],[Evaluators Response (SELECT)]],Table21215[[#This Row],[1]:[11]],0)-1)/(COUNTA(Table21215[[#This Row],[1]:[11]])-COUNTBLANK(Table21215[[#This Row],[1]:[11]])-1)))</f>
        <v>#N/A</v>
      </c>
      <c r="M34" s="38"/>
      <c r="N34" s="29" t="s">
        <v>828</v>
      </c>
      <c r="O34" s="29" t="s">
        <v>829</v>
      </c>
      <c r="P34" s="29" t="s">
        <v>830</v>
      </c>
      <c r="Q34" s="29" t="str" cm="1">
        <f t="array" ref="Q34">IFERROR(INDEX(_xlfn.UNIQUE(TRIM(_xlfn.TEXTSPLIT(Table21215[[#This Row],[Selection Options]:[Selection Options]],","))),,Q$11),"")</f>
        <v xml:space="preserve">
 0%: Not currently supported</v>
      </c>
      <c r="R34" s="29" t="str" cm="1">
        <f t="array" ref="R34">IFERROR(INDEX(_xlfn.UNIQUE(TRIM(_xlfn.TEXTSPLIT(Table21215[[#This Row],[Selection Options]:[Selection Options]],","))),,R$11),"")</f>
        <v/>
      </c>
      <c r="S34" s="29" t="str" cm="1">
        <f t="array" ref="S34">IFERROR(INDEX(_xlfn.UNIQUE(TRIM(_xlfn.TEXTSPLIT(Table21215[[#This Row],[Selection Options]:[Selection Options]],","))),,S$11),"")</f>
        <v/>
      </c>
      <c r="T34" s="29" t="str" cm="1">
        <f t="array" ref="T34">IFERROR(INDEX(_xlfn.UNIQUE(TRIM(_xlfn.TEXTSPLIT(Table21215[[#This Row],[Selection Options]:[Selection Options]],","))),,T$11),"")</f>
        <v/>
      </c>
      <c r="U34" s="29" t="str" cm="1">
        <f t="array" ref="U34">IFERROR(INDEX(_xlfn.UNIQUE(TRIM(_xlfn.TEXTSPLIT(Table21215[[#This Row],[Selection Options]:[Selection Options]],","))),,U$11),"")</f>
        <v/>
      </c>
      <c r="V34" s="29" t="str" cm="1">
        <f t="array" ref="V34">IFERROR(INDEX(_xlfn.UNIQUE(TRIM(_xlfn.TEXTSPLIT(Table21215[[#This Row],[Selection Options]:[Selection Options]],","))),,V$11),"")</f>
        <v/>
      </c>
      <c r="W34" s="29" t="str" cm="1">
        <f t="array" ref="W34">IFERROR(INDEX(_xlfn.UNIQUE(TRIM(_xlfn.TEXTSPLIT(Table21215[[#This Row],[Selection Options]:[Selection Options]],","))),,W$11),"")</f>
        <v/>
      </c>
      <c r="X34" s="29" t="str" cm="1">
        <f t="array" ref="X34">IFERROR(INDEX(_xlfn.UNIQUE(TRIM(_xlfn.TEXTSPLIT(Table21215[[#This Row],[Selection Options]:[Selection Options]],","))),,X$11),"")</f>
        <v/>
      </c>
      <c r="Y34" s="30" cm="1">
        <f t="array" ref="Y34">IF(Table21215[[#This Row],[1]]="","",Table21215[[#This Row],[Weight]:[Weight]]-(Table21215[[#This Row],[Weight]:[Weight]]*((_xlfn.XMATCH(Table21215[[#This Row],[1]],Table21215[[#This Row],[1]:[11]],0))-1)/(COUNTA(Table21215[[#This Row],[1]:[11]])-COUNTBLANK(Table21215[[#This Row],[1]:[11]])-1)))</f>
        <v>3.9714058776806989E-3</v>
      </c>
      <c r="Z34" s="30" cm="1">
        <f t="array" ref="Z34">IF(Table21215[[#This Row],[2]]="","",Table21215[[#This Row],[Weight]:[Weight]]-(Table21215[[#This Row],[Weight]:[Weight]]*((_xlfn.XMATCH(Table21215[[#This Row],[2]],Table21215[[#This Row],[1]:[11]],0))-1)/(COUNTA(Table21215[[#This Row],[1]:[11]])-COUNTBLANK(Table21215[[#This Row],[1]:[11]])-1)))</f>
        <v>2.6476039184537992E-3</v>
      </c>
      <c r="AA34" s="30" cm="1">
        <f t="array" ref="AA34">IF(Table21215[[#This Row],[3]]="","",Table21215[[#This Row],[Weight]:[Weight]]-(Table21215[[#This Row],[Weight]:[Weight]]*((_xlfn.XMATCH(Table21215[[#This Row],[3]],Table21215[[#This Row],[1]:[11]],0))-1)/(COUNTA(Table21215[[#This Row],[1]:[11]])-COUNTBLANK(Table21215[[#This Row],[1]:[11]])-1)))</f>
        <v>1.3238019592268996E-3</v>
      </c>
      <c r="AB34" s="30" cm="1">
        <f t="array" ref="AB34">IF(Table21215[[#This Row],[4]]="","",Table21215[[#This Row],[Weight]:[Weight]]-(Table21215[[#This Row],[Weight]:[Weight]]*((_xlfn.XMATCH(Table21215[[#This Row],[4]],Table21215[[#This Row],[1]:[11]],0))-1)/(COUNTA(Table21215[[#This Row],[1]:[11]])-COUNTBLANK(Table21215[[#This Row],[1]:[11]])-1)))</f>
        <v>0</v>
      </c>
      <c r="AC34" s="30" t="str" cm="1">
        <f t="array" ref="AC34">IF(Table21215[[#This Row],[5]]="","",Table21215[[#This Row],[Weight]:[Weight]]-(Table21215[[#This Row],[Weight]:[Weight]]*((_xlfn.XMATCH(Table21215[[#This Row],[5]],Table21215[[#This Row],[1]:[11]],0))-1)/(COUNTA(Table21215[[#This Row],[1]:[11]])-COUNTBLANK(Table21215[[#This Row],[1]:[11]])-1)))</f>
        <v/>
      </c>
      <c r="AD34" s="30" t="str" cm="1">
        <f t="array" ref="AD34">IF(Table21215[[#This Row],[6]]="","",Table21215[[#This Row],[Weight]:[Weight]]-(Table21215[[#This Row],[Weight]:[Weight]]*((_xlfn.XMATCH(Table21215[[#This Row],[6]],Table21215[[#This Row],[1]:[11]],0))-1)/(COUNTA(Table21215[[#This Row],[1]:[11]])-COUNTBLANK(Table21215[[#This Row],[1]:[11]])-1)))</f>
        <v/>
      </c>
      <c r="AE34" s="30" t="str" cm="1">
        <f t="array" ref="AE34">IF(Table21215[[#This Row],[7]]="","",Table21215[[#This Row],[Weight]:[Weight]]-(Table21215[[#This Row],[Weight]:[Weight]]*((_xlfn.XMATCH(Table21215[[#This Row],[7]],Table21215[[#This Row],[1]:[11]],0))-1)/(COUNTA(Table21215[[#This Row],[1]:[11]])-COUNTBLANK(Table21215[[#This Row],[1]:[11]])-1)))</f>
        <v/>
      </c>
      <c r="AF34" s="30" t="str" cm="1">
        <f t="array" ref="AF34">IF(Table21215[[#This Row],[8]]="","",Table21215[[#This Row],[Weight]:[Weight]]-(Table21215[[#This Row],[Weight]:[Weight]]*((_xlfn.XMATCH(Table21215[[#This Row],[8]],Table21215[[#This Row],[1]:[11]],0))-1)/(COUNTA(Table21215[[#This Row],[1]:[11]])-COUNTBLANK(Table21215[[#This Row],[1]:[11]])-1)))</f>
        <v/>
      </c>
      <c r="AG34" s="30" t="str" cm="1">
        <f t="array" ref="AG34">IF(Table21215[[#This Row],[9]]="","",Table21215[[#This Row],[Weight]:[Weight]]-(Table21215[[#This Row],[Weight]:[Weight]]*((_xlfn.XMATCH(Table21215[[#This Row],[9]],Table21215[[#This Row],[1]:[11]],0))-1)/(COUNTA(Table21215[[#This Row],[1]:[11]])-COUNTBLANK(Table21215[[#This Row],[1]:[11]])-1)))</f>
        <v/>
      </c>
      <c r="AH34" s="30" t="str" cm="1">
        <f t="array" ref="AH34">IF(Table21215[[#This Row],[10]]="","",Table21215[[#This Row],[Weight]:[Weight]]-(Table21215[[#This Row],[Weight]:[Weight]]*((_xlfn.XMATCH(Table21215[[#This Row],[10]],Table21215[[#This Row],[1]:[11]],0))-1)/(COUNTA(Table21215[[#This Row],[1]:[11]])-COUNTBLANK(Table21215[[#This Row],[1]:[11]])-1)))</f>
        <v/>
      </c>
      <c r="AI34" s="30" t="str" cm="1">
        <f t="array" ref="AI34">IF(Table21215[[#This Row],[11]]="","",Table21215[[#This Row],[Weight]:[Weight]]-(Table21215[[#This Row],[Weight]:[Weight]]*((_xlfn.XMATCH(Table21215[[#This Row],[11]],Table21215[[#This Row],[1]:[11]],0))-1)/(COUNTA(Table21215[[#This Row],[1]:[11]])-COUNTBLANK(Table21215[[#This Row],[1]:[11]])-1)))</f>
        <v/>
      </c>
    </row>
    <row r="35" spans="1:35" ht="108" x14ac:dyDescent="0.2">
      <c r="A35" s="20">
        <v>23</v>
      </c>
      <c r="B35" s="165" t="s">
        <v>852</v>
      </c>
      <c r="C35" s="21" t="s">
        <v>826</v>
      </c>
      <c r="D35" s="38"/>
      <c r="E35" s="38"/>
      <c r="F35" s="159" t="s">
        <v>60</v>
      </c>
      <c r="G35" s="160" cm="1">
        <f t="array" ref="G35">_xlfn.IFS(F35="","",F35="No interest",0,F35="Nice to have",1,F35="Useful",2,F35="Important",3,F35="Very important",4,F35="Critical",5,F35="Show stopper",6)</f>
        <v>6</v>
      </c>
      <c r="H35" s="161">
        <f t="shared" si="2"/>
        <v>4.7656870532168391E-3</v>
      </c>
      <c r="I35" s="157" t="s">
        <v>827</v>
      </c>
      <c r="J35" s="35" t="str" cm="1">
        <f t="array" ref="J35">_xlfn.TEXTJOIN(","&amp;CHAR(10),,TEXT(Table21215[[#This Row],[12]:[22]],"0,00%"))</f>
        <v>0,00%,
0,00%,
0,00%,
0,00%</v>
      </c>
      <c r="K35" s="36"/>
      <c r="L35" s="37" t="e">
        <f>H35-(H35*((MATCH(Table21215[[#This Row],[Evaluators Response (SELECT)]],Table21215[[#This Row],[1]:[11]],0)-1)/(COUNTA(Table21215[[#This Row],[1]:[11]])-COUNTBLANK(Table21215[[#This Row],[1]:[11]])-1)))</f>
        <v>#N/A</v>
      </c>
      <c r="M35" s="38"/>
      <c r="N35" s="29" t="s">
        <v>828</v>
      </c>
      <c r="O35" s="29" t="s">
        <v>829</v>
      </c>
      <c r="P35" s="29" t="s">
        <v>830</v>
      </c>
      <c r="Q35" s="29" t="str" cm="1">
        <f t="array" ref="Q35">IFERROR(INDEX(_xlfn.UNIQUE(TRIM(_xlfn.TEXTSPLIT(Table21215[[#This Row],[Selection Options]:[Selection Options]],","))),,Q$11),"")</f>
        <v xml:space="preserve">
 0%: Not currently supported</v>
      </c>
      <c r="R35" s="29" t="str" cm="1">
        <f t="array" ref="R35">IFERROR(INDEX(_xlfn.UNIQUE(TRIM(_xlfn.TEXTSPLIT(Table21215[[#This Row],[Selection Options]:[Selection Options]],","))),,R$11),"")</f>
        <v/>
      </c>
      <c r="S35" s="29" t="str" cm="1">
        <f t="array" ref="S35">IFERROR(INDEX(_xlfn.UNIQUE(TRIM(_xlfn.TEXTSPLIT(Table21215[[#This Row],[Selection Options]:[Selection Options]],","))),,S$11),"")</f>
        <v/>
      </c>
      <c r="T35" s="29" t="str" cm="1">
        <f t="array" ref="T35">IFERROR(INDEX(_xlfn.UNIQUE(TRIM(_xlfn.TEXTSPLIT(Table21215[[#This Row],[Selection Options]:[Selection Options]],","))),,T$11),"")</f>
        <v/>
      </c>
      <c r="U35" s="29" t="str" cm="1">
        <f t="array" ref="U35">IFERROR(INDEX(_xlfn.UNIQUE(TRIM(_xlfn.TEXTSPLIT(Table21215[[#This Row],[Selection Options]:[Selection Options]],","))),,U$11),"")</f>
        <v/>
      </c>
      <c r="V35" s="29" t="str" cm="1">
        <f t="array" ref="V35">IFERROR(INDEX(_xlfn.UNIQUE(TRIM(_xlfn.TEXTSPLIT(Table21215[[#This Row],[Selection Options]:[Selection Options]],","))),,V$11),"")</f>
        <v/>
      </c>
      <c r="W35" s="29" t="str" cm="1">
        <f t="array" ref="W35">IFERROR(INDEX(_xlfn.UNIQUE(TRIM(_xlfn.TEXTSPLIT(Table21215[[#This Row],[Selection Options]:[Selection Options]],","))),,W$11),"")</f>
        <v/>
      </c>
      <c r="X35" s="29" t="str" cm="1">
        <f t="array" ref="X35">IFERROR(INDEX(_xlfn.UNIQUE(TRIM(_xlfn.TEXTSPLIT(Table21215[[#This Row],[Selection Options]:[Selection Options]],","))),,X$11),"")</f>
        <v/>
      </c>
      <c r="Y35" s="30" cm="1">
        <f t="array" ref="Y35">IF(Table21215[[#This Row],[1]]="","",Table21215[[#This Row],[Weight]:[Weight]]-(Table21215[[#This Row],[Weight]:[Weight]]*((_xlfn.XMATCH(Table21215[[#This Row],[1]],Table21215[[#This Row],[1]:[11]],0))-1)/(COUNTA(Table21215[[#This Row],[1]:[11]])-COUNTBLANK(Table21215[[#This Row],[1]:[11]])-1)))</f>
        <v>4.7656870532168391E-3</v>
      </c>
      <c r="Z35" s="30" cm="1">
        <f t="array" ref="Z35">IF(Table21215[[#This Row],[2]]="","",Table21215[[#This Row],[Weight]:[Weight]]-(Table21215[[#This Row],[Weight]:[Weight]]*((_xlfn.XMATCH(Table21215[[#This Row],[2]],Table21215[[#This Row],[1]:[11]],0))-1)/(COUNTA(Table21215[[#This Row],[1]:[11]])-COUNTBLANK(Table21215[[#This Row],[1]:[11]])-1)))</f>
        <v>3.1771247021445594E-3</v>
      </c>
      <c r="AA35" s="30" cm="1">
        <f t="array" ref="AA35">IF(Table21215[[#This Row],[3]]="","",Table21215[[#This Row],[Weight]:[Weight]]-(Table21215[[#This Row],[Weight]:[Weight]]*((_xlfn.XMATCH(Table21215[[#This Row],[3]],Table21215[[#This Row],[1]:[11]],0))-1)/(COUNTA(Table21215[[#This Row],[1]:[11]])-COUNTBLANK(Table21215[[#This Row],[1]:[11]])-1)))</f>
        <v>1.5885623510722797E-3</v>
      </c>
      <c r="AB35" s="30" cm="1">
        <f t="array" ref="AB35">IF(Table21215[[#This Row],[4]]="","",Table21215[[#This Row],[Weight]:[Weight]]-(Table21215[[#This Row],[Weight]:[Weight]]*((_xlfn.XMATCH(Table21215[[#This Row],[4]],Table21215[[#This Row],[1]:[11]],0))-1)/(COUNTA(Table21215[[#This Row],[1]:[11]])-COUNTBLANK(Table21215[[#This Row],[1]:[11]])-1)))</f>
        <v>0</v>
      </c>
      <c r="AC35" s="30" t="str" cm="1">
        <f t="array" ref="AC35">IF(Table21215[[#This Row],[5]]="","",Table21215[[#This Row],[Weight]:[Weight]]-(Table21215[[#This Row],[Weight]:[Weight]]*((_xlfn.XMATCH(Table21215[[#This Row],[5]],Table21215[[#This Row],[1]:[11]],0))-1)/(COUNTA(Table21215[[#This Row],[1]:[11]])-COUNTBLANK(Table21215[[#This Row],[1]:[11]])-1)))</f>
        <v/>
      </c>
      <c r="AD35" s="30" t="str" cm="1">
        <f t="array" ref="AD35">IF(Table21215[[#This Row],[6]]="","",Table21215[[#This Row],[Weight]:[Weight]]-(Table21215[[#This Row],[Weight]:[Weight]]*((_xlfn.XMATCH(Table21215[[#This Row],[6]],Table21215[[#This Row],[1]:[11]],0))-1)/(COUNTA(Table21215[[#This Row],[1]:[11]])-COUNTBLANK(Table21215[[#This Row],[1]:[11]])-1)))</f>
        <v/>
      </c>
      <c r="AE35" s="30" t="str" cm="1">
        <f t="array" ref="AE35">IF(Table21215[[#This Row],[7]]="","",Table21215[[#This Row],[Weight]:[Weight]]-(Table21215[[#This Row],[Weight]:[Weight]]*((_xlfn.XMATCH(Table21215[[#This Row],[7]],Table21215[[#This Row],[1]:[11]],0))-1)/(COUNTA(Table21215[[#This Row],[1]:[11]])-COUNTBLANK(Table21215[[#This Row],[1]:[11]])-1)))</f>
        <v/>
      </c>
      <c r="AF35" s="30" t="str" cm="1">
        <f t="array" ref="AF35">IF(Table21215[[#This Row],[8]]="","",Table21215[[#This Row],[Weight]:[Weight]]-(Table21215[[#This Row],[Weight]:[Weight]]*((_xlfn.XMATCH(Table21215[[#This Row],[8]],Table21215[[#This Row],[1]:[11]],0))-1)/(COUNTA(Table21215[[#This Row],[1]:[11]])-COUNTBLANK(Table21215[[#This Row],[1]:[11]])-1)))</f>
        <v/>
      </c>
      <c r="AG35" s="30" t="str" cm="1">
        <f t="array" ref="AG35">IF(Table21215[[#This Row],[9]]="","",Table21215[[#This Row],[Weight]:[Weight]]-(Table21215[[#This Row],[Weight]:[Weight]]*((_xlfn.XMATCH(Table21215[[#This Row],[9]],Table21215[[#This Row],[1]:[11]],0))-1)/(COUNTA(Table21215[[#This Row],[1]:[11]])-COUNTBLANK(Table21215[[#This Row],[1]:[11]])-1)))</f>
        <v/>
      </c>
      <c r="AH35" s="30" t="str" cm="1">
        <f t="array" ref="AH35">IF(Table21215[[#This Row],[10]]="","",Table21215[[#This Row],[Weight]:[Weight]]-(Table21215[[#This Row],[Weight]:[Weight]]*((_xlfn.XMATCH(Table21215[[#This Row],[10]],Table21215[[#This Row],[1]:[11]],0))-1)/(COUNTA(Table21215[[#This Row],[1]:[11]])-COUNTBLANK(Table21215[[#This Row],[1]:[11]])-1)))</f>
        <v/>
      </c>
      <c r="AI35" s="30" t="str" cm="1">
        <f t="array" ref="AI35">IF(Table21215[[#This Row],[11]]="","",Table21215[[#This Row],[Weight]:[Weight]]-(Table21215[[#This Row],[Weight]:[Weight]]*((_xlfn.XMATCH(Table21215[[#This Row],[11]],Table21215[[#This Row],[1]:[11]],0))-1)/(COUNTA(Table21215[[#This Row],[1]:[11]])-COUNTBLANK(Table21215[[#This Row],[1]:[11]])-1)))</f>
        <v/>
      </c>
    </row>
    <row r="36" spans="1:35" ht="108" x14ac:dyDescent="0.2">
      <c r="A36" s="20">
        <v>24</v>
      </c>
      <c r="B36" s="165" t="s">
        <v>853</v>
      </c>
      <c r="C36" s="21" t="s">
        <v>826</v>
      </c>
      <c r="D36" s="38"/>
      <c r="E36" s="38"/>
      <c r="F36" s="159" t="s">
        <v>60</v>
      </c>
      <c r="G36" s="160" cm="1">
        <f t="array" ref="G36">_xlfn.IFS(F36="","",F36="No interest",0,F36="Nice to have",1,F36="Useful",2,F36="Important",3,F36="Very important",4,F36="Critical",5,F36="Show stopper",6)</f>
        <v>6</v>
      </c>
      <c r="H36" s="161">
        <f t="shared" si="2"/>
        <v>4.7656870532168391E-3</v>
      </c>
      <c r="I36" s="157" t="s">
        <v>827</v>
      </c>
      <c r="J36" s="35" t="str" cm="1">
        <f t="array" ref="J36">_xlfn.TEXTJOIN(","&amp;CHAR(10),,TEXT(Table21215[[#This Row],[12]:[22]],"0,00%"))</f>
        <v>0,00%,
0,00%,
0,00%,
0,00%</v>
      </c>
      <c r="K36" s="36"/>
      <c r="L36" s="37" t="e">
        <f>H36-(H36*((MATCH(Table21215[[#This Row],[Evaluators Response (SELECT)]],Table21215[[#This Row],[1]:[11]],0)-1)/(COUNTA(Table21215[[#This Row],[1]:[11]])-COUNTBLANK(Table21215[[#This Row],[1]:[11]])-1)))</f>
        <v>#N/A</v>
      </c>
      <c r="M36" s="38"/>
      <c r="N36" s="29" t="s">
        <v>828</v>
      </c>
      <c r="O36" s="29" t="s">
        <v>829</v>
      </c>
      <c r="P36" s="29" t="s">
        <v>830</v>
      </c>
      <c r="Q36" s="29" t="str" cm="1">
        <f t="array" ref="Q36">IFERROR(INDEX(_xlfn.UNIQUE(TRIM(_xlfn.TEXTSPLIT(Table21215[[#This Row],[Selection Options]:[Selection Options]],","))),,Q$11),"")</f>
        <v xml:space="preserve">
 0%: Not currently supported</v>
      </c>
      <c r="R36" s="29" t="str" cm="1">
        <f t="array" ref="R36">IFERROR(INDEX(_xlfn.UNIQUE(TRIM(_xlfn.TEXTSPLIT(Table21215[[#This Row],[Selection Options]:[Selection Options]],","))),,R$11),"")</f>
        <v/>
      </c>
      <c r="S36" s="29" t="str" cm="1">
        <f t="array" ref="S36">IFERROR(INDEX(_xlfn.UNIQUE(TRIM(_xlfn.TEXTSPLIT(Table21215[[#This Row],[Selection Options]:[Selection Options]],","))),,S$11),"")</f>
        <v/>
      </c>
      <c r="T36" s="29" t="str" cm="1">
        <f t="array" ref="T36">IFERROR(INDEX(_xlfn.UNIQUE(TRIM(_xlfn.TEXTSPLIT(Table21215[[#This Row],[Selection Options]:[Selection Options]],","))),,T$11),"")</f>
        <v/>
      </c>
      <c r="U36" s="29" t="str" cm="1">
        <f t="array" ref="U36">IFERROR(INDEX(_xlfn.UNIQUE(TRIM(_xlfn.TEXTSPLIT(Table21215[[#This Row],[Selection Options]:[Selection Options]],","))),,U$11),"")</f>
        <v/>
      </c>
      <c r="V36" s="29" t="str" cm="1">
        <f t="array" ref="V36">IFERROR(INDEX(_xlfn.UNIQUE(TRIM(_xlfn.TEXTSPLIT(Table21215[[#This Row],[Selection Options]:[Selection Options]],","))),,V$11),"")</f>
        <v/>
      </c>
      <c r="W36" s="29" t="str" cm="1">
        <f t="array" ref="W36">IFERROR(INDEX(_xlfn.UNIQUE(TRIM(_xlfn.TEXTSPLIT(Table21215[[#This Row],[Selection Options]:[Selection Options]],","))),,W$11),"")</f>
        <v/>
      </c>
      <c r="X36" s="29" t="str" cm="1">
        <f t="array" ref="X36">IFERROR(INDEX(_xlfn.UNIQUE(TRIM(_xlfn.TEXTSPLIT(Table21215[[#This Row],[Selection Options]:[Selection Options]],","))),,X$11),"")</f>
        <v/>
      </c>
      <c r="Y36" s="30" cm="1">
        <f t="array" ref="Y36">IF(Table21215[[#This Row],[1]]="","",Table21215[[#This Row],[Weight]:[Weight]]-(Table21215[[#This Row],[Weight]:[Weight]]*((_xlfn.XMATCH(Table21215[[#This Row],[1]],Table21215[[#This Row],[1]:[11]],0))-1)/(COUNTA(Table21215[[#This Row],[1]:[11]])-COUNTBLANK(Table21215[[#This Row],[1]:[11]])-1)))</f>
        <v>4.7656870532168391E-3</v>
      </c>
      <c r="Z36" s="30" cm="1">
        <f t="array" ref="Z36">IF(Table21215[[#This Row],[2]]="","",Table21215[[#This Row],[Weight]:[Weight]]-(Table21215[[#This Row],[Weight]:[Weight]]*((_xlfn.XMATCH(Table21215[[#This Row],[2]],Table21215[[#This Row],[1]:[11]],0))-1)/(COUNTA(Table21215[[#This Row],[1]:[11]])-COUNTBLANK(Table21215[[#This Row],[1]:[11]])-1)))</f>
        <v>3.1771247021445594E-3</v>
      </c>
      <c r="AA36" s="30" cm="1">
        <f t="array" ref="AA36">IF(Table21215[[#This Row],[3]]="","",Table21215[[#This Row],[Weight]:[Weight]]-(Table21215[[#This Row],[Weight]:[Weight]]*((_xlfn.XMATCH(Table21215[[#This Row],[3]],Table21215[[#This Row],[1]:[11]],0))-1)/(COUNTA(Table21215[[#This Row],[1]:[11]])-COUNTBLANK(Table21215[[#This Row],[1]:[11]])-1)))</f>
        <v>1.5885623510722797E-3</v>
      </c>
      <c r="AB36" s="30" cm="1">
        <f t="array" ref="AB36">IF(Table21215[[#This Row],[4]]="","",Table21215[[#This Row],[Weight]:[Weight]]-(Table21215[[#This Row],[Weight]:[Weight]]*((_xlfn.XMATCH(Table21215[[#This Row],[4]],Table21215[[#This Row],[1]:[11]],0))-1)/(COUNTA(Table21215[[#This Row],[1]:[11]])-COUNTBLANK(Table21215[[#This Row],[1]:[11]])-1)))</f>
        <v>0</v>
      </c>
      <c r="AC36" s="30" t="str" cm="1">
        <f t="array" ref="AC36">IF(Table21215[[#This Row],[5]]="","",Table21215[[#This Row],[Weight]:[Weight]]-(Table21215[[#This Row],[Weight]:[Weight]]*((_xlfn.XMATCH(Table21215[[#This Row],[5]],Table21215[[#This Row],[1]:[11]],0))-1)/(COUNTA(Table21215[[#This Row],[1]:[11]])-COUNTBLANK(Table21215[[#This Row],[1]:[11]])-1)))</f>
        <v/>
      </c>
      <c r="AD36" s="30" t="str" cm="1">
        <f t="array" ref="AD36">IF(Table21215[[#This Row],[6]]="","",Table21215[[#This Row],[Weight]:[Weight]]-(Table21215[[#This Row],[Weight]:[Weight]]*((_xlfn.XMATCH(Table21215[[#This Row],[6]],Table21215[[#This Row],[1]:[11]],0))-1)/(COUNTA(Table21215[[#This Row],[1]:[11]])-COUNTBLANK(Table21215[[#This Row],[1]:[11]])-1)))</f>
        <v/>
      </c>
      <c r="AE36" s="30" t="str" cm="1">
        <f t="array" ref="AE36">IF(Table21215[[#This Row],[7]]="","",Table21215[[#This Row],[Weight]:[Weight]]-(Table21215[[#This Row],[Weight]:[Weight]]*((_xlfn.XMATCH(Table21215[[#This Row],[7]],Table21215[[#This Row],[1]:[11]],0))-1)/(COUNTA(Table21215[[#This Row],[1]:[11]])-COUNTBLANK(Table21215[[#This Row],[1]:[11]])-1)))</f>
        <v/>
      </c>
      <c r="AF36" s="30" t="str" cm="1">
        <f t="array" ref="AF36">IF(Table21215[[#This Row],[8]]="","",Table21215[[#This Row],[Weight]:[Weight]]-(Table21215[[#This Row],[Weight]:[Weight]]*((_xlfn.XMATCH(Table21215[[#This Row],[8]],Table21215[[#This Row],[1]:[11]],0))-1)/(COUNTA(Table21215[[#This Row],[1]:[11]])-COUNTBLANK(Table21215[[#This Row],[1]:[11]])-1)))</f>
        <v/>
      </c>
      <c r="AG36" s="30" t="str" cm="1">
        <f t="array" ref="AG36">IF(Table21215[[#This Row],[9]]="","",Table21215[[#This Row],[Weight]:[Weight]]-(Table21215[[#This Row],[Weight]:[Weight]]*((_xlfn.XMATCH(Table21215[[#This Row],[9]],Table21215[[#This Row],[1]:[11]],0))-1)/(COUNTA(Table21215[[#This Row],[1]:[11]])-COUNTBLANK(Table21215[[#This Row],[1]:[11]])-1)))</f>
        <v/>
      </c>
      <c r="AH36" s="30" t="str" cm="1">
        <f t="array" ref="AH36">IF(Table21215[[#This Row],[10]]="","",Table21215[[#This Row],[Weight]:[Weight]]-(Table21215[[#This Row],[Weight]:[Weight]]*((_xlfn.XMATCH(Table21215[[#This Row],[10]],Table21215[[#This Row],[1]:[11]],0))-1)/(COUNTA(Table21215[[#This Row],[1]:[11]])-COUNTBLANK(Table21215[[#This Row],[1]:[11]])-1)))</f>
        <v/>
      </c>
      <c r="AI36" s="30" t="str" cm="1">
        <f t="array" ref="AI36">IF(Table21215[[#This Row],[11]]="","",Table21215[[#This Row],[Weight]:[Weight]]-(Table21215[[#This Row],[Weight]:[Weight]]*((_xlfn.XMATCH(Table21215[[#This Row],[11]],Table21215[[#This Row],[1]:[11]],0))-1)/(COUNTA(Table21215[[#This Row],[1]:[11]])-COUNTBLANK(Table21215[[#This Row],[1]:[11]])-1)))</f>
        <v/>
      </c>
    </row>
    <row r="37" spans="1:35" ht="108" x14ac:dyDescent="0.2">
      <c r="A37" s="20">
        <v>25</v>
      </c>
      <c r="B37" s="165" t="s">
        <v>854</v>
      </c>
      <c r="C37" s="21" t="s">
        <v>826</v>
      </c>
      <c r="D37" s="38"/>
      <c r="E37" s="38"/>
      <c r="F37" s="159" t="s">
        <v>60</v>
      </c>
      <c r="G37" s="160" cm="1">
        <f t="array" ref="G37">_xlfn.IFS(F37="","",F37="No interest",0,F37="Nice to have",1,F37="Useful",2,F37="Important",3,F37="Very important",4,F37="Critical",5,F37="Show stopper",6)</f>
        <v>6</v>
      </c>
      <c r="H37" s="161">
        <f t="shared" si="2"/>
        <v>4.7656870532168391E-3</v>
      </c>
      <c r="I37" s="157" t="s">
        <v>827</v>
      </c>
      <c r="J37" s="35" t="str" cm="1">
        <f t="array" ref="J37">_xlfn.TEXTJOIN(","&amp;CHAR(10),,TEXT(Table21215[[#This Row],[12]:[22]],"0,00%"))</f>
        <v>0,00%,
0,00%,
0,00%,
0,00%</v>
      </c>
      <c r="K37" s="36"/>
      <c r="L37" s="37" t="e">
        <f>H37-(H37*((MATCH(Table21215[[#This Row],[Evaluators Response (SELECT)]],Table21215[[#This Row],[1]:[11]],0)-1)/(COUNTA(Table21215[[#This Row],[1]:[11]])-COUNTBLANK(Table21215[[#This Row],[1]:[11]])-1)))</f>
        <v>#N/A</v>
      </c>
      <c r="M37" s="38"/>
      <c r="N37" s="29" t="s">
        <v>828</v>
      </c>
      <c r="O37" s="29" t="s">
        <v>829</v>
      </c>
      <c r="P37" s="29" t="s">
        <v>830</v>
      </c>
      <c r="Q37" s="29" t="str" cm="1">
        <f t="array" ref="Q37">IFERROR(INDEX(_xlfn.UNIQUE(TRIM(_xlfn.TEXTSPLIT(Table21215[[#This Row],[Selection Options]:[Selection Options]],","))),,Q$11),"")</f>
        <v xml:space="preserve">
 0%: Not currently supported</v>
      </c>
      <c r="R37" s="29" t="str" cm="1">
        <f t="array" ref="R37">IFERROR(INDEX(_xlfn.UNIQUE(TRIM(_xlfn.TEXTSPLIT(Table21215[[#This Row],[Selection Options]:[Selection Options]],","))),,R$11),"")</f>
        <v/>
      </c>
      <c r="S37" s="29" t="str" cm="1">
        <f t="array" ref="S37">IFERROR(INDEX(_xlfn.UNIQUE(TRIM(_xlfn.TEXTSPLIT(Table21215[[#This Row],[Selection Options]:[Selection Options]],","))),,S$11),"")</f>
        <v/>
      </c>
      <c r="T37" s="29" t="str" cm="1">
        <f t="array" ref="T37">IFERROR(INDEX(_xlfn.UNIQUE(TRIM(_xlfn.TEXTSPLIT(Table21215[[#This Row],[Selection Options]:[Selection Options]],","))),,T$11),"")</f>
        <v/>
      </c>
      <c r="U37" s="29" t="str" cm="1">
        <f t="array" ref="U37">IFERROR(INDEX(_xlfn.UNIQUE(TRIM(_xlfn.TEXTSPLIT(Table21215[[#This Row],[Selection Options]:[Selection Options]],","))),,U$11),"")</f>
        <v/>
      </c>
      <c r="V37" s="29" t="str" cm="1">
        <f t="array" ref="V37">IFERROR(INDEX(_xlfn.UNIQUE(TRIM(_xlfn.TEXTSPLIT(Table21215[[#This Row],[Selection Options]:[Selection Options]],","))),,V$11),"")</f>
        <v/>
      </c>
      <c r="W37" s="29" t="str" cm="1">
        <f t="array" ref="W37">IFERROR(INDEX(_xlfn.UNIQUE(TRIM(_xlfn.TEXTSPLIT(Table21215[[#This Row],[Selection Options]:[Selection Options]],","))),,W$11),"")</f>
        <v/>
      </c>
      <c r="X37" s="29" t="str" cm="1">
        <f t="array" ref="X37">IFERROR(INDEX(_xlfn.UNIQUE(TRIM(_xlfn.TEXTSPLIT(Table21215[[#This Row],[Selection Options]:[Selection Options]],","))),,X$11),"")</f>
        <v/>
      </c>
      <c r="Y37" s="30" cm="1">
        <f t="array" ref="Y37">IF(Table21215[[#This Row],[1]]="","",Table21215[[#This Row],[Weight]:[Weight]]-(Table21215[[#This Row],[Weight]:[Weight]]*((_xlfn.XMATCH(Table21215[[#This Row],[1]],Table21215[[#This Row],[1]:[11]],0))-1)/(COUNTA(Table21215[[#This Row],[1]:[11]])-COUNTBLANK(Table21215[[#This Row],[1]:[11]])-1)))</f>
        <v>4.7656870532168391E-3</v>
      </c>
      <c r="Z37" s="30" cm="1">
        <f t="array" ref="Z37">IF(Table21215[[#This Row],[2]]="","",Table21215[[#This Row],[Weight]:[Weight]]-(Table21215[[#This Row],[Weight]:[Weight]]*((_xlfn.XMATCH(Table21215[[#This Row],[2]],Table21215[[#This Row],[1]:[11]],0))-1)/(COUNTA(Table21215[[#This Row],[1]:[11]])-COUNTBLANK(Table21215[[#This Row],[1]:[11]])-1)))</f>
        <v>3.1771247021445594E-3</v>
      </c>
      <c r="AA37" s="30" cm="1">
        <f t="array" ref="AA37">IF(Table21215[[#This Row],[3]]="","",Table21215[[#This Row],[Weight]:[Weight]]-(Table21215[[#This Row],[Weight]:[Weight]]*((_xlfn.XMATCH(Table21215[[#This Row],[3]],Table21215[[#This Row],[1]:[11]],0))-1)/(COUNTA(Table21215[[#This Row],[1]:[11]])-COUNTBLANK(Table21215[[#This Row],[1]:[11]])-1)))</f>
        <v>1.5885623510722797E-3</v>
      </c>
      <c r="AB37" s="30" cm="1">
        <f t="array" ref="AB37">IF(Table21215[[#This Row],[4]]="","",Table21215[[#This Row],[Weight]:[Weight]]-(Table21215[[#This Row],[Weight]:[Weight]]*((_xlfn.XMATCH(Table21215[[#This Row],[4]],Table21215[[#This Row],[1]:[11]],0))-1)/(COUNTA(Table21215[[#This Row],[1]:[11]])-COUNTBLANK(Table21215[[#This Row],[1]:[11]])-1)))</f>
        <v>0</v>
      </c>
      <c r="AC37" s="30" t="str" cm="1">
        <f t="array" ref="AC37">IF(Table21215[[#This Row],[5]]="","",Table21215[[#This Row],[Weight]:[Weight]]-(Table21215[[#This Row],[Weight]:[Weight]]*((_xlfn.XMATCH(Table21215[[#This Row],[5]],Table21215[[#This Row],[1]:[11]],0))-1)/(COUNTA(Table21215[[#This Row],[1]:[11]])-COUNTBLANK(Table21215[[#This Row],[1]:[11]])-1)))</f>
        <v/>
      </c>
      <c r="AD37" s="30" t="str" cm="1">
        <f t="array" ref="AD37">IF(Table21215[[#This Row],[6]]="","",Table21215[[#This Row],[Weight]:[Weight]]-(Table21215[[#This Row],[Weight]:[Weight]]*((_xlfn.XMATCH(Table21215[[#This Row],[6]],Table21215[[#This Row],[1]:[11]],0))-1)/(COUNTA(Table21215[[#This Row],[1]:[11]])-COUNTBLANK(Table21215[[#This Row],[1]:[11]])-1)))</f>
        <v/>
      </c>
      <c r="AE37" s="30" t="str" cm="1">
        <f t="array" ref="AE37">IF(Table21215[[#This Row],[7]]="","",Table21215[[#This Row],[Weight]:[Weight]]-(Table21215[[#This Row],[Weight]:[Weight]]*((_xlfn.XMATCH(Table21215[[#This Row],[7]],Table21215[[#This Row],[1]:[11]],0))-1)/(COUNTA(Table21215[[#This Row],[1]:[11]])-COUNTBLANK(Table21215[[#This Row],[1]:[11]])-1)))</f>
        <v/>
      </c>
      <c r="AF37" s="30" t="str" cm="1">
        <f t="array" ref="AF37">IF(Table21215[[#This Row],[8]]="","",Table21215[[#This Row],[Weight]:[Weight]]-(Table21215[[#This Row],[Weight]:[Weight]]*((_xlfn.XMATCH(Table21215[[#This Row],[8]],Table21215[[#This Row],[1]:[11]],0))-1)/(COUNTA(Table21215[[#This Row],[1]:[11]])-COUNTBLANK(Table21215[[#This Row],[1]:[11]])-1)))</f>
        <v/>
      </c>
      <c r="AG37" s="30" t="str" cm="1">
        <f t="array" ref="AG37">IF(Table21215[[#This Row],[9]]="","",Table21215[[#This Row],[Weight]:[Weight]]-(Table21215[[#This Row],[Weight]:[Weight]]*((_xlfn.XMATCH(Table21215[[#This Row],[9]],Table21215[[#This Row],[1]:[11]],0))-1)/(COUNTA(Table21215[[#This Row],[1]:[11]])-COUNTBLANK(Table21215[[#This Row],[1]:[11]])-1)))</f>
        <v/>
      </c>
      <c r="AH37" s="30" t="str" cm="1">
        <f t="array" ref="AH37">IF(Table21215[[#This Row],[10]]="","",Table21215[[#This Row],[Weight]:[Weight]]-(Table21215[[#This Row],[Weight]:[Weight]]*((_xlfn.XMATCH(Table21215[[#This Row],[10]],Table21215[[#This Row],[1]:[11]],0))-1)/(COUNTA(Table21215[[#This Row],[1]:[11]])-COUNTBLANK(Table21215[[#This Row],[1]:[11]])-1)))</f>
        <v/>
      </c>
      <c r="AI37" s="30" t="str" cm="1">
        <f t="array" ref="AI37">IF(Table21215[[#This Row],[11]]="","",Table21215[[#This Row],[Weight]:[Weight]]-(Table21215[[#This Row],[Weight]:[Weight]]*((_xlfn.XMATCH(Table21215[[#This Row],[11]],Table21215[[#This Row],[1]:[11]],0))-1)/(COUNTA(Table21215[[#This Row],[1]:[11]])-COUNTBLANK(Table21215[[#This Row],[1]:[11]])-1)))</f>
        <v/>
      </c>
    </row>
    <row r="38" spans="1:35" ht="108" x14ac:dyDescent="0.2">
      <c r="A38" s="20">
        <v>26</v>
      </c>
      <c r="B38" s="165" t="s">
        <v>855</v>
      </c>
      <c r="C38" s="21" t="s">
        <v>826</v>
      </c>
      <c r="D38" s="38"/>
      <c r="E38" s="38"/>
      <c r="F38" s="159" t="s">
        <v>60</v>
      </c>
      <c r="G38" s="160" cm="1">
        <f t="array" ref="G38">_xlfn.IFS(F38="","",F38="No interest",0,F38="Nice to have",1,F38="Useful",2,F38="Important",3,F38="Very important",4,F38="Critical",5,F38="Show stopper",6)</f>
        <v>6</v>
      </c>
      <c r="H38" s="161">
        <f t="shared" si="2"/>
        <v>4.7656870532168391E-3</v>
      </c>
      <c r="I38" s="157" t="s">
        <v>827</v>
      </c>
      <c r="J38" s="35" t="str" cm="1">
        <f t="array" ref="J38">_xlfn.TEXTJOIN(","&amp;CHAR(10),,TEXT(Table21215[[#This Row],[12]:[22]],"0,00%"))</f>
        <v>0,00%,
0,00%,
0,00%,
0,00%</v>
      </c>
      <c r="K38" s="36"/>
      <c r="L38" s="37" t="e">
        <f>H38-(H38*((MATCH(Table21215[[#This Row],[Evaluators Response (SELECT)]],Table21215[[#This Row],[1]:[11]],0)-1)/(COUNTA(Table21215[[#This Row],[1]:[11]])-COUNTBLANK(Table21215[[#This Row],[1]:[11]])-1)))</f>
        <v>#N/A</v>
      </c>
      <c r="M38" s="38"/>
      <c r="N38" s="29" t="s">
        <v>828</v>
      </c>
      <c r="O38" s="29" t="s">
        <v>829</v>
      </c>
      <c r="P38" s="29" t="s">
        <v>830</v>
      </c>
      <c r="Q38" s="29" t="str" cm="1">
        <f t="array" ref="Q38">IFERROR(INDEX(_xlfn.UNIQUE(TRIM(_xlfn.TEXTSPLIT(Table21215[[#This Row],[Selection Options]:[Selection Options]],","))),,Q$11),"")</f>
        <v xml:space="preserve">
 0%: Not currently supported</v>
      </c>
      <c r="R38" s="29" t="str" cm="1">
        <f t="array" ref="R38">IFERROR(INDEX(_xlfn.UNIQUE(TRIM(_xlfn.TEXTSPLIT(Table21215[[#This Row],[Selection Options]:[Selection Options]],","))),,R$11),"")</f>
        <v/>
      </c>
      <c r="S38" s="29" t="str" cm="1">
        <f t="array" ref="S38">IFERROR(INDEX(_xlfn.UNIQUE(TRIM(_xlfn.TEXTSPLIT(Table21215[[#This Row],[Selection Options]:[Selection Options]],","))),,S$11),"")</f>
        <v/>
      </c>
      <c r="T38" s="29" t="str" cm="1">
        <f t="array" ref="T38">IFERROR(INDEX(_xlfn.UNIQUE(TRIM(_xlfn.TEXTSPLIT(Table21215[[#This Row],[Selection Options]:[Selection Options]],","))),,T$11),"")</f>
        <v/>
      </c>
      <c r="U38" s="29" t="str" cm="1">
        <f t="array" ref="U38">IFERROR(INDEX(_xlfn.UNIQUE(TRIM(_xlfn.TEXTSPLIT(Table21215[[#This Row],[Selection Options]:[Selection Options]],","))),,U$11),"")</f>
        <v/>
      </c>
      <c r="V38" s="29" t="str" cm="1">
        <f t="array" ref="V38">IFERROR(INDEX(_xlfn.UNIQUE(TRIM(_xlfn.TEXTSPLIT(Table21215[[#This Row],[Selection Options]:[Selection Options]],","))),,V$11),"")</f>
        <v/>
      </c>
      <c r="W38" s="29" t="str" cm="1">
        <f t="array" ref="W38">IFERROR(INDEX(_xlfn.UNIQUE(TRIM(_xlfn.TEXTSPLIT(Table21215[[#This Row],[Selection Options]:[Selection Options]],","))),,W$11),"")</f>
        <v/>
      </c>
      <c r="X38" s="29" t="str" cm="1">
        <f t="array" ref="X38">IFERROR(INDEX(_xlfn.UNIQUE(TRIM(_xlfn.TEXTSPLIT(Table21215[[#This Row],[Selection Options]:[Selection Options]],","))),,X$11),"")</f>
        <v/>
      </c>
      <c r="Y38" s="30" cm="1">
        <f t="array" ref="Y38">IF(Table21215[[#This Row],[1]]="","",Table21215[[#This Row],[Weight]:[Weight]]-(Table21215[[#This Row],[Weight]:[Weight]]*((_xlfn.XMATCH(Table21215[[#This Row],[1]],Table21215[[#This Row],[1]:[11]],0))-1)/(COUNTA(Table21215[[#This Row],[1]:[11]])-COUNTBLANK(Table21215[[#This Row],[1]:[11]])-1)))</f>
        <v>4.7656870532168391E-3</v>
      </c>
      <c r="Z38" s="30" cm="1">
        <f t="array" ref="Z38">IF(Table21215[[#This Row],[2]]="","",Table21215[[#This Row],[Weight]:[Weight]]-(Table21215[[#This Row],[Weight]:[Weight]]*((_xlfn.XMATCH(Table21215[[#This Row],[2]],Table21215[[#This Row],[1]:[11]],0))-1)/(COUNTA(Table21215[[#This Row],[1]:[11]])-COUNTBLANK(Table21215[[#This Row],[1]:[11]])-1)))</f>
        <v>3.1771247021445594E-3</v>
      </c>
      <c r="AA38" s="30" cm="1">
        <f t="array" ref="AA38">IF(Table21215[[#This Row],[3]]="","",Table21215[[#This Row],[Weight]:[Weight]]-(Table21215[[#This Row],[Weight]:[Weight]]*((_xlfn.XMATCH(Table21215[[#This Row],[3]],Table21215[[#This Row],[1]:[11]],0))-1)/(COUNTA(Table21215[[#This Row],[1]:[11]])-COUNTBLANK(Table21215[[#This Row],[1]:[11]])-1)))</f>
        <v>1.5885623510722797E-3</v>
      </c>
      <c r="AB38" s="30" cm="1">
        <f t="array" ref="AB38">IF(Table21215[[#This Row],[4]]="","",Table21215[[#This Row],[Weight]:[Weight]]-(Table21215[[#This Row],[Weight]:[Weight]]*((_xlfn.XMATCH(Table21215[[#This Row],[4]],Table21215[[#This Row],[1]:[11]],0))-1)/(COUNTA(Table21215[[#This Row],[1]:[11]])-COUNTBLANK(Table21215[[#This Row],[1]:[11]])-1)))</f>
        <v>0</v>
      </c>
      <c r="AC38" s="30" t="str" cm="1">
        <f t="array" ref="AC38">IF(Table21215[[#This Row],[5]]="","",Table21215[[#This Row],[Weight]:[Weight]]-(Table21215[[#This Row],[Weight]:[Weight]]*((_xlfn.XMATCH(Table21215[[#This Row],[5]],Table21215[[#This Row],[1]:[11]],0))-1)/(COUNTA(Table21215[[#This Row],[1]:[11]])-COUNTBLANK(Table21215[[#This Row],[1]:[11]])-1)))</f>
        <v/>
      </c>
      <c r="AD38" s="30" t="str" cm="1">
        <f t="array" ref="AD38">IF(Table21215[[#This Row],[6]]="","",Table21215[[#This Row],[Weight]:[Weight]]-(Table21215[[#This Row],[Weight]:[Weight]]*((_xlfn.XMATCH(Table21215[[#This Row],[6]],Table21215[[#This Row],[1]:[11]],0))-1)/(COUNTA(Table21215[[#This Row],[1]:[11]])-COUNTBLANK(Table21215[[#This Row],[1]:[11]])-1)))</f>
        <v/>
      </c>
      <c r="AE38" s="30" t="str" cm="1">
        <f t="array" ref="AE38">IF(Table21215[[#This Row],[7]]="","",Table21215[[#This Row],[Weight]:[Weight]]-(Table21215[[#This Row],[Weight]:[Weight]]*((_xlfn.XMATCH(Table21215[[#This Row],[7]],Table21215[[#This Row],[1]:[11]],0))-1)/(COUNTA(Table21215[[#This Row],[1]:[11]])-COUNTBLANK(Table21215[[#This Row],[1]:[11]])-1)))</f>
        <v/>
      </c>
      <c r="AF38" s="30" t="str" cm="1">
        <f t="array" ref="AF38">IF(Table21215[[#This Row],[8]]="","",Table21215[[#This Row],[Weight]:[Weight]]-(Table21215[[#This Row],[Weight]:[Weight]]*((_xlfn.XMATCH(Table21215[[#This Row],[8]],Table21215[[#This Row],[1]:[11]],0))-1)/(COUNTA(Table21215[[#This Row],[1]:[11]])-COUNTBLANK(Table21215[[#This Row],[1]:[11]])-1)))</f>
        <v/>
      </c>
      <c r="AG38" s="30" t="str" cm="1">
        <f t="array" ref="AG38">IF(Table21215[[#This Row],[9]]="","",Table21215[[#This Row],[Weight]:[Weight]]-(Table21215[[#This Row],[Weight]:[Weight]]*((_xlfn.XMATCH(Table21215[[#This Row],[9]],Table21215[[#This Row],[1]:[11]],0))-1)/(COUNTA(Table21215[[#This Row],[1]:[11]])-COUNTBLANK(Table21215[[#This Row],[1]:[11]])-1)))</f>
        <v/>
      </c>
      <c r="AH38" s="30" t="str" cm="1">
        <f t="array" ref="AH38">IF(Table21215[[#This Row],[10]]="","",Table21215[[#This Row],[Weight]:[Weight]]-(Table21215[[#This Row],[Weight]:[Weight]]*((_xlfn.XMATCH(Table21215[[#This Row],[10]],Table21215[[#This Row],[1]:[11]],0))-1)/(COUNTA(Table21215[[#This Row],[1]:[11]])-COUNTBLANK(Table21215[[#This Row],[1]:[11]])-1)))</f>
        <v/>
      </c>
      <c r="AI38" s="30" t="str" cm="1">
        <f t="array" ref="AI38">IF(Table21215[[#This Row],[11]]="","",Table21215[[#This Row],[Weight]:[Weight]]-(Table21215[[#This Row],[Weight]:[Weight]]*((_xlfn.XMATCH(Table21215[[#This Row],[11]],Table21215[[#This Row],[1]:[11]],0))-1)/(COUNTA(Table21215[[#This Row],[1]:[11]])-COUNTBLANK(Table21215[[#This Row],[1]:[11]])-1)))</f>
        <v/>
      </c>
    </row>
    <row r="39" spans="1:35" ht="108" x14ac:dyDescent="0.2">
      <c r="A39" s="20">
        <v>27</v>
      </c>
      <c r="B39" s="165" t="s">
        <v>856</v>
      </c>
      <c r="C39" s="21" t="s">
        <v>826</v>
      </c>
      <c r="D39" s="38"/>
      <c r="E39" s="38"/>
      <c r="F39" s="159" t="s">
        <v>188</v>
      </c>
      <c r="G39" s="160" cm="1">
        <f t="array" ref="G39">_xlfn.IFS(F39="","",F39="No interest",0,F39="Nice to have",1,F39="Useful",2,F39="Important",3,F39="Very important",4,F39="Critical",5,F39="Show stopper",6)</f>
        <v>5</v>
      </c>
      <c r="H39" s="161">
        <f t="shared" si="2"/>
        <v>3.9714058776806989E-3</v>
      </c>
      <c r="I39" s="157" t="s">
        <v>827</v>
      </c>
      <c r="J39" s="35" t="str" cm="1">
        <f t="array" ref="J39">_xlfn.TEXTJOIN(","&amp;CHAR(10),,TEXT(Table21215[[#This Row],[12]:[22]],"0,00%"))</f>
        <v>0,00%,
0,00%,
0,00%,
0,00%</v>
      </c>
      <c r="K39" s="36"/>
      <c r="L39" s="37" t="e">
        <f>H39-(H39*((MATCH(Table21215[[#This Row],[Evaluators Response (SELECT)]],Table21215[[#This Row],[1]:[11]],0)-1)/(COUNTA(Table21215[[#This Row],[1]:[11]])-COUNTBLANK(Table21215[[#This Row],[1]:[11]])-1)))</f>
        <v>#N/A</v>
      </c>
      <c r="M39" s="38"/>
      <c r="N39" s="29" t="s">
        <v>828</v>
      </c>
      <c r="O39" s="29" t="s">
        <v>829</v>
      </c>
      <c r="P39" s="29" t="s">
        <v>830</v>
      </c>
      <c r="Q39" s="29" t="str" cm="1">
        <f t="array" ref="Q39">IFERROR(INDEX(_xlfn.UNIQUE(TRIM(_xlfn.TEXTSPLIT(Table21215[[#This Row],[Selection Options]:[Selection Options]],","))),,Q$11),"")</f>
        <v xml:space="preserve">
 0%: Not currently supported</v>
      </c>
      <c r="R39" s="29" t="str" cm="1">
        <f t="array" ref="R39">IFERROR(INDEX(_xlfn.UNIQUE(TRIM(_xlfn.TEXTSPLIT(Table21215[[#This Row],[Selection Options]:[Selection Options]],","))),,R$11),"")</f>
        <v/>
      </c>
      <c r="S39" s="29" t="str" cm="1">
        <f t="array" ref="S39">IFERROR(INDEX(_xlfn.UNIQUE(TRIM(_xlfn.TEXTSPLIT(Table21215[[#This Row],[Selection Options]:[Selection Options]],","))),,S$11),"")</f>
        <v/>
      </c>
      <c r="T39" s="29" t="str" cm="1">
        <f t="array" ref="T39">IFERROR(INDEX(_xlfn.UNIQUE(TRIM(_xlfn.TEXTSPLIT(Table21215[[#This Row],[Selection Options]:[Selection Options]],","))),,T$11),"")</f>
        <v/>
      </c>
      <c r="U39" s="29" t="str" cm="1">
        <f t="array" ref="U39">IFERROR(INDEX(_xlfn.UNIQUE(TRIM(_xlfn.TEXTSPLIT(Table21215[[#This Row],[Selection Options]:[Selection Options]],","))),,U$11),"")</f>
        <v/>
      </c>
      <c r="V39" s="29" t="str" cm="1">
        <f t="array" ref="V39">IFERROR(INDEX(_xlfn.UNIQUE(TRIM(_xlfn.TEXTSPLIT(Table21215[[#This Row],[Selection Options]:[Selection Options]],","))),,V$11),"")</f>
        <v/>
      </c>
      <c r="W39" s="29" t="str" cm="1">
        <f t="array" ref="W39">IFERROR(INDEX(_xlfn.UNIQUE(TRIM(_xlfn.TEXTSPLIT(Table21215[[#This Row],[Selection Options]:[Selection Options]],","))),,W$11),"")</f>
        <v/>
      </c>
      <c r="X39" s="29" t="str" cm="1">
        <f t="array" ref="X39">IFERROR(INDEX(_xlfn.UNIQUE(TRIM(_xlfn.TEXTSPLIT(Table21215[[#This Row],[Selection Options]:[Selection Options]],","))),,X$11),"")</f>
        <v/>
      </c>
      <c r="Y39" s="30" cm="1">
        <f t="array" ref="Y39">IF(Table21215[[#This Row],[1]]="","",Table21215[[#This Row],[Weight]:[Weight]]-(Table21215[[#This Row],[Weight]:[Weight]]*((_xlfn.XMATCH(Table21215[[#This Row],[1]],Table21215[[#This Row],[1]:[11]],0))-1)/(COUNTA(Table21215[[#This Row],[1]:[11]])-COUNTBLANK(Table21215[[#This Row],[1]:[11]])-1)))</f>
        <v>3.9714058776806989E-3</v>
      </c>
      <c r="Z39" s="30" cm="1">
        <f t="array" ref="Z39">IF(Table21215[[#This Row],[2]]="","",Table21215[[#This Row],[Weight]:[Weight]]-(Table21215[[#This Row],[Weight]:[Weight]]*((_xlfn.XMATCH(Table21215[[#This Row],[2]],Table21215[[#This Row],[1]:[11]],0))-1)/(COUNTA(Table21215[[#This Row],[1]:[11]])-COUNTBLANK(Table21215[[#This Row],[1]:[11]])-1)))</f>
        <v>2.6476039184537992E-3</v>
      </c>
      <c r="AA39" s="30" cm="1">
        <f t="array" ref="AA39">IF(Table21215[[#This Row],[3]]="","",Table21215[[#This Row],[Weight]:[Weight]]-(Table21215[[#This Row],[Weight]:[Weight]]*((_xlfn.XMATCH(Table21215[[#This Row],[3]],Table21215[[#This Row],[1]:[11]],0))-1)/(COUNTA(Table21215[[#This Row],[1]:[11]])-COUNTBLANK(Table21215[[#This Row],[1]:[11]])-1)))</f>
        <v>1.3238019592268996E-3</v>
      </c>
      <c r="AB39" s="30" cm="1">
        <f t="array" ref="AB39">IF(Table21215[[#This Row],[4]]="","",Table21215[[#This Row],[Weight]:[Weight]]-(Table21215[[#This Row],[Weight]:[Weight]]*((_xlfn.XMATCH(Table21215[[#This Row],[4]],Table21215[[#This Row],[1]:[11]],0))-1)/(COUNTA(Table21215[[#This Row],[1]:[11]])-COUNTBLANK(Table21215[[#This Row],[1]:[11]])-1)))</f>
        <v>0</v>
      </c>
      <c r="AC39" s="30" t="str" cm="1">
        <f t="array" ref="AC39">IF(Table21215[[#This Row],[5]]="","",Table21215[[#This Row],[Weight]:[Weight]]-(Table21215[[#This Row],[Weight]:[Weight]]*((_xlfn.XMATCH(Table21215[[#This Row],[5]],Table21215[[#This Row],[1]:[11]],0))-1)/(COUNTA(Table21215[[#This Row],[1]:[11]])-COUNTBLANK(Table21215[[#This Row],[1]:[11]])-1)))</f>
        <v/>
      </c>
      <c r="AD39" s="30" t="str" cm="1">
        <f t="array" ref="AD39">IF(Table21215[[#This Row],[6]]="","",Table21215[[#This Row],[Weight]:[Weight]]-(Table21215[[#This Row],[Weight]:[Weight]]*((_xlfn.XMATCH(Table21215[[#This Row],[6]],Table21215[[#This Row],[1]:[11]],0))-1)/(COUNTA(Table21215[[#This Row],[1]:[11]])-COUNTBLANK(Table21215[[#This Row],[1]:[11]])-1)))</f>
        <v/>
      </c>
      <c r="AE39" s="30" t="str" cm="1">
        <f t="array" ref="AE39">IF(Table21215[[#This Row],[7]]="","",Table21215[[#This Row],[Weight]:[Weight]]-(Table21215[[#This Row],[Weight]:[Weight]]*((_xlfn.XMATCH(Table21215[[#This Row],[7]],Table21215[[#This Row],[1]:[11]],0))-1)/(COUNTA(Table21215[[#This Row],[1]:[11]])-COUNTBLANK(Table21215[[#This Row],[1]:[11]])-1)))</f>
        <v/>
      </c>
      <c r="AF39" s="30" t="str" cm="1">
        <f t="array" ref="AF39">IF(Table21215[[#This Row],[8]]="","",Table21215[[#This Row],[Weight]:[Weight]]-(Table21215[[#This Row],[Weight]:[Weight]]*((_xlfn.XMATCH(Table21215[[#This Row],[8]],Table21215[[#This Row],[1]:[11]],0))-1)/(COUNTA(Table21215[[#This Row],[1]:[11]])-COUNTBLANK(Table21215[[#This Row],[1]:[11]])-1)))</f>
        <v/>
      </c>
      <c r="AG39" s="30" t="str" cm="1">
        <f t="array" ref="AG39">IF(Table21215[[#This Row],[9]]="","",Table21215[[#This Row],[Weight]:[Weight]]-(Table21215[[#This Row],[Weight]:[Weight]]*((_xlfn.XMATCH(Table21215[[#This Row],[9]],Table21215[[#This Row],[1]:[11]],0))-1)/(COUNTA(Table21215[[#This Row],[1]:[11]])-COUNTBLANK(Table21215[[#This Row],[1]:[11]])-1)))</f>
        <v/>
      </c>
      <c r="AH39" s="30" t="str" cm="1">
        <f t="array" ref="AH39">IF(Table21215[[#This Row],[10]]="","",Table21215[[#This Row],[Weight]:[Weight]]-(Table21215[[#This Row],[Weight]:[Weight]]*((_xlfn.XMATCH(Table21215[[#This Row],[10]],Table21215[[#This Row],[1]:[11]],0))-1)/(COUNTA(Table21215[[#This Row],[1]:[11]])-COUNTBLANK(Table21215[[#This Row],[1]:[11]])-1)))</f>
        <v/>
      </c>
      <c r="AI39" s="30" t="str" cm="1">
        <f t="array" ref="AI39">IF(Table21215[[#This Row],[11]]="","",Table21215[[#This Row],[Weight]:[Weight]]-(Table21215[[#This Row],[Weight]:[Weight]]*((_xlfn.XMATCH(Table21215[[#This Row],[11]],Table21215[[#This Row],[1]:[11]],0))-1)/(COUNTA(Table21215[[#This Row],[1]:[11]])-COUNTBLANK(Table21215[[#This Row],[1]:[11]])-1)))</f>
        <v/>
      </c>
    </row>
    <row r="40" spans="1:35" ht="108" x14ac:dyDescent="0.2">
      <c r="A40" s="20">
        <v>28</v>
      </c>
      <c r="B40" s="165" t="s">
        <v>857</v>
      </c>
      <c r="C40" s="21" t="s">
        <v>826</v>
      </c>
      <c r="D40" s="38"/>
      <c r="E40" s="38"/>
      <c r="F40" s="159" t="s">
        <v>60</v>
      </c>
      <c r="G40" s="160" cm="1">
        <f t="array" ref="G40">_xlfn.IFS(F40="","",F40="No interest",0,F40="Nice to have",1,F40="Useful",2,F40="Important",3,F40="Very important",4,F40="Critical",5,F40="Show stopper",6)</f>
        <v>6</v>
      </c>
      <c r="H40" s="161">
        <f t="shared" si="2"/>
        <v>4.7656870532168391E-3</v>
      </c>
      <c r="I40" s="157" t="s">
        <v>827</v>
      </c>
      <c r="J40" s="35" t="str" cm="1">
        <f t="array" ref="J40">_xlfn.TEXTJOIN(","&amp;CHAR(10),,TEXT(Table21215[[#This Row],[12]:[22]],"0,00%"))</f>
        <v>0,00%,
0,00%,
0,00%,
0,00%</v>
      </c>
      <c r="K40" s="36"/>
      <c r="L40" s="37" t="e">
        <f>H40-(H40*((MATCH(Table21215[[#This Row],[Evaluators Response (SELECT)]],Table21215[[#This Row],[1]:[11]],0)-1)/(COUNTA(Table21215[[#This Row],[1]:[11]])-COUNTBLANK(Table21215[[#This Row],[1]:[11]])-1)))</f>
        <v>#N/A</v>
      </c>
      <c r="M40" s="38"/>
      <c r="N40" s="29" t="s">
        <v>828</v>
      </c>
      <c r="O40" s="29" t="s">
        <v>829</v>
      </c>
      <c r="P40" s="29" t="s">
        <v>830</v>
      </c>
      <c r="Q40" s="29" t="str" cm="1">
        <f t="array" ref="Q40">IFERROR(INDEX(_xlfn.UNIQUE(TRIM(_xlfn.TEXTSPLIT(Table21215[[#This Row],[Selection Options]:[Selection Options]],","))),,Q$11),"")</f>
        <v xml:space="preserve">
 0%: Not currently supported</v>
      </c>
      <c r="R40" s="29" t="str" cm="1">
        <f t="array" ref="R40">IFERROR(INDEX(_xlfn.UNIQUE(TRIM(_xlfn.TEXTSPLIT(Table21215[[#This Row],[Selection Options]:[Selection Options]],","))),,R$11),"")</f>
        <v/>
      </c>
      <c r="S40" s="29" t="str" cm="1">
        <f t="array" ref="S40">IFERROR(INDEX(_xlfn.UNIQUE(TRIM(_xlfn.TEXTSPLIT(Table21215[[#This Row],[Selection Options]:[Selection Options]],","))),,S$11),"")</f>
        <v/>
      </c>
      <c r="T40" s="29" t="str" cm="1">
        <f t="array" ref="T40">IFERROR(INDEX(_xlfn.UNIQUE(TRIM(_xlfn.TEXTSPLIT(Table21215[[#This Row],[Selection Options]:[Selection Options]],","))),,T$11),"")</f>
        <v/>
      </c>
      <c r="U40" s="29" t="str" cm="1">
        <f t="array" ref="U40">IFERROR(INDEX(_xlfn.UNIQUE(TRIM(_xlfn.TEXTSPLIT(Table21215[[#This Row],[Selection Options]:[Selection Options]],","))),,U$11),"")</f>
        <v/>
      </c>
      <c r="V40" s="29" t="str" cm="1">
        <f t="array" ref="V40">IFERROR(INDEX(_xlfn.UNIQUE(TRIM(_xlfn.TEXTSPLIT(Table21215[[#This Row],[Selection Options]:[Selection Options]],","))),,V$11),"")</f>
        <v/>
      </c>
      <c r="W40" s="29" t="str" cm="1">
        <f t="array" ref="W40">IFERROR(INDEX(_xlfn.UNIQUE(TRIM(_xlfn.TEXTSPLIT(Table21215[[#This Row],[Selection Options]:[Selection Options]],","))),,W$11),"")</f>
        <v/>
      </c>
      <c r="X40" s="29" t="str" cm="1">
        <f t="array" ref="X40">IFERROR(INDEX(_xlfn.UNIQUE(TRIM(_xlfn.TEXTSPLIT(Table21215[[#This Row],[Selection Options]:[Selection Options]],","))),,X$11),"")</f>
        <v/>
      </c>
      <c r="Y40" s="30" cm="1">
        <f t="array" ref="Y40">IF(Table21215[[#This Row],[1]]="","",Table21215[[#This Row],[Weight]:[Weight]]-(Table21215[[#This Row],[Weight]:[Weight]]*((_xlfn.XMATCH(Table21215[[#This Row],[1]],Table21215[[#This Row],[1]:[11]],0))-1)/(COUNTA(Table21215[[#This Row],[1]:[11]])-COUNTBLANK(Table21215[[#This Row],[1]:[11]])-1)))</f>
        <v>4.7656870532168391E-3</v>
      </c>
      <c r="Z40" s="30" cm="1">
        <f t="array" ref="Z40">IF(Table21215[[#This Row],[2]]="","",Table21215[[#This Row],[Weight]:[Weight]]-(Table21215[[#This Row],[Weight]:[Weight]]*((_xlfn.XMATCH(Table21215[[#This Row],[2]],Table21215[[#This Row],[1]:[11]],0))-1)/(COUNTA(Table21215[[#This Row],[1]:[11]])-COUNTBLANK(Table21215[[#This Row],[1]:[11]])-1)))</f>
        <v>3.1771247021445594E-3</v>
      </c>
      <c r="AA40" s="30" cm="1">
        <f t="array" ref="AA40">IF(Table21215[[#This Row],[3]]="","",Table21215[[#This Row],[Weight]:[Weight]]-(Table21215[[#This Row],[Weight]:[Weight]]*((_xlfn.XMATCH(Table21215[[#This Row],[3]],Table21215[[#This Row],[1]:[11]],0))-1)/(COUNTA(Table21215[[#This Row],[1]:[11]])-COUNTBLANK(Table21215[[#This Row],[1]:[11]])-1)))</f>
        <v>1.5885623510722797E-3</v>
      </c>
      <c r="AB40" s="30" cm="1">
        <f t="array" ref="AB40">IF(Table21215[[#This Row],[4]]="","",Table21215[[#This Row],[Weight]:[Weight]]-(Table21215[[#This Row],[Weight]:[Weight]]*((_xlfn.XMATCH(Table21215[[#This Row],[4]],Table21215[[#This Row],[1]:[11]],0))-1)/(COUNTA(Table21215[[#This Row],[1]:[11]])-COUNTBLANK(Table21215[[#This Row],[1]:[11]])-1)))</f>
        <v>0</v>
      </c>
      <c r="AC40" s="30" t="str" cm="1">
        <f t="array" ref="AC40">IF(Table21215[[#This Row],[5]]="","",Table21215[[#This Row],[Weight]:[Weight]]-(Table21215[[#This Row],[Weight]:[Weight]]*((_xlfn.XMATCH(Table21215[[#This Row],[5]],Table21215[[#This Row],[1]:[11]],0))-1)/(COUNTA(Table21215[[#This Row],[1]:[11]])-COUNTBLANK(Table21215[[#This Row],[1]:[11]])-1)))</f>
        <v/>
      </c>
      <c r="AD40" s="30" t="str" cm="1">
        <f t="array" ref="AD40">IF(Table21215[[#This Row],[6]]="","",Table21215[[#This Row],[Weight]:[Weight]]-(Table21215[[#This Row],[Weight]:[Weight]]*((_xlfn.XMATCH(Table21215[[#This Row],[6]],Table21215[[#This Row],[1]:[11]],0))-1)/(COUNTA(Table21215[[#This Row],[1]:[11]])-COUNTBLANK(Table21215[[#This Row],[1]:[11]])-1)))</f>
        <v/>
      </c>
      <c r="AE40" s="30" t="str" cm="1">
        <f t="array" ref="AE40">IF(Table21215[[#This Row],[7]]="","",Table21215[[#This Row],[Weight]:[Weight]]-(Table21215[[#This Row],[Weight]:[Weight]]*((_xlfn.XMATCH(Table21215[[#This Row],[7]],Table21215[[#This Row],[1]:[11]],0))-1)/(COUNTA(Table21215[[#This Row],[1]:[11]])-COUNTBLANK(Table21215[[#This Row],[1]:[11]])-1)))</f>
        <v/>
      </c>
      <c r="AF40" s="30" t="str" cm="1">
        <f t="array" ref="AF40">IF(Table21215[[#This Row],[8]]="","",Table21215[[#This Row],[Weight]:[Weight]]-(Table21215[[#This Row],[Weight]:[Weight]]*((_xlfn.XMATCH(Table21215[[#This Row],[8]],Table21215[[#This Row],[1]:[11]],0))-1)/(COUNTA(Table21215[[#This Row],[1]:[11]])-COUNTBLANK(Table21215[[#This Row],[1]:[11]])-1)))</f>
        <v/>
      </c>
      <c r="AG40" s="30" t="str" cm="1">
        <f t="array" ref="AG40">IF(Table21215[[#This Row],[9]]="","",Table21215[[#This Row],[Weight]:[Weight]]-(Table21215[[#This Row],[Weight]:[Weight]]*((_xlfn.XMATCH(Table21215[[#This Row],[9]],Table21215[[#This Row],[1]:[11]],0))-1)/(COUNTA(Table21215[[#This Row],[1]:[11]])-COUNTBLANK(Table21215[[#This Row],[1]:[11]])-1)))</f>
        <v/>
      </c>
      <c r="AH40" s="30" t="str" cm="1">
        <f t="array" ref="AH40">IF(Table21215[[#This Row],[10]]="","",Table21215[[#This Row],[Weight]:[Weight]]-(Table21215[[#This Row],[Weight]:[Weight]]*((_xlfn.XMATCH(Table21215[[#This Row],[10]],Table21215[[#This Row],[1]:[11]],0))-1)/(COUNTA(Table21215[[#This Row],[1]:[11]])-COUNTBLANK(Table21215[[#This Row],[1]:[11]])-1)))</f>
        <v/>
      </c>
      <c r="AI40" s="30" t="str" cm="1">
        <f t="array" ref="AI40">IF(Table21215[[#This Row],[11]]="","",Table21215[[#This Row],[Weight]:[Weight]]-(Table21215[[#This Row],[Weight]:[Weight]]*((_xlfn.XMATCH(Table21215[[#This Row],[11]],Table21215[[#This Row],[1]:[11]],0))-1)/(COUNTA(Table21215[[#This Row],[1]:[11]])-COUNTBLANK(Table21215[[#This Row],[1]:[11]])-1)))</f>
        <v/>
      </c>
    </row>
    <row r="41" spans="1:35" ht="108" x14ac:dyDescent="0.2">
      <c r="A41" s="20">
        <v>29</v>
      </c>
      <c r="B41" s="165" t="s">
        <v>858</v>
      </c>
      <c r="C41" s="21" t="s">
        <v>826</v>
      </c>
      <c r="D41" s="38"/>
      <c r="E41" s="38"/>
      <c r="F41" s="159" t="s">
        <v>188</v>
      </c>
      <c r="G41" s="160" cm="1">
        <f t="array" ref="G41">_xlfn.IFS(F41="","",F41="No interest",0,F41="Nice to have",1,F41="Useful",2,F41="Important",3,F41="Very important",4,F41="Critical",5,F41="Show stopper",6)</f>
        <v>5</v>
      </c>
      <c r="H41" s="161">
        <f t="shared" si="2"/>
        <v>3.9714058776806989E-3</v>
      </c>
      <c r="I41" s="157" t="s">
        <v>827</v>
      </c>
      <c r="J41" s="35" t="str" cm="1">
        <f t="array" ref="J41">_xlfn.TEXTJOIN(","&amp;CHAR(10),,TEXT(Table21215[[#This Row],[12]:[22]],"0,00%"))</f>
        <v>0,00%,
0,00%,
0,00%,
0,00%</v>
      </c>
      <c r="K41" s="36"/>
      <c r="L41" s="37" t="e">
        <f>H41-(H41*((MATCH(Table21215[[#This Row],[Evaluators Response (SELECT)]],Table21215[[#This Row],[1]:[11]],0)-1)/(COUNTA(Table21215[[#This Row],[1]:[11]])-COUNTBLANK(Table21215[[#This Row],[1]:[11]])-1)))</f>
        <v>#N/A</v>
      </c>
      <c r="M41" s="38"/>
      <c r="N41" s="29" t="s">
        <v>828</v>
      </c>
      <c r="O41" s="29" t="s">
        <v>829</v>
      </c>
      <c r="P41" s="29" t="s">
        <v>830</v>
      </c>
      <c r="Q41" s="29" t="str" cm="1">
        <f t="array" ref="Q41">IFERROR(INDEX(_xlfn.UNIQUE(TRIM(_xlfn.TEXTSPLIT(Table21215[[#This Row],[Selection Options]:[Selection Options]],","))),,Q$11),"")</f>
        <v xml:space="preserve">
 0%: Not currently supported</v>
      </c>
      <c r="R41" s="29" t="str" cm="1">
        <f t="array" ref="R41">IFERROR(INDEX(_xlfn.UNIQUE(TRIM(_xlfn.TEXTSPLIT(Table21215[[#This Row],[Selection Options]:[Selection Options]],","))),,R$11),"")</f>
        <v/>
      </c>
      <c r="S41" s="29" t="str" cm="1">
        <f t="array" ref="S41">IFERROR(INDEX(_xlfn.UNIQUE(TRIM(_xlfn.TEXTSPLIT(Table21215[[#This Row],[Selection Options]:[Selection Options]],","))),,S$11),"")</f>
        <v/>
      </c>
      <c r="T41" s="29" t="str" cm="1">
        <f t="array" ref="T41">IFERROR(INDEX(_xlfn.UNIQUE(TRIM(_xlfn.TEXTSPLIT(Table21215[[#This Row],[Selection Options]:[Selection Options]],","))),,T$11),"")</f>
        <v/>
      </c>
      <c r="U41" s="29" t="str" cm="1">
        <f t="array" ref="U41">IFERROR(INDEX(_xlfn.UNIQUE(TRIM(_xlfn.TEXTSPLIT(Table21215[[#This Row],[Selection Options]:[Selection Options]],","))),,U$11),"")</f>
        <v/>
      </c>
      <c r="V41" s="29" t="str" cm="1">
        <f t="array" ref="V41">IFERROR(INDEX(_xlfn.UNIQUE(TRIM(_xlfn.TEXTSPLIT(Table21215[[#This Row],[Selection Options]:[Selection Options]],","))),,V$11),"")</f>
        <v/>
      </c>
      <c r="W41" s="29" t="str" cm="1">
        <f t="array" ref="W41">IFERROR(INDEX(_xlfn.UNIQUE(TRIM(_xlfn.TEXTSPLIT(Table21215[[#This Row],[Selection Options]:[Selection Options]],","))),,W$11),"")</f>
        <v/>
      </c>
      <c r="X41" s="29" t="str" cm="1">
        <f t="array" ref="X41">IFERROR(INDEX(_xlfn.UNIQUE(TRIM(_xlfn.TEXTSPLIT(Table21215[[#This Row],[Selection Options]:[Selection Options]],","))),,X$11),"")</f>
        <v/>
      </c>
      <c r="Y41" s="30" cm="1">
        <f t="array" ref="Y41">IF(Table21215[[#This Row],[1]]="","",Table21215[[#This Row],[Weight]:[Weight]]-(Table21215[[#This Row],[Weight]:[Weight]]*((_xlfn.XMATCH(Table21215[[#This Row],[1]],Table21215[[#This Row],[1]:[11]],0))-1)/(COUNTA(Table21215[[#This Row],[1]:[11]])-COUNTBLANK(Table21215[[#This Row],[1]:[11]])-1)))</f>
        <v>3.9714058776806989E-3</v>
      </c>
      <c r="Z41" s="30" cm="1">
        <f t="array" ref="Z41">IF(Table21215[[#This Row],[2]]="","",Table21215[[#This Row],[Weight]:[Weight]]-(Table21215[[#This Row],[Weight]:[Weight]]*((_xlfn.XMATCH(Table21215[[#This Row],[2]],Table21215[[#This Row],[1]:[11]],0))-1)/(COUNTA(Table21215[[#This Row],[1]:[11]])-COUNTBLANK(Table21215[[#This Row],[1]:[11]])-1)))</f>
        <v>2.6476039184537992E-3</v>
      </c>
      <c r="AA41" s="30" cm="1">
        <f t="array" ref="AA41">IF(Table21215[[#This Row],[3]]="","",Table21215[[#This Row],[Weight]:[Weight]]-(Table21215[[#This Row],[Weight]:[Weight]]*((_xlfn.XMATCH(Table21215[[#This Row],[3]],Table21215[[#This Row],[1]:[11]],0))-1)/(COUNTA(Table21215[[#This Row],[1]:[11]])-COUNTBLANK(Table21215[[#This Row],[1]:[11]])-1)))</f>
        <v>1.3238019592268996E-3</v>
      </c>
      <c r="AB41" s="30" cm="1">
        <f t="array" ref="AB41">IF(Table21215[[#This Row],[4]]="","",Table21215[[#This Row],[Weight]:[Weight]]-(Table21215[[#This Row],[Weight]:[Weight]]*((_xlfn.XMATCH(Table21215[[#This Row],[4]],Table21215[[#This Row],[1]:[11]],0))-1)/(COUNTA(Table21215[[#This Row],[1]:[11]])-COUNTBLANK(Table21215[[#This Row],[1]:[11]])-1)))</f>
        <v>0</v>
      </c>
      <c r="AC41" s="30" t="str" cm="1">
        <f t="array" ref="AC41">IF(Table21215[[#This Row],[5]]="","",Table21215[[#This Row],[Weight]:[Weight]]-(Table21215[[#This Row],[Weight]:[Weight]]*((_xlfn.XMATCH(Table21215[[#This Row],[5]],Table21215[[#This Row],[1]:[11]],0))-1)/(COUNTA(Table21215[[#This Row],[1]:[11]])-COUNTBLANK(Table21215[[#This Row],[1]:[11]])-1)))</f>
        <v/>
      </c>
      <c r="AD41" s="30" t="str" cm="1">
        <f t="array" ref="AD41">IF(Table21215[[#This Row],[6]]="","",Table21215[[#This Row],[Weight]:[Weight]]-(Table21215[[#This Row],[Weight]:[Weight]]*((_xlfn.XMATCH(Table21215[[#This Row],[6]],Table21215[[#This Row],[1]:[11]],0))-1)/(COUNTA(Table21215[[#This Row],[1]:[11]])-COUNTBLANK(Table21215[[#This Row],[1]:[11]])-1)))</f>
        <v/>
      </c>
      <c r="AE41" s="30" t="str" cm="1">
        <f t="array" ref="AE41">IF(Table21215[[#This Row],[7]]="","",Table21215[[#This Row],[Weight]:[Weight]]-(Table21215[[#This Row],[Weight]:[Weight]]*((_xlfn.XMATCH(Table21215[[#This Row],[7]],Table21215[[#This Row],[1]:[11]],0))-1)/(COUNTA(Table21215[[#This Row],[1]:[11]])-COUNTBLANK(Table21215[[#This Row],[1]:[11]])-1)))</f>
        <v/>
      </c>
      <c r="AF41" s="30" t="str" cm="1">
        <f t="array" ref="AF41">IF(Table21215[[#This Row],[8]]="","",Table21215[[#This Row],[Weight]:[Weight]]-(Table21215[[#This Row],[Weight]:[Weight]]*((_xlfn.XMATCH(Table21215[[#This Row],[8]],Table21215[[#This Row],[1]:[11]],0))-1)/(COUNTA(Table21215[[#This Row],[1]:[11]])-COUNTBLANK(Table21215[[#This Row],[1]:[11]])-1)))</f>
        <v/>
      </c>
      <c r="AG41" s="30" t="str" cm="1">
        <f t="array" ref="AG41">IF(Table21215[[#This Row],[9]]="","",Table21215[[#This Row],[Weight]:[Weight]]-(Table21215[[#This Row],[Weight]:[Weight]]*((_xlfn.XMATCH(Table21215[[#This Row],[9]],Table21215[[#This Row],[1]:[11]],0))-1)/(COUNTA(Table21215[[#This Row],[1]:[11]])-COUNTBLANK(Table21215[[#This Row],[1]:[11]])-1)))</f>
        <v/>
      </c>
      <c r="AH41" s="30" t="str" cm="1">
        <f t="array" ref="AH41">IF(Table21215[[#This Row],[10]]="","",Table21215[[#This Row],[Weight]:[Weight]]-(Table21215[[#This Row],[Weight]:[Weight]]*((_xlfn.XMATCH(Table21215[[#This Row],[10]],Table21215[[#This Row],[1]:[11]],0))-1)/(COUNTA(Table21215[[#This Row],[1]:[11]])-COUNTBLANK(Table21215[[#This Row],[1]:[11]])-1)))</f>
        <v/>
      </c>
      <c r="AI41" s="30" t="str" cm="1">
        <f t="array" ref="AI41">IF(Table21215[[#This Row],[11]]="","",Table21215[[#This Row],[Weight]:[Weight]]-(Table21215[[#This Row],[Weight]:[Weight]]*((_xlfn.XMATCH(Table21215[[#This Row],[11]],Table21215[[#This Row],[1]:[11]],0))-1)/(COUNTA(Table21215[[#This Row],[1]:[11]])-COUNTBLANK(Table21215[[#This Row],[1]:[11]])-1)))</f>
        <v/>
      </c>
    </row>
    <row r="42" spans="1:35" ht="108" x14ac:dyDescent="0.2">
      <c r="A42" s="20">
        <v>30</v>
      </c>
      <c r="B42" s="165" t="s">
        <v>859</v>
      </c>
      <c r="C42" s="21" t="s">
        <v>826</v>
      </c>
      <c r="D42" s="38"/>
      <c r="E42" s="38"/>
      <c r="F42" s="159" t="s">
        <v>60</v>
      </c>
      <c r="G42" s="160" cm="1">
        <f t="array" ref="G42">_xlfn.IFS(F42="","",F42="No interest",0,F42="Nice to have",1,F42="Useful",2,F42="Important",3,F42="Very important",4,F42="Critical",5,F42="Show stopper",6)</f>
        <v>6</v>
      </c>
      <c r="H42" s="161">
        <f t="shared" si="2"/>
        <v>4.7656870532168391E-3</v>
      </c>
      <c r="I42" s="157" t="s">
        <v>827</v>
      </c>
      <c r="J42" s="35" t="str" cm="1">
        <f t="array" ref="J42">_xlfn.TEXTJOIN(","&amp;CHAR(10),,TEXT(Table21215[[#This Row],[12]:[22]],"0,00%"))</f>
        <v>0,00%,
0,00%,
0,00%,
0,00%</v>
      </c>
      <c r="K42" s="36"/>
      <c r="L42" s="37" t="e">
        <f>H42-(H42*((MATCH(Table21215[[#This Row],[Evaluators Response (SELECT)]],Table21215[[#This Row],[1]:[11]],0)-1)/(COUNTA(Table21215[[#This Row],[1]:[11]])-COUNTBLANK(Table21215[[#This Row],[1]:[11]])-1)))</f>
        <v>#N/A</v>
      </c>
      <c r="M42" s="38"/>
      <c r="N42" s="29" t="s">
        <v>828</v>
      </c>
      <c r="O42" s="29" t="s">
        <v>829</v>
      </c>
      <c r="P42" s="29" t="s">
        <v>830</v>
      </c>
      <c r="Q42" s="29" t="str" cm="1">
        <f t="array" ref="Q42">IFERROR(INDEX(_xlfn.UNIQUE(TRIM(_xlfn.TEXTSPLIT(Table21215[[#This Row],[Selection Options]:[Selection Options]],","))),,Q$11),"")</f>
        <v xml:space="preserve">
 0%: Not currently supported</v>
      </c>
      <c r="R42" s="29" t="str" cm="1">
        <f t="array" ref="R42">IFERROR(INDEX(_xlfn.UNIQUE(TRIM(_xlfn.TEXTSPLIT(Table21215[[#This Row],[Selection Options]:[Selection Options]],","))),,R$11),"")</f>
        <v/>
      </c>
      <c r="S42" s="29" t="str" cm="1">
        <f t="array" ref="S42">IFERROR(INDEX(_xlfn.UNIQUE(TRIM(_xlfn.TEXTSPLIT(Table21215[[#This Row],[Selection Options]:[Selection Options]],","))),,S$11),"")</f>
        <v/>
      </c>
      <c r="T42" s="29" t="str" cm="1">
        <f t="array" ref="T42">IFERROR(INDEX(_xlfn.UNIQUE(TRIM(_xlfn.TEXTSPLIT(Table21215[[#This Row],[Selection Options]:[Selection Options]],","))),,T$11),"")</f>
        <v/>
      </c>
      <c r="U42" s="29" t="str" cm="1">
        <f t="array" ref="U42">IFERROR(INDEX(_xlfn.UNIQUE(TRIM(_xlfn.TEXTSPLIT(Table21215[[#This Row],[Selection Options]:[Selection Options]],","))),,U$11),"")</f>
        <v/>
      </c>
      <c r="V42" s="29" t="str" cm="1">
        <f t="array" ref="V42">IFERROR(INDEX(_xlfn.UNIQUE(TRIM(_xlfn.TEXTSPLIT(Table21215[[#This Row],[Selection Options]:[Selection Options]],","))),,V$11),"")</f>
        <v/>
      </c>
      <c r="W42" s="29" t="str" cm="1">
        <f t="array" ref="W42">IFERROR(INDEX(_xlfn.UNIQUE(TRIM(_xlfn.TEXTSPLIT(Table21215[[#This Row],[Selection Options]:[Selection Options]],","))),,W$11),"")</f>
        <v/>
      </c>
      <c r="X42" s="29" t="str" cm="1">
        <f t="array" ref="X42">IFERROR(INDEX(_xlfn.UNIQUE(TRIM(_xlfn.TEXTSPLIT(Table21215[[#This Row],[Selection Options]:[Selection Options]],","))),,X$11),"")</f>
        <v/>
      </c>
      <c r="Y42" s="30" cm="1">
        <f t="array" ref="Y42">IF(Table21215[[#This Row],[1]]="","",Table21215[[#This Row],[Weight]:[Weight]]-(Table21215[[#This Row],[Weight]:[Weight]]*((_xlfn.XMATCH(Table21215[[#This Row],[1]],Table21215[[#This Row],[1]:[11]],0))-1)/(COUNTA(Table21215[[#This Row],[1]:[11]])-COUNTBLANK(Table21215[[#This Row],[1]:[11]])-1)))</f>
        <v>4.7656870532168391E-3</v>
      </c>
      <c r="Z42" s="30" cm="1">
        <f t="array" ref="Z42">IF(Table21215[[#This Row],[2]]="","",Table21215[[#This Row],[Weight]:[Weight]]-(Table21215[[#This Row],[Weight]:[Weight]]*((_xlfn.XMATCH(Table21215[[#This Row],[2]],Table21215[[#This Row],[1]:[11]],0))-1)/(COUNTA(Table21215[[#This Row],[1]:[11]])-COUNTBLANK(Table21215[[#This Row],[1]:[11]])-1)))</f>
        <v>3.1771247021445594E-3</v>
      </c>
      <c r="AA42" s="30" cm="1">
        <f t="array" ref="AA42">IF(Table21215[[#This Row],[3]]="","",Table21215[[#This Row],[Weight]:[Weight]]-(Table21215[[#This Row],[Weight]:[Weight]]*((_xlfn.XMATCH(Table21215[[#This Row],[3]],Table21215[[#This Row],[1]:[11]],0))-1)/(COUNTA(Table21215[[#This Row],[1]:[11]])-COUNTBLANK(Table21215[[#This Row],[1]:[11]])-1)))</f>
        <v>1.5885623510722797E-3</v>
      </c>
      <c r="AB42" s="30" cm="1">
        <f t="array" ref="AB42">IF(Table21215[[#This Row],[4]]="","",Table21215[[#This Row],[Weight]:[Weight]]-(Table21215[[#This Row],[Weight]:[Weight]]*((_xlfn.XMATCH(Table21215[[#This Row],[4]],Table21215[[#This Row],[1]:[11]],0))-1)/(COUNTA(Table21215[[#This Row],[1]:[11]])-COUNTBLANK(Table21215[[#This Row],[1]:[11]])-1)))</f>
        <v>0</v>
      </c>
      <c r="AC42" s="30" t="str" cm="1">
        <f t="array" ref="AC42">IF(Table21215[[#This Row],[5]]="","",Table21215[[#This Row],[Weight]:[Weight]]-(Table21215[[#This Row],[Weight]:[Weight]]*((_xlfn.XMATCH(Table21215[[#This Row],[5]],Table21215[[#This Row],[1]:[11]],0))-1)/(COUNTA(Table21215[[#This Row],[1]:[11]])-COUNTBLANK(Table21215[[#This Row],[1]:[11]])-1)))</f>
        <v/>
      </c>
      <c r="AD42" s="30" t="str" cm="1">
        <f t="array" ref="AD42">IF(Table21215[[#This Row],[6]]="","",Table21215[[#This Row],[Weight]:[Weight]]-(Table21215[[#This Row],[Weight]:[Weight]]*((_xlfn.XMATCH(Table21215[[#This Row],[6]],Table21215[[#This Row],[1]:[11]],0))-1)/(COUNTA(Table21215[[#This Row],[1]:[11]])-COUNTBLANK(Table21215[[#This Row],[1]:[11]])-1)))</f>
        <v/>
      </c>
      <c r="AE42" s="30" t="str" cm="1">
        <f t="array" ref="AE42">IF(Table21215[[#This Row],[7]]="","",Table21215[[#This Row],[Weight]:[Weight]]-(Table21215[[#This Row],[Weight]:[Weight]]*((_xlfn.XMATCH(Table21215[[#This Row],[7]],Table21215[[#This Row],[1]:[11]],0))-1)/(COUNTA(Table21215[[#This Row],[1]:[11]])-COUNTBLANK(Table21215[[#This Row],[1]:[11]])-1)))</f>
        <v/>
      </c>
      <c r="AF42" s="30" t="str" cm="1">
        <f t="array" ref="AF42">IF(Table21215[[#This Row],[8]]="","",Table21215[[#This Row],[Weight]:[Weight]]-(Table21215[[#This Row],[Weight]:[Weight]]*((_xlfn.XMATCH(Table21215[[#This Row],[8]],Table21215[[#This Row],[1]:[11]],0))-1)/(COUNTA(Table21215[[#This Row],[1]:[11]])-COUNTBLANK(Table21215[[#This Row],[1]:[11]])-1)))</f>
        <v/>
      </c>
      <c r="AG42" s="30" t="str" cm="1">
        <f t="array" ref="AG42">IF(Table21215[[#This Row],[9]]="","",Table21215[[#This Row],[Weight]:[Weight]]-(Table21215[[#This Row],[Weight]:[Weight]]*((_xlfn.XMATCH(Table21215[[#This Row],[9]],Table21215[[#This Row],[1]:[11]],0))-1)/(COUNTA(Table21215[[#This Row],[1]:[11]])-COUNTBLANK(Table21215[[#This Row],[1]:[11]])-1)))</f>
        <v/>
      </c>
      <c r="AH42" s="30" t="str" cm="1">
        <f t="array" ref="AH42">IF(Table21215[[#This Row],[10]]="","",Table21215[[#This Row],[Weight]:[Weight]]-(Table21215[[#This Row],[Weight]:[Weight]]*((_xlfn.XMATCH(Table21215[[#This Row],[10]],Table21215[[#This Row],[1]:[11]],0))-1)/(COUNTA(Table21215[[#This Row],[1]:[11]])-COUNTBLANK(Table21215[[#This Row],[1]:[11]])-1)))</f>
        <v/>
      </c>
      <c r="AI42" s="30" t="str" cm="1">
        <f t="array" ref="AI42">IF(Table21215[[#This Row],[11]]="","",Table21215[[#This Row],[Weight]:[Weight]]-(Table21215[[#This Row],[Weight]:[Weight]]*((_xlfn.XMATCH(Table21215[[#This Row],[11]],Table21215[[#This Row],[1]:[11]],0))-1)/(COUNTA(Table21215[[#This Row],[1]:[11]])-COUNTBLANK(Table21215[[#This Row],[1]:[11]])-1)))</f>
        <v/>
      </c>
    </row>
    <row r="43" spans="1:35" ht="108" x14ac:dyDescent="0.2">
      <c r="A43" s="20">
        <v>31</v>
      </c>
      <c r="B43" s="165" t="s">
        <v>860</v>
      </c>
      <c r="C43" s="21" t="s">
        <v>826</v>
      </c>
      <c r="D43" s="38"/>
      <c r="E43" s="38"/>
      <c r="F43" s="159" t="s">
        <v>60</v>
      </c>
      <c r="G43" s="160" cm="1">
        <f t="array" ref="G43">_xlfn.IFS(F43="","",F43="No interest",0,F43="Nice to have",1,F43="Useful",2,F43="Important",3,F43="Very important",4,F43="Critical",5,F43="Show stopper",6)</f>
        <v>6</v>
      </c>
      <c r="H43" s="161">
        <f t="shared" si="2"/>
        <v>4.7656870532168391E-3</v>
      </c>
      <c r="I43" s="157" t="s">
        <v>827</v>
      </c>
      <c r="J43" s="35" t="str" cm="1">
        <f t="array" ref="J43">_xlfn.TEXTJOIN(","&amp;CHAR(10),,TEXT(Table21215[[#This Row],[12]:[22]],"0,00%"))</f>
        <v>0,00%,
0,00%,
0,00%,
0,00%</v>
      </c>
      <c r="K43" s="36"/>
      <c r="L43" s="37" t="e">
        <f>H43-(H43*((MATCH(Table21215[[#This Row],[Evaluators Response (SELECT)]],Table21215[[#This Row],[1]:[11]],0)-1)/(COUNTA(Table21215[[#This Row],[1]:[11]])-COUNTBLANK(Table21215[[#This Row],[1]:[11]])-1)))</f>
        <v>#N/A</v>
      </c>
      <c r="M43" s="38"/>
      <c r="N43" s="29" t="s">
        <v>828</v>
      </c>
      <c r="O43" s="29" t="s">
        <v>829</v>
      </c>
      <c r="P43" s="29" t="s">
        <v>830</v>
      </c>
      <c r="Q43" s="29" t="str" cm="1">
        <f t="array" ref="Q43">IFERROR(INDEX(_xlfn.UNIQUE(TRIM(_xlfn.TEXTSPLIT(Table21215[[#This Row],[Selection Options]:[Selection Options]],","))),,Q$11),"")</f>
        <v xml:space="preserve">
 0%: Not currently supported</v>
      </c>
      <c r="R43" s="29" t="str" cm="1">
        <f t="array" ref="R43">IFERROR(INDEX(_xlfn.UNIQUE(TRIM(_xlfn.TEXTSPLIT(Table21215[[#This Row],[Selection Options]:[Selection Options]],","))),,R$11),"")</f>
        <v/>
      </c>
      <c r="S43" s="29" t="str" cm="1">
        <f t="array" ref="S43">IFERROR(INDEX(_xlfn.UNIQUE(TRIM(_xlfn.TEXTSPLIT(Table21215[[#This Row],[Selection Options]:[Selection Options]],","))),,S$11),"")</f>
        <v/>
      </c>
      <c r="T43" s="29" t="str" cm="1">
        <f t="array" ref="T43">IFERROR(INDEX(_xlfn.UNIQUE(TRIM(_xlfn.TEXTSPLIT(Table21215[[#This Row],[Selection Options]:[Selection Options]],","))),,T$11),"")</f>
        <v/>
      </c>
      <c r="U43" s="29" t="str" cm="1">
        <f t="array" ref="U43">IFERROR(INDEX(_xlfn.UNIQUE(TRIM(_xlfn.TEXTSPLIT(Table21215[[#This Row],[Selection Options]:[Selection Options]],","))),,U$11),"")</f>
        <v/>
      </c>
      <c r="V43" s="29" t="str" cm="1">
        <f t="array" ref="V43">IFERROR(INDEX(_xlfn.UNIQUE(TRIM(_xlfn.TEXTSPLIT(Table21215[[#This Row],[Selection Options]:[Selection Options]],","))),,V$11),"")</f>
        <v/>
      </c>
      <c r="W43" s="29" t="str" cm="1">
        <f t="array" ref="W43">IFERROR(INDEX(_xlfn.UNIQUE(TRIM(_xlfn.TEXTSPLIT(Table21215[[#This Row],[Selection Options]:[Selection Options]],","))),,W$11),"")</f>
        <v/>
      </c>
      <c r="X43" s="29" t="str" cm="1">
        <f t="array" ref="X43">IFERROR(INDEX(_xlfn.UNIQUE(TRIM(_xlfn.TEXTSPLIT(Table21215[[#This Row],[Selection Options]:[Selection Options]],","))),,X$11),"")</f>
        <v/>
      </c>
      <c r="Y43" s="30" cm="1">
        <f t="array" ref="Y43">IF(Table21215[[#This Row],[1]]="","",Table21215[[#This Row],[Weight]:[Weight]]-(Table21215[[#This Row],[Weight]:[Weight]]*((_xlfn.XMATCH(Table21215[[#This Row],[1]],Table21215[[#This Row],[1]:[11]],0))-1)/(COUNTA(Table21215[[#This Row],[1]:[11]])-COUNTBLANK(Table21215[[#This Row],[1]:[11]])-1)))</f>
        <v>4.7656870532168391E-3</v>
      </c>
      <c r="Z43" s="30" cm="1">
        <f t="array" ref="Z43">IF(Table21215[[#This Row],[2]]="","",Table21215[[#This Row],[Weight]:[Weight]]-(Table21215[[#This Row],[Weight]:[Weight]]*((_xlfn.XMATCH(Table21215[[#This Row],[2]],Table21215[[#This Row],[1]:[11]],0))-1)/(COUNTA(Table21215[[#This Row],[1]:[11]])-COUNTBLANK(Table21215[[#This Row],[1]:[11]])-1)))</f>
        <v>3.1771247021445594E-3</v>
      </c>
      <c r="AA43" s="30" cm="1">
        <f t="array" ref="AA43">IF(Table21215[[#This Row],[3]]="","",Table21215[[#This Row],[Weight]:[Weight]]-(Table21215[[#This Row],[Weight]:[Weight]]*((_xlfn.XMATCH(Table21215[[#This Row],[3]],Table21215[[#This Row],[1]:[11]],0))-1)/(COUNTA(Table21215[[#This Row],[1]:[11]])-COUNTBLANK(Table21215[[#This Row],[1]:[11]])-1)))</f>
        <v>1.5885623510722797E-3</v>
      </c>
      <c r="AB43" s="30" cm="1">
        <f t="array" ref="AB43">IF(Table21215[[#This Row],[4]]="","",Table21215[[#This Row],[Weight]:[Weight]]-(Table21215[[#This Row],[Weight]:[Weight]]*((_xlfn.XMATCH(Table21215[[#This Row],[4]],Table21215[[#This Row],[1]:[11]],0))-1)/(COUNTA(Table21215[[#This Row],[1]:[11]])-COUNTBLANK(Table21215[[#This Row],[1]:[11]])-1)))</f>
        <v>0</v>
      </c>
      <c r="AC43" s="30" t="str" cm="1">
        <f t="array" ref="AC43">IF(Table21215[[#This Row],[5]]="","",Table21215[[#This Row],[Weight]:[Weight]]-(Table21215[[#This Row],[Weight]:[Weight]]*((_xlfn.XMATCH(Table21215[[#This Row],[5]],Table21215[[#This Row],[1]:[11]],0))-1)/(COUNTA(Table21215[[#This Row],[1]:[11]])-COUNTBLANK(Table21215[[#This Row],[1]:[11]])-1)))</f>
        <v/>
      </c>
      <c r="AD43" s="30" t="str" cm="1">
        <f t="array" ref="AD43">IF(Table21215[[#This Row],[6]]="","",Table21215[[#This Row],[Weight]:[Weight]]-(Table21215[[#This Row],[Weight]:[Weight]]*((_xlfn.XMATCH(Table21215[[#This Row],[6]],Table21215[[#This Row],[1]:[11]],0))-1)/(COUNTA(Table21215[[#This Row],[1]:[11]])-COUNTBLANK(Table21215[[#This Row],[1]:[11]])-1)))</f>
        <v/>
      </c>
      <c r="AE43" s="30" t="str" cm="1">
        <f t="array" ref="AE43">IF(Table21215[[#This Row],[7]]="","",Table21215[[#This Row],[Weight]:[Weight]]-(Table21215[[#This Row],[Weight]:[Weight]]*((_xlfn.XMATCH(Table21215[[#This Row],[7]],Table21215[[#This Row],[1]:[11]],0))-1)/(COUNTA(Table21215[[#This Row],[1]:[11]])-COUNTBLANK(Table21215[[#This Row],[1]:[11]])-1)))</f>
        <v/>
      </c>
      <c r="AF43" s="30" t="str" cm="1">
        <f t="array" ref="AF43">IF(Table21215[[#This Row],[8]]="","",Table21215[[#This Row],[Weight]:[Weight]]-(Table21215[[#This Row],[Weight]:[Weight]]*((_xlfn.XMATCH(Table21215[[#This Row],[8]],Table21215[[#This Row],[1]:[11]],0))-1)/(COUNTA(Table21215[[#This Row],[1]:[11]])-COUNTBLANK(Table21215[[#This Row],[1]:[11]])-1)))</f>
        <v/>
      </c>
      <c r="AG43" s="30" t="str" cm="1">
        <f t="array" ref="AG43">IF(Table21215[[#This Row],[9]]="","",Table21215[[#This Row],[Weight]:[Weight]]-(Table21215[[#This Row],[Weight]:[Weight]]*((_xlfn.XMATCH(Table21215[[#This Row],[9]],Table21215[[#This Row],[1]:[11]],0))-1)/(COUNTA(Table21215[[#This Row],[1]:[11]])-COUNTBLANK(Table21215[[#This Row],[1]:[11]])-1)))</f>
        <v/>
      </c>
      <c r="AH43" s="30" t="str" cm="1">
        <f t="array" ref="AH43">IF(Table21215[[#This Row],[10]]="","",Table21215[[#This Row],[Weight]:[Weight]]-(Table21215[[#This Row],[Weight]:[Weight]]*((_xlfn.XMATCH(Table21215[[#This Row],[10]],Table21215[[#This Row],[1]:[11]],0))-1)/(COUNTA(Table21215[[#This Row],[1]:[11]])-COUNTBLANK(Table21215[[#This Row],[1]:[11]])-1)))</f>
        <v/>
      </c>
      <c r="AI43" s="30" t="str" cm="1">
        <f t="array" ref="AI43">IF(Table21215[[#This Row],[11]]="","",Table21215[[#This Row],[Weight]:[Weight]]-(Table21215[[#This Row],[Weight]:[Weight]]*((_xlfn.XMATCH(Table21215[[#This Row],[11]],Table21215[[#This Row],[1]:[11]],0))-1)/(COUNTA(Table21215[[#This Row],[1]:[11]])-COUNTBLANK(Table21215[[#This Row],[1]:[11]])-1)))</f>
        <v/>
      </c>
    </row>
    <row r="44" spans="1:35" ht="108" x14ac:dyDescent="0.2">
      <c r="A44" s="20">
        <v>32</v>
      </c>
      <c r="B44" s="165" t="s">
        <v>861</v>
      </c>
      <c r="C44" s="21" t="s">
        <v>826</v>
      </c>
      <c r="D44" s="38"/>
      <c r="E44" s="38"/>
      <c r="F44" s="159" t="s">
        <v>188</v>
      </c>
      <c r="G44" s="160" cm="1">
        <f t="array" ref="G44">_xlfn.IFS(F44="","",F44="No interest",0,F44="Nice to have",1,F44="Useful",2,F44="Important",3,F44="Very important",4,F44="Critical",5,F44="Show stopper",6)</f>
        <v>5</v>
      </c>
      <c r="H44" s="161">
        <f t="shared" si="2"/>
        <v>3.9714058776806989E-3</v>
      </c>
      <c r="I44" s="157" t="s">
        <v>827</v>
      </c>
      <c r="J44" s="35" t="str" cm="1">
        <f t="array" ref="J44">_xlfn.TEXTJOIN(","&amp;CHAR(10),,TEXT(Table21215[[#This Row],[12]:[22]],"0,00%"))</f>
        <v>0,00%,
0,00%,
0,00%,
0,00%</v>
      </c>
      <c r="K44" s="36"/>
      <c r="L44" s="37" t="e">
        <f>H44-(H44*((MATCH(Table21215[[#This Row],[Evaluators Response (SELECT)]],Table21215[[#This Row],[1]:[11]],0)-1)/(COUNTA(Table21215[[#This Row],[1]:[11]])-COUNTBLANK(Table21215[[#This Row],[1]:[11]])-1)))</f>
        <v>#N/A</v>
      </c>
      <c r="M44" s="38"/>
      <c r="N44" s="29" t="s">
        <v>828</v>
      </c>
      <c r="O44" s="29" t="s">
        <v>829</v>
      </c>
      <c r="P44" s="29" t="s">
        <v>830</v>
      </c>
      <c r="Q44" s="29" t="str" cm="1">
        <f t="array" ref="Q44">IFERROR(INDEX(_xlfn.UNIQUE(TRIM(_xlfn.TEXTSPLIT(Table21215[[#This Row],[Selection Options]:[Selection Options]],","))),,Q$11),"")</f>
        <v xml:space="preserve">
 0%: Not currently supported</v>
      </c>
      <c r="R44" s="29" t="str" cm="1">
        <f t="array" ref="R44">IFERROR(INDEX(_xlfn.UNIQUE(TRIM(_xlfn.TEXTSPLIT(Table21215[[#This Row],[Selection Options]:[Selection Options]],","))),,R$11),"")</f>
        <v/>
      </c>
      <c r="S44" s="29" t="str" cm="1">
        <f t="array" ref="S44">IFERROR(INDEX(_xlfn.UNIQUE(TRIM(_xlfn.TEXTSPLIT(Table21215[[#This Row],[Selection Options]:[Selection Options]],","))),,S$11),"")</f>
        <v/>
      </c>
      <c r="T44" s="29" t="str" cm="1">
        <f t="array" ref="T44">IFERROR(INDEX(_xlfn.UNIQUE(TRIM(_xlfn.TEXTSPLIT(Table21215[[#This Row],[Selection Options]:[Selection Options]],","))),,T$11),"")</f>
        <v/>
      </c>
      <c r="U44" s="29" t="str" cm="1">
        <f t="array" ref="U44">IFERROR(INDEX(_xlfn.UNIQUE(TRIM(_xlfn.TEXTSPLIT(Table21215[[#This Row],[Selection Options]:[Selection Options]],","))),,U$11),"")</f>
        <v/>
      </c>
      <c r="V44" s="29" t="str" cm="1">
        <f t="array" ref="V44">IFERROR(INDEX(_xlfn.UNIQUE(TRIM(_xlfn.TEXTSPLIT(Table21215[[#This Row],[Selection Options]:[Selection Options]],","))),,V$11),"")</f>
        <v/>
      </c>
      <c r="W44" s="29" t="str" cm="1">
        <f t="array" ref="W44">IFERROR(INDEX(_xlfn.UNIQUE(TRIM(_xlfn.TEXTSPLIT(Table21215[[#This Row],[Selection Options]:[Selection Options]],","))),,W$11),"")</f>
        <v/>
      </c>
      <c r="X44" s="29" t="str" cm="1">
        <f t="array" ref="X44">IFERROR(INDEX(_xlfn.UNIQUE(TRIM(_xlfn.TEXTSPLIT(Table21215[[#This Row],[Selection Options]:[Selection Options]],","))),,X$11),"")</f>
        <v/>
      </c>
      <c r="Y44" s="30" cm="1">
        <f t="array" ref="Y44">IF(Table21215[[#This Row],[1]]="","",Table21215[[#This Row],[Weight]:[Weight]]-(Table21215[[#This Row],[Weight]:[Weight]]*((_xlfn.XMATCH(Table21215[[#This Row],[1]],Table21215[[#This Row],[1]:[11]],0))-1)/(COUNTA(Table21215[[#This Row],[1]:[11]])-COUNTBLANK(Table21215[[#This Row],[1]:[11]])-1)))</f>
        <v>3.9714058776806989E-3</v>
      </c>
      <c r="Z44" s="30" cm="1">
        <f t="array" ref="Z44">IF(Table21215[[#This Row],[2]]="","",Table21215[[#This Row],[Weight]:[Weight]]-(Table21215[[#This Row],[Weight]:[Weight]]*((_xlfn.XMATCH(Table21215[[#This Row],[2]],Table21215[[#This Row],[1]:[11]],0))-1)/(COUNTA(Table21215[[#This Row],[1]:[11]])-COUNTBLANK(Table21215[[#This Row],[1]:[11]])-1)))</f>
        <v>2.6476039184537992E-3</v>
      </c>
      <c r="AA44" s="30" cm="1">
        <f t="array" ref="AA44">IF(Table21215[[#This Row],[3]]="","",Table21215[[#This Row],[Weight]:[Weight]]-(Table21215[[#This Row],[Weight]:[Weight]]*((_xlfn.XMATCH(Table21215[[#This Row],[3]],Table21215[[#This Row],[1]:[11]],0))-1)/(COUNTA(Table21215[[#This Row],[1]:[11]])-COUNTBLANK(Table21215[[#This Row],[1]:[11]])-1)))</f>
        <v>1.3238019592268996E-3</v>
      </c>
      <c r="AB44" s="30" cm="1">
        <f t="array" ref="AB44">IF(Table21215[[#This Row],[4]]="","",Table21215[[#This Row],[Weight]:[Weight]]-(Table21215[[#This Row],[Weight]:[Weight]]*((_xlfn.XMATCH(Table21215[[#This Row],[4]],Table21215[[#This Row],[1]:[11]],0))-1)/(COUNTA(Table21215[[#This Row],[1]:[11]])-COUNTBLANK(Table21215[[#This Row],[1]:[11]])-1)))</f>
        <v>0</v>
      </c>
      <c r="AC44" s="30" t="str" cm="1">
        <f t="array" ref="AC44">IF(Table21215[[#This Row],[5]]="","",Table21215[[#This Row],[Weight]:[Weight]]-(Table21215[[#This Row],[Weight]:[Weight]]*((_xlfn.XMATCH(Table21215[[#This Row],[5]],Table21215[[#This Row],[1]:[11]],0))-1)/(COUNTA(Table21215[[#This Row],[1]:[11]])-COUNTBLANK(Table21215[[#This Row],[1]:[11]])-1)))</f>
        <v/>
      </c>
      <c r="AD44" s="30" t="str" cm="1">
        <f t="array" ref="AD44">IF(Table21215[[#This Row],[6]]="","",Table21215[[#This Row],[Weight]:[Weight]]-(Table21215[[#This Row],[Weight]:[Weight]]*((_xlfn.XMATCH(Table21215[[#This Row],[6]],Table21215[[#This Row],[1]:[11]],0))-1)/(COUNTA(Table21215[[#This Row],[1]:[11]])-COUNTBLANK(Table21215[[#This Row],[1]:[11]])-1)))</f>
        <v/>
      </c>
      <c r="AE44" s="30" t="str" cm="1">
        <f t="array" ref="AE44">IF(Table21215[[#This Row],[7]]="","",Table21215[[#This Row],[Weight]:[Weight]]-(Table21215[[#This Row],[Weight]:[Weight]]*((_xlfn.XMATCH(Table21215[[#This Row],[7]],Table21215[[#This Row],[1]:[11]],0))-1)/(COUNTA(Table21215[[#This Row],[1]:[11]])-COUNTBLANK(Table21215[[#This Row],[1]:[11]])-1)))</f>
        <v/>
      </c>
      <c r="AF44" s="30" t="str" cm="1">
        <f t="array" ref="AF44">IF(Table21215[[#This Row],[8]]="","",Table21215[[#This Row],[Weight]:[Weight]]-(Table21215[[#This Row],[Weight]:[Weight]]*((_xlfn.XMATCH(Table21215[[#This Row],[8]],Table21215[[#This Row],[1]:[11]],0))-1)/(COUNTA(Table21215[[#This Row],[1]:[11]])-COUNTBLANK(Table21215[[#This Row],[1]:[11]])-1)))</f>
        <v/>
      </c>
      <c r="AG44" s="30" t="str" cm="1">
        <f t="array" ref="AG44">IF(Table21215[[#This Row],[9]]="","",Table21215[[#This Row],[Weight]:[Weight]]-(Table21215[[#This Row],[Weight]:[Weight]]*((_xlfn.XMATCH(Table21215[[#This Row],[9]],Table21215[[#This Row],[1]:[11]],0))-1)/(COUNTA(Table21215[[#This Row],[1]:[11]])-COUNTBLANK(Table21215[[#This Row],[1]:[11]])-1)))</f>
        <v/>
      </c>
      <c r="AH44" s="30" t="str" cm="1">
        <f t="array" ref="AH44">IF(Table21215[[#This Row],[10]]="","",Table21215[[#This Row],[Weight]:[Weight]]-(Table21215[[#This Row],[Weight]:[Weight]]*((_xlfn.XMATCH(Table21215[[#This Row],[10]],Table21215[[#This Row],[1]:[11]],0))-1)/(COUNTA(Table21215[[#This Row],[1]:[11]])-COUNTBLANK(Table21215[[#This Row],[1]:[11]])-1)))</f>
        <v/>
      </c>
      <c r="AI44" s="30" t="str" cm="1">
        <f t="array" ref="AI44">IF(Table21215[[#This Row],[11]]="","",Table21215[[#This Row],[Weight]:[Weight]]-(Table21215[[#This Row],[Weight]:[Weight]]*((_xlfn.XMATCH(Table21215[[#This Row],[11]],Table21215[[#This Row],[1]:[11]],0))-1)/(COUNTA(Table21215[[#This Row],[1]:[11]])-COUNTBLANK(Table21215[[#This Row],[1]:[11]])-1)))</f>
        <v/>
      </c>
    </row>
    <row r="45" spans="1:35" ht="108" x14ac:dyDescent="0.2">
      <c r="A45" s="20">
        <v>33</v>
      </c>
      <c r="B45" s="165" t="s">
        <v>862</v>
      </c>
      <c r="C45" s="21" t="s">
        <v>826</v>
      </c>
      <c r="D45" s="38"/>
      <c r="E45" s="38"/>
      <c r="F45" s="159" t="s">
        <v>188</v>
      </c>
      <c r="G45" s="160" cm="1">
        <f t="array" ref="G45">_xlfn.IFS(F45="","",F45="No interest",0,F45="Nice to have",1,F45="Useful",2,F45="Important",3,F45="Very important",4,F45="Critical",5,F45="Show stopper",6)</f>
        <v>5</v>
      </c>
      <c r="H45" s="161">
        <f t="shared" si="2"/>
        <v>3.9714058776806989E-3</v>
      </c>
      <c r="I45" s="157" t="s">
        <v>827</v>
      </c>
      <c r="J45" s="35" t="str" cm="1">
        <f t="array" ref="J45">_xlfn.TEXTJOIN(","&amp;CHAR(10),,TEXT(Table21215[[#This Row],[12]:[22]],"0,00%"))</f>
        <v>0,00%,
0,00%,
0,00%,
0,00%</v>
      </c>
      <c r="K45" s="36"/>
      <c r="L45" s="37" t="e">
        <f>H45-(H45*((MATCH(Table21215[[#This Row],[Evaluators Response (SELECT)]],Table21215[[#This Row],[1]:[11]],0)-1)/(COUNTA(Table21215[[#This Row],[1]:[11]])-COUNTBLANK(Table21215[[#This Row],[1]:[11]])-1)))</f>
        <v>#N/A</v>
      </c>
      <c r="M45" s="38"/>
      <c r="N45" s="29" t="s">
        <v>828</v>
      </c>
      <c r="O45" s="29" t="s">
        <v>829</v>
      </c>
      <c r="P45" s="29" t="s">
        <v>830</v>
      </c>
      <c r="Q45" s="29" t="str" cm="1">
        <f t="array" ref="Q45">IFERROR(INDEX(_xlfn.UNIQUE(TRIM(_xlfn.TEXTSPLIT(Table21215[[#This Row],[Selection Options]:[Selection Options]],","))),,Q$11),"")</f>
        <v xml:space="preserve">
 0%: Not currently supported</v>
      </c>
      <c r="R45" s="29" t="str" cm="1">
        <f t="array" ref="R45">IFERROR(INDEX(_xlfn.UNIQUE(TRIM(_xlfn.TEXTSPLIT(Table21215[[#This Row],[Selection Options]:[Selection Options]],","))),,R$11),"")</f>
        <v/>
      </c>
      <c r="S45" s="29" t="str" cm="1">
        <f t="array" ref="S45">IFERROR(INDEX(_xlfn.UNIQUE(TRIM(_xlfn.TEXTSPLIT(Table21215[[#This Row],[Selection Options]:[Selection Options]],","))),,S$11),"")</f>
        <v/>
      </c>
      <c r="T45" s="29" t="str" cm="1">
        <f t="array" ref="T45">IFERROR(INDEX(_xlfn.UNIQUE(TRIM(_xlfn.TEXTSPLIT(Table21215[[#This Row],[Selection Options]:[Selection Options]],","))),,T$11),"")</f>
        <v/>
      </c>
      <c r="U45" s="29" t="str" cm="1">
        <f t="array" ref="U45">IFERROR(INDEX(_xlfn.UNIQUE(TRIM(_xlfn.TEXTSPLIT(Table21215[[#This Row],[Selection Options]:[Selection Options]],","))),,U$11),"")</f>
        <v/>
      </c>
      <c r="V45" s="29" t="str" cm="1">
        <f t="array" ref="V45">IFERROR(INDEX(_xlfn.UNIQUE(TRIM(_xlfn.TEXTSPLIT(Table21215[[#This Row],[Selection Options]:[Selection Options]],","))),,V$11),"")</f>
        <v/>
      </c>
      <c r="W45" s="29" t="str" cm="1">
        <f t="array" ref="W45">IFERROR(INDEX(_xlfn.UNIQUE(TRIM(_xlfn.TEXTSPLIT(Table21215[[#This Row],[Selection Options]:[Selection Options]],","))),,W$11),"")</f>
        <v/>
      </c>
      <c r="X45" s="29" t="str" cm="1">
        <f t="array" ref="X45">IFERROR(INDEX(_xlfn.UNIQUE(TRIM(_xlfn.TEXTSPLIT(Table21215[[#This Row],[Selection Options]:[Selection Options]],","))),,X$11),"")</f>
        <v/>
      </c>
      <c r="Y45" s="30" cm="1">
        <f t="array" ref="Y45">IF(Table21215[[#This Row],[1]]="","",Table21215[[#This Row],[Weight]:[Weight]]-(Table21215[[#This Row],[Weight]:[Weight]]*((_xlfn.XMATCH(Table21215[[#This Row],[1]],Table21215[[#This Row],[1]:[11]],0))-1)/(COUNTA(Table21215[[#This Row],[1]:[11]])-COUNTBLANK(Table21215[[#This Row],[1]:[11]])-1)))</f>
        <v>3.9714058776806989E-3</v>
      </c>
      <c r="Z45" s="30" cm="1">
        <f t="array" ref="Z45">IF(Table21215[[#This Row],[2]]="","",Table21215[[#This Row],[Weight]:[Weight]]-(Table21215[[#This Row],[Weight]:[Weight]]*((_xlfn.XMATCH(Table21215[[#This Row],[2]],Table21215[[#This Row],[1]:[11]],0))-1)/(COUNTA(Table21215[[#This Row],[1]:[11]])-COUNTBLANK(Table21215[[#This Row],[1]:[11]])-1)))</f>
        <v>2.6476039184537992E-3</v>
      </c>
      <c r="AA45" s="30" cm="1">
        <f t="array" ref="AA45">IF(Table21215[[#This Row],[3]]="","",Table21215[[#This Row],[Weight]:[Weight]]-(Table21215[[#This Row],[Weight]:[Weight]]*((_xlfn.XMATCH(Table21215[[#This Row],[3]],Table21215[[#This Row],[1]:[11]],0))-1)/(COUNTA(Table21215[[#This Row],[1]:[11]])-COUNTBLANK(Table21215[[#This Row],[1]:[11]])-1)))</f>
        <v>1.3238019592268996E-3</v>
      </c>
      <c r="AB45" s="30" cm="1">
        <f t="array" ref="AB45">IF(Table21215[[#This Row],[4]]="","",Table21215[[#This Row],[Weight]:[Weight]]-(Table21215[[#This Row],[Weight]:[Weight]]*((_xlfn.XMATCH(Table21215[[#This Row],[4]],Table21215[[#This Row],[1]:[11]],0))-1)/(COUNTA(Table21215[[#This Row],[1]:[11]])-COUNTBLANK(Table21215[[#This Row],[1]:[11]])-1)))</f>
        <v>0</v>
      </c>
      <c r="AC45" s="30" t="str" cm="1">
        <f t="array" ref="AC45">IF(Table21215[[#This Row],[5]]="","",Table21215[[#This Row],[Weight]:[Weight]]-(Table21215[[#This Row],[Weight]:[Weight]]*((_xlfn.XMATCH(Table21215[[#This Row],[5]],Table21215[[#This Row],[1]:[11]],0))-1)/(COUNTA(Table21215[[#This Row],[1]:[11]])-COUNTBLANK(Table21215[[#This Row],[1]:[11]])-1)))</f>
        <v/>
      </c>
      <c r="AD45" s="30" t="str" cm="1">
        <f t="array" ref="AD45">IF(Table21215[[#This Row],[6]]="","",Table21215[[#This Row],[Weight]:[Weight]]-(Table21215[[#This Row],[Weight]:[Weight]]*((_xlfn.XMATCH(Table21215[[#This Row],[6]],Table21215[[#This Row],[1]:[11]],0))-1)/(COUNTA(Table21215[[#This Row],[1]:[11]])-COUNTBLANK(Table21215[[#This Row],[1]:[11]])-1)))</f>
        <v/>
      </c>
      <c r="AE45" s="30" t="str" cm="1">
        <f t="array" ref="AE45">IF(Table21215[[#This Row],[7]]="","",Table21215[[#This Row],[Weight]:[Weight]]-(Table21215[[#This Row],[Weight]:[Weight]]*((_xlfn.XMATCH(Table21215[[#This Row],[7]],Table21215[[#This Row],[1]:[11]],0))-1)/(COUNTA(Table21215[[#This Row],[1]:[11]])-COUNTBLANK(Table21215[[#This Row],[1]:[11]])-1)))</f>
        <v/>
      </c>
      <c r="AF45" s="30" t="str" cm="1">
        <f t="array" ref="AF45">IF(Table21215[[#This Row],[8]]="","",Table21215[[#This Row],[Weight]:[Weight]]-(Table21215[[#This Row],[Weight]:[Weight]]*((_xlfn.XMATCH(Table21215[[#This Row],[8]],Table21215[[#This Row],[1]:[11]],0))-1)/(COUNTA(Table21215[[#This Row],[1]:[11]])-COUNTBLANK(Table21215[[#This Row],[1]:[11]])-1)))</f>
        <v/>
      </c>
      <c r="AG45" s="30" t="str" cm="1">
        <f t="array" ref="AG45">IF(Table21215[[#This Row],[9]]="","",Table21215[[#This Row],[Weight]:[Weight]]-(Table21215[[#This Row],[Weight]:[Weight]]*((_xlfn.XMATCH(Table21215[[#This Row],[9]],Table21215[[#This Row],[1]:[11]],0))-1)/(COUNTA(Table21215[[#This Row],[1]:[11]])-COUNTBLANK(Table21215[[#This Row],[1]:[11]])-1)))</f>
        <v/>
      </c>
      <c r="AH45" s="30" t="str" cm="1">
        <f t="array" ref="AH45">IF(Table21215[[#This Row],[10]]="","",Table21215[[#This Row],[Weight]:[Weight]]-(Table21215[[#This Row],[Weight]:[Weight]]*((_xlfn.XMATCH(Table21215[[#This Row],[10]],Table21215[[#This Row],[1]:[11]],0))-1)/(COUNTA(Table21215[[#This Row],[1]:[11]])-COUNTBLANK(Table21215[[#This Row],[1]:[11]])-1)))</f>
        <v/>
      </c>
      <c r="AI45" s="30" t="str" cm="1">
        <f t="array" ref="AI45">IF(Table21215[[#This Row],[11]]="","",Table21215[[#This Row],[Weight]:[Weight]]-(Table21215[[#This Row],[Weight]:[Weight]]*((_xlfn.XMATCH(Table21215[[#This Row],[11]],Table21215[[#This Row],[1]:[11]],0))-1)/(COUNTA(Table21215[[#This Row],[1]:[11]])-COUNTBLANK(Table21215[[#This Row],[1]:[11]])-1)))</f>
        <v/>
      </c>
    </row>
    <row r="46" spans="1:35" ht="108" x14ac:dyDescent="0.2">
      <c r="A46" s="20">
        <v>34</v>
      </c>
      <c r="B46" s="165" t="s">
        <v>863</v>
      </c>
      <c r="C46" s="21" t="s">
        <v>826</v>
      </c>
      <c r="D46" s="38"/>
      <c r="E46" s="38"/>
      <c r="F46" s="159" t="s">
        <v>60</v>
      </c>
      <c r="G46" s="160" cm="1">
        <f t="array" ref="G46">_xlfn.IFS(F46="","",F46="No interest",0,F46="Nice to have",1,F46="Useful",2,F46="Important",3,F46="Very important",4,F46="Critical",5,F46="Show stopper",6)</f>
        <v>6</v>
      </c>
      <c r="H46" s="161">
        <f t="shared" si="2"/>
        <v>4.7656870532168391E-3</v>
      </c>
      <c r="I46" s="157" t="s">
        <v>827</v>
      </c>
      <c r="J46" s="35" t="str" cm="1">
        <f t="array" ref="J46">_xlfn.TEXTJOIN(","&amp;CHAR(10),,TEXT(Table21215[[#This Row],[12]:[22]],"0,00%"))</f>
        <v>0,00%,
0,00%,
0,00%,
0,00%</v>
      </c>
      <c r="K46" s="36"/>
      <c r="L46" s="37" t="e">
        <f>H46-(H46*((MATCH(Table21215[[#This Row],[Evaluators Response (SELECT)]],Table21215[[#This Row],[1]:[11]],0)-1)/(COUNTA(Table21215[[#This Row],[1]:[11]])-COUNTBLANK(Table21215[[#This Row],[1]:[11]])-1)))</f>
        <v>#N/A</v>
      </c>
      <c r="M46" s="38"/>
      <c r="N46" s="29" t="s">
        <v>828</v>
      </c>
      <c r="O46" s="29" t="s">
        <v>829</v>
      </c>
      <c r="P46" s="29" t="s">
        <v>830</v>
      </c>
      <c r="Q46" s="29" t="str" cm="1">
        <f t="array" ref="Q46">IFERROR(INDEX(_xlfn.UNIQUE(TRIM(_xlfn.TEXTSPLIT(Table21215[[#This Row],[Selection Options]:[Selection Options]],","))),,Q$11),"")</f>
        <v xml:space="preserve">
 0%: Not currently supported</v>
      </c>
      <c r="R46" s="29" t="str" cm="1">
        <f t="array" ref="R46">IFERROR(INDEX(_xlfn.UNIQUE(TRIM(_xlfn.TEXTSPLIT(Table21215[[#This Row],[Selection Options]:[Selection Options]],","))),,R$11),"")</f>
        <v/>
      </c>
      <c r="S46" s="29" t="str" cm="1">
        <f t="array" ref="S46">IFERROR(INDEX(_xlfn.UNIQUE(TRIM(_xlfn.TEXTSPLIT(Table21215[[#This Row],[Selection Options]:[Selection Options]],","))),,S$11),"")</f>
        <v/>
      </c>
      <c r="T46" s="29" t="str" cm="1">
        <f t="array" ref="T46">IFERROR(INDEX(_xlfn.UNIQUE(TRIM(_xlfn.TEXTSPLIT(Table21215[[#This Row],[Selection Options]:[Selection Options]],","))),,T$11),"")</f>
        <v/>
      </c>
      <c r="U46" s="29" t="str" cm="1">
        <f t="array" ref="U46">IFERROR(INDEX(_xlfn.UNIQUE(TRIM(_xlfn.TEXTSPLIT(Table21215[[#This Row],[Selection Options]:[Selection Options]],","))),,U$11),"")</f>
        <v/>
      </c>
      <c r="V46" s="29" t="str" cm="1">
        <f t="array" ref="V46">IFERROR(INDEX(_xlfn.UNIQUE(TRIM(_xlfn.TEXTSPLIT(Table21215[[#This Row],[Selection Options]:[Selection Options]],","))),,V$11),"")</f>
        <v/>
      </c>
      <c r="W46" s="29" t="str" cm="1">
        <f t="array" ref="W46">IFERROR(INDEX(_xlfn.UNIQUE(TRIM(_xlfn.TEXTSPLIT(Table21215[[#This Row],[Selection Options]:[Selection Options]],","))),,W$11),"")</f>
        <v/>
      </c>
      <c r="X46" s="29" t="str" cm="1">
        <f t="array" ref="X46">IFERROR(INDEX(_xlfn.UNIQUE(TRIM(_xlfn.TEXTSPLIT(Table21215[[#This Row],[Selection Options]:[Selection Options]],","))),,X$11),"")</f>
        <v/>
      </c>
      <c r="Y46" s="30" cm="1">
        <f t="array" ref="Y46">IF(Table21215[[#This Row],[1]]="","",Table21215[[#This Row],[Weight]:[Weight]]-(Table21215[[#This Row],[Weight]:[Weight]]*((_xlfn.XMATCH(Table21215[[#This Row],[1]],Table21215[[#This Row],[1]:[11]],0))-1)/(COUNTA(Table21215[[#This Row],[1]:[11]])-COUNTBLANK(Table21215[[#This Row],[1]:[11]])-1)))</f>
        <v>4.7656870532168391E-3</v>
      </c>
      <c r="Z46" s="30" cm="1">
        <f t="array" ref="Z46">IF(Table21215[[#This Row],[2]]="","",Table21215[[#This Row],[Weight]:[Weight]]-(Table21215[[#This Row],[Weight]:[Weight]]*((_xlfn.XMATCH(Table21215[[#This Row],[2]],Table21215[[#This Row],[1]:[11]],0))-1)/(COUNTA(Table21215[[#This Row],[1]:[11]])-COUNTBLANK(Table21215[[#This Row],[1]:[11]])-1)))</f>
        <v>3.1771247021445594E-3</v>
      </c>
      <c r="AA46" s="30" cm="1">
        <f t="array" ref="AA46">IF(Table21215[[#This Row],[3]]="","",Table21215[[#This Row],[Weight]:[Weight]]-(Table21215[[#This Row],[Weight]:[Weight]]*((_xlfn.XMATCH(Table21215[[#This Row],[3]],Table21215[[#This Row],[1]:[11]],0))-1)/(COUNTA(Table21215[[#This Row],[1]:[11]])-COUNTBLANK(Table21215[[#This Row],[1]:[11]])-1)))</f>
        <v>1.5885623510722797E-3</v>
      </c>
      <c r="AB46" s="30" cm="1">
        <f t="array" ref="AB46">IF(Table21215[[#This Row],[4]]="","",Table21215[[#This Row],[Weight]:[Weight]]-(Table21215[[#This Row],[Weight]:[Weight]]*((_xlfn.XMATCH(Table21215[[#This Row],[4]],Table21215[[#This Row],[1]:[11]],0))-1)/(COUNTA(Table21215[[#This Row],[1]:[11]])-COUNTBLANK(Table21215[[#This Row],[1]:[11]])-1)))</f>
        <v>0</v>
      </c>
      <c r="AC46" s="30" t="str" cm="1">
        <f t="array" ref="AC46">IF(Table21215[[#This Row],[5]]="","",Table21215[[#This Row],[Weight]:[Weight]]-(Table21215[[#This Row],[Weight]:[Weight]]*((_xlfn.XMATCH(Table21215[[#This Row],[5]],Table21215[[#This Row],[1]:[11]],0))-1)/(COUNTA(Table21215[[#This Row],[1]:[11]])-COUNTBLANK(Table21215[[#This Row],[1]:[11]])-1)))</f>
        <v/>
      </c>
      <c r="AD46" s="30" t="str" cm="1">
        <f t="array" ref="AD46">IF(Table21215[[#This Row],[6]]="","",Table21215[[#This Row],[Weight]:[Weight]]-(Table21215[[#This Row],[Weight]:[Weight]]*((_xlfn.XMATCH(Table21215[[#This Row],[6]],Table21215[[#This Row],[1]:[11]],0))-1)/(COUNTA(Table21215[[#This Row],[1]:[11]])-COUNTBLANK(Table21215[[#This Row],[1]:[11]])-1)))</f>
        <v/>
      </c>
      <c r="AE46" s="30" t="str" cm="1">
        <f t="array" ref="AE46">IF(Table21215[[#This Row],[7]]="","",Table21215[[#This Row],[Weight]:[Weight]]-(Table21215[[#This Row],[Weight]:[Weight]]*((_xlfn.XMATCH(Table21215[[#This Row],[7]],Table21215[[#This Row],[1]:[11]],0))-1)/(COUNTA(Table21215[[#This Row],[1]:[11]])-COUNTBLANK(Table21215[[#This Row],[1]:[11]])-1)))</f>
        <v/>
      </c>
      <c r="AF46" s="30" t="str" cm="1">
        <f t="array" ref="AF46">IF(Table21215[[#This Row],[8]]="","",Table21215[[#This Row],[Weight]:[Weight]]-(Table21215[[#This Row],[Weight]:[Weight]]*((_xlfn.XMATCH(Table21215[[#This Row],[8]],Table21215[[#This Row],[1]:[11]],0))-1)/(COUNTA(Table21215[[#This Row],[1]:[11]])-COUNTBLANK(Table21215[[#This Row],[1]:[11]])-1)))</f>
        <v/>
      </c>
      <c r="AG46" s="30" t="str" cm="1">
        <f t="array" ref="AG46">IF(Table21215[[#This Row],[9]]="","",Table21215[[#This Row],[Weight]:[Weight]]-(Table21215[[#This Row],[Weight]:[Weight]]*((_xlfn.XMATCH(Table21215[[#This Row],[9]],Table21215[[#This Row],[1]:[11]],0))-1)/(COUNTA(Table21215[[#This Row],[1]:[11]])-COUNTBLANK(Table21215[[#This Row],[1]:[11]])-1)))</f>
        <v/>
      </c>
      <c r="AH46" s="30" t="str" cm="1">
        <f t="array" ref="AH46">IF(Table21215[[#This Row],[10]]="","",Table21215[[#This Row],[Weight]:[Weight]]-(Table21215[[#This Row],[Weight]:[Weight]]*((_xlfn.XMATCH(Table21215[[#This Row],[10]],Table21215[[#This Row],[1]:[11]],0))-1)/(COUNTA(Table21215[[#This Row],[1]:[11]])-COUNTBLANK(Table21215[[#This Row],[1]:[11]])-1)))</f>
        <v/>
      </c>
      <c r="AI46" s="30" t="str" cm="1">
        <f t="array" ref="AI46">IF(Table21215[[#This Row],[11]]="","",Table21215[[#This Row],[Weight]:[Weight]]-(Table21215[[#This Row],[Weight]:[Weight]]*((_xlfn.XMATCH(Table21215[[#This Row],[11]],Table21215[[#This Row],[1]:[11]],0))-1)/(COUNTA(Table21215[[#This Row],[1]:[11]])-COUNTBLANK(Table21215[[#This Row],[1]:[11]])-1)))</f>
        <v/>
      </c>
    </row>
    <row r="47" spans="1:35" ht="108" x14ac:dyDescent="0.2">
      <c r="A47" s="20">
        <v>35</v>
      </c>
      <c r="B47" s="165" t="s">
        <v>864</v>
      </c>
      <c r="C47" s="21" t="s">
        <v>826</v>
      </c>
      <c r="D47" s="38"/>
      <c r="E47" s="38"/>
      <c r="F47" s="159" t="s">
        <v>188</v>
      </c>
      <c r="G47" s="160" cm="1">
        <f t="array" ref="G47">_xlfn.IFS(F47="","",F47="No interest",0,F47="Nice to have",1,F47="Useful",2,F47="Important",3,F47="Very important",4,F47="Critical",5,F47="Show stopper",6)</f>
        <v>5</v>
      </c>
      <c r="H47" s="161">
        <f t="shared" si="2"/>
        <v>3.9714058776806989E-3</v>
      </c>
      <c r="I47" s="157" t="s">
        <v>827</v>
      </c>
      <c r="J47" s="35" t="str" cm="1">
        <f t="array" ref="J47">_xlfn.TEXTJOIN(","&amp;CHAR(10),,TEXT(Table21215[[#This Row],[12]:[22]],"0,00%"))</f>
        <v>0,00%,
0,00%,
0,00%,
0,00%</v>
      </c>
      <c r="K47" s="36"/>
      <c r="L47" s="37" t="e">
        <f>H47-(H47*((MATCH(Table21215[[#This Row],[Evaluators Response (SELECT)]],Table21215[[#This Row],[1]:[11]],0)-1)/(COUNTA(Table21215[[#This Row],[1]:[11]])-COUNTBLANK(Table21215[[#This Row],[1]:[11]])-1)))</f>
        <v>#N/A</v>
      </c>
      <c r="M47" s="38"/>
      <c r="N47" s="29" t="s">
        <v>828</v>
      </c>
      <c r="O47" s="29" t="s">
        <v>829</v>
      </c>
      <c r="P47" s="29" t="s">
        <v>830</v>
      </c>
      <c r="Q47" s="29" t="str" cm="1">
        <f t="array" ref="Q47">IFERROR(INDEX(_xlfn.UNIQUE(TRIM(_xlfn.TEXTSPLIT(Table21215[[#This Row],[Selection Options]:[Selection Options]],","))),,Q$11),"")</f>
        <v xml:space="preserve">
 0%: Not currently supported</v>
      </c>
      <c r="R47" s="29" t="str" cm="1">
        <f t="array" ref="R47">IFERROR(INDEX(_xlfn.UNIQUE(TRIM(_xlfn.TEXTSPLIT(Table21215[[#This Row],[Selection Options]:[Selection Options]],","))),,R$11),"")</f>
        <v/>
      </c>
      <c r="S47" s="29" t="str" cm="1">
        <f t="array" ref="S47">IFERROR(INDEX(_xlfn.UNIQUE(TRIM(_xlfn.TEXTSPLIT(Table21215[[#This Row],[Selection Options]:[Selection Options]],","))),,S$11),"")</f>
        <v/>
      </c>
      <c r="T47" s="29" t="str" cm="1">
        <f t="array" ref="T47">IFERROR(INDEX(_xlfn.UNIQUE(TRIM(_xlfn.TEXTSPLIT(Table21215[[#This Row],[Selection Options]:[Selection Options]],","))),,T$11),"")</f>
        <v/>
      </c>
      <c r="U47" s="29" t="str" cm="1">
        <f t="array" ref="U47">IFERROR(INDEX(_xlfn.UNIQUE(TRIM(_xlfn.TEXTSPLIT(Table21215[[#This Row],[Selection Options]:[Selection Options]],","))),,U$11),"")</f>
        <v/>
      </c>
      <c r="V47" s="29" t="str" cm="1">
        <f t="array" ref="V47">IFERROR(INDEX(_xlfn.UNIQUE(TRIM(_xlfn.TEXTSPLIT(Table21215[[#This Row],[Selection Options]:[Selection Options]],","))),,V$11),"")</f>
        <v/>
      </c>
      <c r="W47" s="29" t="str" cm="1">
        <f t="array" ref="W47">IFERROR(INDEX(_xlfn.UNIQUE(TRIM(_xlfn.TEXTSPLIT(Table21215[[#This Row],[Selection Options]:[Selection Options]],","))),,W$11),"")</f>
        <v/>
      </c>
      <c r="X47" s="29" t="str" cm="1">
        <f t="array" ref="X47">IFERROR(INDEX(_xlfn.UNIQUE(TRIM(_xlfn.TEXTSPLIT(Table21215[[#This Row],[Selection Options]:[Selection Options]],","))),,X$11),"")</f>
        <v/>
      </c>
      <c r="Y47" s="30" cm="1">
        <f t="array" ref="Y47">IF(Table21215[[#This Row],[1]]="","",Table21215[[#This Row],[Weight]:[Weight]]-(Table21215[[#This Row],[Weight]:[Weight]]*((_xlfn.XMATCH(Table21215[[#This Row],[1]],Table21215[[#This Row],[1]:[11]],0))-1)/(COUNTA(Table21215[[#This Row],[1]:[11]])-COUNTBLANK(Table21215[[#This Row],[1]:[11]])-1)))</f>
        <v>3.9714058776806989E-3</v>
      </c>
      <c r="Z47" s="30" cm="1">
        <f t="array" ref="Z47">IF(Table21215[[#This Row],[2]]="","",Table21215[[#This Row],[Weight]:[Weight]]-(Table21215[[#This Row],[Weight]:[Weight]]*((_xlfn.XMATCH(Table21215[[#This Row],[2]],Table21215[[#This Row],[1]:[11]],0))-1)/(COUNTA(Table21215[[#This Row],[1]:[11]])-COUNTBLANK(Table21215[[#This Row],[1]:[11]])-1)))</f>
        <v>2.6476039184537992E-3</v>
      </c>
      <c r="AA47" s="30" cm="1">
        <f t="array" ref="AA47">IF(Table21215[[#This Row],[3]]="","",Table21215[[#This Row],[Weight]:[Weight]]-(Table21215[[#This Row],[Weight]:[Weight]]*((_xlfn.XMATCH(Table21215[[#This Row],[3]],Table21215[[#This Row],[1]:[11]],0))-1)/(COUNTA(Table21215[[#This Row],[1]:[11]])-COUNTBLANK(Table21215[[#This Row],[1]:[11]])-1)))</f>
        <v>1.3238019592268996E-3</v>
      </c>
      <c r="AB47" s="30" cm="1">
        <f t="array" ref="AB47">IF(Table21215[[#This Row],[4]]="","",Table21215[[#This Row],[Weight]:[Weight]]-(Table21215[[#This Row],[Weight]:[Weight]]*((_xlfn.XMATCH(Table21215[[#This Row],[4]],Table21215[[#This Row],[1]:[11]],0))-1)/(COUNTA(Table21215[[#This Row],[1]:[11]])-COUNTBLANK(Table21215[[#This Row],[1]:[11]])-1)))</f>
        <v>0</v>
      </c>
      <c r="AC47" s="30" t="str" cm="1">
        <f t="array" ref="AC47">IF(Table21215[[#This Row],[5]]="","",Table21215[[#This Row],[Weight]:[Weight]]-(Table21215[[#This Row],[Weight]:[Weight]]*((_xlfn.XMATCH(Table21215[[#This Row],[5]],Table21215[[#This Row],[1]:[11]],0))-1)/(COUNTA(Table21215[[#This Row],[1]:[11]])-COUNTBLANK(Table21215[[#This Row],[1]:[11]])-1)))</f>
        <v/>
      </c>
      <c r="AD47" s="30" t="str" cm="1">
        <f t="array" ref="AD47">IF(Table21215[[#This Row],[6]]="","",Table21215[[#This Row],[Weight]:[Weight]]-(Table21215[[#This Row],[Weight]:[Weight]]*((_xlfn.XMATCH(Table21215[[#This Row],[6]],Table21215[[#This Row],[1]:[11]],0))-1)/(COUNTA(Table21215[[#This Row],[1]:[11]])-COUNTBLANK(Table21215[[#This Row],[1]:[11]])-1)))</f>
        <v/>
      </c>
      <c r="AE47" s="30" t="str" cm="1">
        <f t="array" ref="AE47">IF(Table21215[[#This Row],[7]]="","",Table21215[[#This Row],[Weight]:[Weight]]-(Table21215[[#This Row],[Weight]:[Weight]]*((_xlfn.XMATCH(Table21215[[#This Row],[7]],Table21215[[#This Row],[1]:[11]],0))-1)/(COUNTA(Table21215[[#This Row],[1]:[11]])-COUNTBLANK(Table21215[[#This Row],[1]:[11]])-1)))</f>
        <v/>
      </c>
      <c r="AF47" s="30" t="str" cm="1">
        <f t="array" ref="AF47">IF(Table21215[[#This Row],[8]]="","",Table21215[[#This Row],[Weight]:[Weight]]-(Table21215[[#This Row],[Weight]:[Weight]]*((_xlfn.XMATCH(Table21215[[#This Row],[8]],Table21215[[#This Row],[1]:[11]],0))-1)/(COUNTA(Table21215[[#This Row],[1]:[11]])-COUNTBLANK(Table21215[[#This Row],[1]:[11]])-1)))</f>
        <v/>
      </c>
      <c r="AG47" s="30" t="str" cm="1">
        <f t="array" ref="AG47">IF(Table21215[[#This Row],[9]]="","",Table21215[[#This Row],[Weight]:[Weight]]-(Table21215[[#This Row],[Weight]:[Weight]]*((_xlfn.XMATCH(Table21215[[#This Row],[9]],Table21215[[#This Row],[1]:[11]],0))-1)/(COUNTA(Table21215[[#This Row],[1]:[11]])-COUNTBLANK(Table21215[[#This Row],[1]:[11]])-1)))</f>
        <v/>
      </c>
      <c r="AH47" s="30" t="str" cm="1">
        <f t="array" ref="AH47">IF(Table21215[[#This Row],[10]]="","",Table21215[[#This Row],[Weight]:[Weight]]-(Table21215[[#This Row],[Weight]:[Weight]]*((_xlfn.XMATCH(Table21215[[#This Row],[10]],Table21215[[#This Row],[1]:[11]],0))-1)/(COUNTA(Table21215[[#This Row],[1]:[11]])-COUNTBLANK(Table21215[[#This Row],[1]:[11]])-1)))</f>
        <v/>
      </c>
      <c r="AI47" s="30" t="str" cm="1">
        <f t="array" ref="AI47">IF(Table21215[[#This Row],[11]]="","",Table21215[[#This Row],[Weight]:[Weight]]-(Table21215[[#This Row],[Weight]:[Weight]]*((_xlfn.XMATCH(Table21215[[#This Row],[11]],Table21215[[#This Row],[1]:[11]],0))-1)/(COUNTA(Table21215[[#This Row],[1]:[11]])-COUNTBLANK(Table21215[[#This Row],[1]:[11]])-1)))</f>
        <v/>
      </c>
    </row>
    <row r="48" spans="1:35" ht="108" x14ac:dyDescent="0.2">
      <c r="A48" s="20">
        <v>36</v>
      </c>
      <c r="B48" s="165" t="s">
        <v>865</v>
      </c>
      <c r="C48" s="21" t="s">
        <v>826</v>
      </c>
      <c r="D48" s="38"/>
      <c r="E48" s="38"/>
      <c r="F48" s="159" t="s">
        <v>60</v>
      </c>
      <c r="G48" s="160" cm="1">
        <f t="array" ref="G48">_xlfn.IFS(F48="","",F48="No interest",0,F48="Nice to have",1,F48="Useful",2,F48="Important",3,F48="Very important",4,F48="Critical",5,F48="Show stopper",6)</f>
        <v>6</v>
      </c>
      <c r="H48" s="161">
        <f t="shared" si="2"/>
        <v>4.7656870532168391E-3</v>
      </c>
      <c r="I48" s="157" t="s">
        <v>827</v>
      </c>
      <c r="J48" s="35" t="str" cm="1">
        <f t="array" ref="J48">_xlfn.TEXTJOIN(","&amp;CHAR(10),,TEXT(Table21215[[#This Row],[12]:[22]],"0,00%"))</f>
        <v>0,00%,
0,00%,
0,00%,
0,00%</v>
      </c>
      <c r="K48" s="36"/>
      <c r="L48" s="37" t="e">
        <f>H48-(H48*((MATCH(Table21215[[#This Row],[Evaluators Response (SELECT)]],Table21215[[#This Row],[1]:[11]],0)-1)/(COUNTA(Table21215[[#This Row],[1]:[11]])-COUNTBLANK(Table21215[[#This Row],[1]:[11]])-1)))</f>
        <v>#N/A</v>
      </c>
      <c r="M48" s="38"/>
      <c r="N48" s="29" t="s">
        <v>828</v>
      </c>
      <c r="O48" s="29" t="s">
        <v>829</v>
      </c>
      <c r="P48" s="29" t="s">
        <v>830</v>
      </c>
      <c r="Q48" s="29" t="str" cm="1">
        <f t="array" ref="Q48">IFERROR(INDEX(_xlfn.UNIQUE(TRIM(_xlfn.TEXTSPLIT(Table21215[[#This Row],[Selection Options]:[Selection Options]],","))),,Q$11),"")</f>
        <v xml:space="preserve">
 0%: Not currently supported</v>
      </c>
      <c r="R48" s="29" t="str" cm="1">
        <f t="array" ref="R48">IFERROR(INDEX(_xlfn.UNIQUE(TRIM(_xlfn.TEXTSPLIT(Table21215[[#This Row],[Selection Options]:[Selection Options]],","))),,R$11),"")</f>
        <v/>
      </c>
      <c r="S48" s="29" t="str" cm="1">
        <f t="array" ref="S48">IFERROR(INDEX(_xlfn.UNIQUE(TRIM(_xlfn.TEXTSPLIT(Table21215[[#This Row],[Selection Options]:[Selection Options]],","))),,S$11),"")</f>
        <v/>
      </c>
      <c r="T48" s="29" t="str" cm="1">
        <f t="array" ref="T48">IFERROR(INDEX(_xlfn.UNIQUE(TRIM(_xlfn.TEXTSPLIT(Table21215[[#This Row],[Selection Options]:[Selection Options]],","))),,T$11),"")</f>
        <v/>
      </c>
      <c r="U48" s="29" t="str" cm="1">
        <f t="array" ref="U48">IFERROR(INDEX(_xlfn.UNIQUE(TRIM(_xlfn.TEXTSPLIT(Table21215[[#This Row],[Selection Options]:[Selection Options]],","))),,U$11),"")</f>
        <v/>
      </c>
      <c r="V48" s="29" t="str" cm="1">
        <f t="array" ref="V48">IFERROR(INDEX(_xlfn.UNIQUE(TRIM(_xlfn.TEXTSPLIT(Table21215[[#This Row],[Selection Options]:[Selection Options]],","))),,V$11),"")</f>
        <v/>
      </c>
      <c r="W48" s="29" t="str" cm="1">
        <f t="array" ref="W48">IFERROR(INDEX(_xlfn.UNIQUE(TRIM(_xlfn.TEXTSPLIT(Table21215[[#This Row],[Selection Options]:[Selection Options]],","))),,W$11),"")</f>
        <v/>
      </c>
      <c r="X48" s="29" t="str" cm="1">
        <f t="array" ref="X48">IFERROR(INDEX(_xlfn.UNIQUE(TRIM(_xlfn.TEXTSPLIT(Table21215[[#This Row],[Selection Options]:[Selection Options]],","))),,X$11),"")</f>
        <v/>
      </c>
      <c r="Y48" s="30" cm="1">
        <f t="array" ref="Y48">IF(Table21215[[#This Row],[1]]="","",Table21215[[#This Row],[Weight]:[Weight]]-(Table21215[[#This Row],[Weight]:[Weight]]*((_xlfn.XMATCH(Table21215[[#This Row],[1]],Table21215[[#This Row],[1]:[11]],0))-1)/(COUNTA(Table21215[[#This Row],[1]:[11]])-COUNTBLANK(Table21215[[#This Row],[1]:[11]])-1)))</f>
        <v>4.7656870532168391E-3</v>
      </c>
      <c r="Z48" s="30" cm="1">
        <f t="array" ref="Z48">IF(Table21215[[#This Row],[2]]="","",Table21215[[#This Row],[Weight]:[Weight]]-(Table21215[[#This Row],[Weight]:[Weight]]*((_xlfn.XMATCH(Table21215[[#This Row],[2]],Table21215[[#This Row],[1]:[11]],0))-1)/(COUNTA(Table21215[[#This Row],[1]:[11]])-COUNTBLANK(Table21215[[#This Row],[1]:[11]])-1)))</f>
        <v>3.1771247021445594E-3</v>
      </c>
      <c r="AA48" s="30" cm="1">
        <f t="array" ref="AA48">IF(Table21215[[#This Row],[3]]="","",Table21215[[#This Row],[Weight]:[Weight]]-(Table21215[[#This Row],[Weight]:[Weight]]*((_xlfn.XMATCH(Table21215[[#This Row],[3]],Table21215[[#This Row],[1]:[11]],0))-1)/(COUNTA(Table21215[[#This Row],[1]:[11]])-COUNTBLANK(Table21215[[#This Row],[1]:[11]])-1)))</f>
        <v>1.5885623510722797E-3</v>
      </c>
      <c r="AB48" s="30" cm="1">
        <f t="array" ref="AB48">IF(Table21215[[#This Row],[4]]="","",Table21215[[#This Row],[Weight]:[Weight]]-(Table21215[[#This Row],[Weight]:[Weight]]*((_xlfn.XMATCH(Table21215[[#This Row],[4]],Table21215[[#This Row],[1]:[11]],0))-1)/(COUNTA(Table21215[[#This Row],[1]:[11]])-COUNTBLANK(Table21215[[#This Row],[1]:[11]])-1)))</f>
        <v>0</v>
      </c>
      <c r="AC48" s="30" t="str" cm="1">
        <f t="array" ref="AC48">IF(Table21215[[#This Row],[5]]="","",Table21215[[#This Row],[Weight]:[Weight]]-(Table21215[[#This Row],[Weight]:[Weight]]*((_xlfn.XMATCH(Table21215[[#This Row],[5]],Table21215[[#This Row],[1]:[11]],0))-1)/(COUNTA(Table21215[[#This Row],[1]:[11]])-COUNTBLANK(Table21215[[#This Row],[1]:[11]])-1)))</f>
        <v/>
      </c>
      <c r="AD48" s="30" t="str" cm="1">
        <f t="array" ref="AD48">IF(Table21215[[#This Row],[6]]="","",Table21215[[#This Row],[Weight]:[Weight]]-(Table21215[[#This Row],[Weight]:[Weight]]*((_xlfn.XMATCH(Table21215[[#This Row],[6]],Table21215[[#This Row],[1]:[11]],0))-1)/(COUNTA(Table21215[[#This Row],[1]:[11]])-COUNTBLANK(Table21215[[#This Row],[1]:[11]])-1)))</f>
        <v/>
      </c>
      <c r="AE48" s="30" t="str" cm="1">
        <f t="array" ref="AE48">IF(Table21215[[#This Row],[7]]="","",Table21215[[#This Row],[Weight]:[Weight]]-(Table21215[[#This Row],[Weight]:[Weight]]*((_xlfn.XMATCH(Table21215[[#This Row],[7]],Table21215[[#This Row],[1]:[11]],0))-1)/(COUNTA(Table21215[[#This Row],[1]:[11]])-COUNTBLANK(Table21215[[#This Row],[1]:[11]])-1)))</f>
        <v/>
      </c>
      <c r="AF48" s="30" t="str" cm="1">
        <f t="array" ref="AF48">IF(Table21215[[#This Row],[8]]="","",Table21215[[#This Row],[Weight]:[Weight]]-(Table21215[[#This Row],[Weight]:[Weight]]*((_xlfn.XMATCH(Table21215[[#This Row],[8]],Table21215[[#This Row],[1]:[11]],0))-1)/(COUNTA(Table21215[[#This Row],[1]:[11]])-COUNTBLANK(Table21215[[#This Row],[1]:[11]])-1)))</f>
        <v/>
      </c>
      <c r="AG48" s="30" t="str" cm="1">
        <f t="array" ref="AG48">IF(Table21215[[#This Row],[9]]="","",Table21215[[#This Row],[Weight]:[Weight]]-(Table21215[[#This Row],[Weight]:[Weight]]*((_xlfn.XMATCH(Table21215[[#This Row],[9]],Table21215[[#This Row],[1]:[11]],0))-1)/(COUNTA(Table21215[[#This Row],[1]:[11]])-COUNTBLANK(Table21215[[#This Row],[1]:[11]])-1)))</f>
        <v/>
      </c>
      <c r="AH48" s="30" t="str" cm="1">
        <f t="array" ref="AH48">IF(Table21215[[#This Row],[10]]="","",Table21215[[#This Row],[Weight]:[Weight]]-(Table21215[[#This Row],[Weight]:[Weight]]*((_xlfn.XMATCH(Table21215[[#This Row],[10]],Table21215[[#This Row],[1]:[11]],0))-1)/(COUNTA(Table21215[[#This Row],[1]:[11]])-COUNTBLANK(Table21215[[#This Row],[1]:[11]])-1)))</f>
        <v/>
      </c>
      <c r="AI48" s="30" t="str" cm="1">
        <f t="array" ref="AI48">IF(Table21215[[#This Row],[11]]="","",Table21215[[#This Row],[Weight]:[Weight]]-(Table21215[[#This Row],[Weight]:[Weight]]*((_xlfn.XMATCH(Table21215[[#This Row],[11]],Table21215[[#This Row],[1]:[11]],0))-1)/(COUNTA(Table21215[[#This Row],[1]:[11]])-COUNTBLANK(Table21215[[#This Row],[1]:[11]])-1)))</f>
        <v/>
      </c>
    </row>
    <row r="49" spans="1:35" ht="108" x14ac:dyDescent="0.2">
      <c r="A49" s="20">
        <v>37</v>
      </c>
      <c r="B49" s="165" t="s">
        <v>866</v>
      </c>
      <c r="C49" s="21" t="s">
        <v>826</v>
      </c>
      <c r="D49" s="38"/>
      <c r="E49" s="38"/>
      <c r="F49" s="159" t="s">
        <v>60</v>
      </c>
      <c r="G49" s="160" cm="1">
        <f t="array" ref="G49">_xlfn.IFS(F49="","",F49="No interest",0,F49="Nice to have",1,F49="Useful",2,F49="Important",3,F49="Very important",4,F49="Critical",5,F49="Show stopper",6)</f>
        <v>6</v>
      </c>
      <c r="H49" s="161">
        <f t="shared" si="2"/>
        <v>4.7656870532168391E-3</v>
      </c>
      <c r="I49" s="157" t="s">
        <v>827</v>
      </c>
      <c r="J49" s="35" t="str" cm="1">
        <f t="array" ref="J49">_xlfn.TEXTJOIN(","&amp;CHAR(10),,TEXT(Table21215[[#This Row],[12]:[22]],"0,00%"))</f>
        <v>0,00%,
0,00%,
0,00%,
0,00%</v>
      </c>
      <c r="K49" s="36"/>
      <c r="L49" s="37" t="e">
        <f>H49-(H49*((MATCH(Table21215[[#This Row],[Evaluators Response (SELECT)]],Table21215[[#This Row],[1]:[11]],0)-1)/(COUNTA(Table21215[[#This Row],[1]:[11]])-COUNTBLANK(Table21215[[#This Row],[1]:[11]])-1)))</f>
        <v>#N/A</v>
      </c>
      <c r="M49" s="38"/>
      <c r="N49" s="29" t="s">
        <v>828</v>
      </c>
      <c r="O49" s="29" t="s">
        <v>829</v>
      </c>
      <c r="P49" s="29" t="s">
        <v>830</v>
      </c>
      <c r="Q49" s="29" t="str" cm="1">
        <f t="array" ref="Q49">IFERROR(INDEX(_xlfn.UNIQUE(TRIM(_xlfn.TEXTSPLIT(Table21215[[#This Row],[Selection Options]:[Selection Options]],","))),,Q$11),"")</f>
        <v xml:space="preserve">
 0%: Not currently supported</v>
      </c>
      <c r="R49" s="29" t="str" cm="1">
        <f t="array" ref="R49">IFERROR(INDEX(_xlfn.UNIQUE(TRIM(_xlfn.TEXTSPLIT(Table21215[[#This Row],[Selection Options]:[Selection Options]],","))),,R$11),"")</f>
        <v/>
      </c>
      <c r="S49" s="29" t="str" cm="1">
        <f t="array" ref="S49">IFERROR(INDEX(_xlfn.UNIQUE(TRIM(_xlfn.TEXTSPLIT(Table21215[[#This Row],[Selection Options]:[Selection Options]],","))),,S$11),"")</f>
        <v/>
      </c>
      <c r="T49" s="29" t="str" cm="1">
        <f t="array" ref="T49">IFERROR(INDEX(_xlfn.UNIQUE(TRIM(_xlfn.TEXTSPLIT(Table21215[[#This Row],[Selection Options]:[Selection Options]],","))),,T$11),"")</f>
        <v/>
      </c>
      <c r="U49" s="29" t="str" cm="1">
        <f t="array" ref="U49">IFERROR(INDEX(_xlfn.UNIQUE(TRIM(_xlfn.TEXTSPLIT(Table21215[[#This Row],[Selection Options]:[Selection Options]],","))),,U$11),"")</f>
        <v/>
      </c>
      <c r="V49" s="29" t="str" cm="1">
        <f t="array" ref="V49">IFERROR(INDEX(_xlfn.UNIQUE(TRIM(_xlfn.TEXTSPLIT(Table21215[[#This Row],[Selection Options]:[Selection Options]],","))),,V$11),"")</f>
        <v/>
      </c>
      <c r="W49" s="29" t="str" cm="1">
        <f t="array" ref="W49">IFERROR(INDEX(_xlfn.UNIQUE(TRIM(_xlfn.TEXTSPLIT(Table21215[[#This Row],[Selection Options]:[Selection Options]],","))),,W$11),"")</f>
        <v/>
      </c>
      <c r="X49" s="29" t="str" cm="1">
        <f t="array" ref="X49">IFERROR(INDEX(_xlfn.UNIQUE(TRIM(_xlfn.TEXTSPLIT(Table21215[[#This Row],[Selection Options]:[Selection Options]],","))),,X$11),"")</f>
        <v/>
      </c>
      <c r="Y49" s="30" cm="1">
        <f t="array" ref="Y49">IF(Table21215[[#This Row],[1]]="","",Table21215[[#This Row],[Weight]:[Weight]]-(Table21215[[#This Row],[Weight]:[Weight]]*((_xlfn.XMATCH(Table21215[[#This Row],[1]],Table21215[[#This Row],[1]:[11]],0))-1)/(COUNTA(Table21215[[#This Row],[1]:[11]])-COUNTBLANK(Table21215[[#This Row],[1]:[11]])-1)))</f>
        <v>4.7656870532168391E-3</v>
      </c>
      <c r="Z49" s="30" cm="1">
        <f t="array" ref="Z49">IF(Table21215[[#This Row],[2]]="","",Table21215[[#This Row],[Weight]:[Weight]]-(Table21215[[#This Row],[Weight]:[Weight]]*((_xlfn.XMATCH(Table21215[[#This Row],[2]],Table21215[[#This Row],[1]:[11]],0))-1)/(COUNTA(Table21215[[#This Row],[1]:[11]])-COUNTBLANK(Table21215[[#This Row],[1]:[11]])-1)))</f>
        <v>3.1771247021445594E-3</v>
      </c>
      <c r="AA49" s="30" cm="1">
        <f t="array" ref="AA49">IF(Table21215[[#This Row],[3]]="","",Table21215[[#This Row],[Weight]:[Weight]]-(Table21215[[#This Row],[Weight]:[Weight]]*((_xlfn.XMATCH(Table21215[[#This Row],[3]],Table21215[[#This Row],[1]:[11]],0))-1)/(COUNTA(Table21215[[#This Row],[1]:[11]])-COUNTBLANK(Table21215[[#This Row],[1]:[11]])-1)))</f>
        <v>1.5885623510722797E-3</v>
      </c>
      <c r="AB49" s="30" cm="1">
        <f t="array" ref="AB49">IF(Table21215[[#This Row],[4]]="","",Table21215[[#This Row],[Weight]:[Weight]]-(Table21215[[#This Row],[Weight]:[Weight]]*((_xlfn.XMATCH(Table21215[[#This Row],[4]],Table21215[[#This Row],[1]:[11]],0))-1)/(COUNTA(Table21215[[#This Row],[1]:[11]])-COUNTBLANK(Table21215[[#This Row],[1]:[11]])-1)))</f>
        <v>0</v>
      </c>
      <c r="AC49" s="30" t="str" cm="1">
        <f t="array" ref="AC49">IF(Table21215[[#This Row],[5]]="","",Table21215[[#This Row],[Weight]:[Weight]]-(Table21215[[#This Row],[Weight]:[Weight]]*((_xlfn.XMATCH(Table21215[[#This Row],[5]],Table21215[[#This Row],[1]:[11]],0))-1)/(COUNTA(Table21215[[#This Row],[1]:[11]])-COUNTBLANK(Table21215[[#This Row],[1]:[11]])-1)))</f>
        <v/>
      </c>
      <c r="AD49" s="30" t="str" cm="1">
        <f t="array" ref="AD49">IF(Table21215[[#This Row],[6]]="","",Table21215[[#This Row],[Weight]:[Weight]]-(Table21215[[#This Row],[Weight]:[Weight]]*((_xlfn.XMATCH(Table21215[[#This Row],[6]],Table21215[[#This Row],[1]:[11]],0))-1)/(COUNTA(Table21215[[#This Row],[1]:[11]])-COUNTBLANK(Table21215[[#This Row],[1]:[11]])-1)))</f>
        <v/>
      </c>
      <c r="AE49" s="30" t="str" cm="1">
        <f t="array" ref="AE49">IF(Table21215[[#This Row],[7]]="","",Table21215[[#This Row],[Weight]:[Weight]]-(Table21215[[#This Row],[Weight]:[Weight]]*((_xlfn.XMATCH(Table21215[[#This Row],[7]],Table21215[[#This Row],[1]:[11]],0))-1)/(COUNTA(Table21215[[#This Row],[1]:[11]])-COUNTBLANK(Table21215[[#This Row],[1]:[11]])-1)))</f>
        <v/>
      </c>
      <c r="AF49" s="30" t="str" cm="1">
        <f t="array" ref="AF49">IF(Table21215[[#This Row],[8]]="","",Table21215[[#This Row],[Weight]:[Weight]]-(Table21215[[#This Row],[Weight]:[Weight]]*((_xlfn.XMATCH(Table21215[[#This Row],[8]],Table21215[[#This Row],[1]:[11]],0))-1)/(COUNTA(Table21215[[#This Row],[1]:[11]])-COUNTBLANK(Table21215[[#This Row],[1]:[11]])-1)))</f>
        <v/>
      </c>
      <c r="AG49" s="30" t="str" cm="1">
        <f t="array" ref="AG49">IF(Table21215[[#This Row],[9]]="","",Table21215[[#This Row],[Weight]:[Weight]]-(Table21215[[#This Row],[Weight]:[Weight]]*((_xlfn.XMATCH(Table21215[[#This Row],[9]],Table21215[[#This Row],[1]:[11]],0))-1)/(COUNTA(Table21215[[#This Row],[1]:[11]])-COUNTBLANK(Table21215[[#This Row],[1]:[11]])-1)))</f>
        <v/>
      </c>
      <c r="AH49" s="30" t="str" cm="1">
        <f t="array" ref="AH49">IF(Table21215[[#This Row],[10]]="","",Table21215[[#This Row],[Weight]:[Weight]]-(Table21215[[#This Row],[Weight]:[Weight]]*((_xlfn.XMATCH(Table21215[[#This Row],[10]],Table21215[[#This Row],[1]:[11]],0))-1)/(COUNTA(Table21215[[#This Row],[1]:[11]])-COUNTBLANK(Table21215[[#This Row],[1]:[11]])-1)))</f>
        <v/>
      </c>
      <c r="AI49" s="30" t="str" cm="1">
        <f t="array" ref="AI49">IF(Table21215[[#This Row],[11]]="","",Table21215[[#This Row],[Weight]:[Weight]]-(Table21215[[#This Row],[Weight]:[Weight]]*((_xlfn.XMATCH(Table21215[[#This Row],[11]],Table21215[[#This Row],[1]:[11]],0))-1)/(COUNTA(Table21215[[#This Row],[1]:[11]])-COUNTBLANK(Table21215[[#This Row],[1]:[11]])-1)))</f>
        <v/>
      </c>
    </row>
    <row r="50" spans="1:35" ht="108" x14ac:dyDescent="0.2">
      <c r="A50" s="20">
        <v>38</v>
      </c>
      <c r="B50" s="165" t="s">
        <v>867</v>
      </c>
      <c r="C50" s="21" t="s">
        <v>826</v>
      </c>
      <c r="D50" s="38"/>
      <c r="E50" s="38"/>
      <c r="F50" s="159" t="s">
        <v>188</v>
      </c>
      <c r="G50" s="160" cm="1">
        <f t="array" ref="G50">_xlfn.IFS(F50="","",F50="No interest",0,F50="Nice to have",1,F50="Useful",2,F50="Important",3,F50="Very important",4,F50="Critical",5,F50="Show stopper",6)</f>
        <v>5</v>
      </c>
      <c r="H50" s="161">
        <f t="shared" si="2"/>
        <v>3.9714058776806989E-3</v>
      </c>
      <c r="I50" s="157" t="s">
        <v>827</v>
      </c>
      <c r="J50" s="35" t="str" cm="1">
        <f t="array" ref="J50">_xlfn.TEXTJOIN(","&amp;CHAR(10),,TEXT(Table21215[[#This Row],[12]:[22]],"0,00%"))</f>
        <v>0,00%,
0,00%,
0,00%,
0,00%</v>
      </c>
      <c r="K50" s="36"/>
      <c r="L50" s="37" t="e">
        <f>H50-(H50*((MATCH(Table21215[[#This Row],[Evaluators Response (SELECT)]],Table21215[[#This Row],[1]:[11]],0)-1)/(COUNTA(Table21215[[#This Row],[1]:[11]])-COUNTBLANK(Table21215[[#This Row],[1]:[11]])-1)))</f>
        <v>#N/A</v>
      </c>
      <c r="M50" s="38"/>
      <c r="N50" s="29" t="s">
        <v>828</v>
      </c>
      <c r="O50" s="29" t="s">
        <v>829</v>
      </c>
      <c r="P50" s="29" t="s">
        <v>830</v>
      </c>
      <c r="Q50" s="29" t="str" cm="1">
        <f t="array" ref="Q50">IFERROR(INDEX(_xlfn.UNIQUE(TRIM(_xlfn.TEXTSPLIT(Table21215[[#This Row],[Selection Options]:[Selection Options]],","))),,Q$11),"")</f>
        <v xml:space="preserve">
 0%: Not currently supported</v>
      </c>
      <c r="R50" s="29" t="str" cm="1">
        <f t="array" ref="R50">IFERROR(INDEX(_xlfn.UNIQUE(TRIM(_xlfn.TEXTSPLIT(Table21215[[#This Row],[Selection Options]:[Selection Options]],","))),,R$11),"")</f>
        <v/>
      </c>
      <c r="S50" s="29" t="str" cm="1">
        <f t="array" ref="S50">IFERROR(INDEX(_xlfn.UNIQUE(TRIM(_xlfn.TEXTSPLIT(Table21215[[#This Row],[Selection Options]:[Selection Options]],","))),,S$11),"")</f>
        <v/>
      </c>
      <c r="T50" s="29" t="str" cm="1">
        <f t="array" ref="T50">IFERROR(INDEX(_xlfn.UNIQUE(TRIM(_xlfn.TEXTSPLIT(Table21215[[#This Row],[Selection Options]:[Selection Options]],","))),,T$11),"")</f>
        <v/>
      </c>
      <c r="U50" s="29" t="str" cm="1">
        <f t="array" ref="U50">IFERROR(INDEX(_xlfn.UNIQUE(TRIM(_xlfn.TEXTSPLIT(Table21215[[#This Row],[Selection Options]:[Selection Options]],","))),,U$11),"")</f>
        <v/>
      </c>
      <c r="V50" s="29" t="str" cm="1">
        <f t="array" ref="V50">IFERROR(INDEX(_xlfn.UNIQUE(TRIM(_xlfn.TEXTSPLIT(Table21215[[#This Row],[Selection Options]:[Selection Options]],","))),,V$11),"")</f>
        <v/>
      </c>
      <c r="W50" s="29" t="str" cm="1">
        <f t="array" ref="W50">IFERROR(INDEX(_xlfn.UNIQUE(TRIM(_xlfn.TEXTSPLIT(Table21215[[#This Row],[Selection Options]:[Selection Options]],","))),,W$11),"")</f>
        <v/>
      </c>
      <c r="X50" s="29" t="str" cm="1">
        <f t="array" ref="X50">IFERROR(INDEX(_xlfn.UNIQUE(TRIM(_xlfn.TEXTSPLIT(Table21215[[#This Row],[Selection Options]:[Selection Options]],","))),,X$11),"")</f>
        <v/>
      </c>
      <c r="Y50" s="30" cm="1">
        <f t="array" ref="Y50">IF(Table21215[[#This Row],[1]]="","",Table21215[[#This Row],[Weight]:[Weight]]-(Table21215[[#This Row],[Weight]:[Weight]]*((_xlfn.XMATCH(Table21215[[#This Row],[1]],Table21215[[#This Row],[1]:[11]],0))-1)/(COUNTA(Table21215[[#This Row],[1]:[11]])-COUNTBLANK(Table21215[[#This Row],[1]:[11]])-1)))</f>
        <v>3.9714058776806989E-3</v>
      </c>
      <c r="Z50" s="30" cm="1">
        <f t="array" ref="Z50">IF(Table21215[[#This Row],[2]]="","",Table21215[[#This Row],[Weight]:[Weight]]-(Table21215[[#This Row],[Weight]:[Weight]]*((_xlfn.XMATCH(Table21215[[#This Row],[2]],Table21215[[#This Row],[1]:[11]],0))-1)/(COUNTA(Table21215[[#This Row],[1]:[11]])-COUNTBLANK(Table21215[[#This Row],[1]:[11]])-1)))</f>
        <v>2.6476039184537992E-3</v>
      </c>
      <c r="AA50" s="30" cm="1">
        <f t="array" ref="AA50">IF(Table21215[[#This Row],[3]]="","",Table21215[[#This Row],[Weight]:[Weight]]-(Table21215[[#This Row],[Weight]:[Weight]]*((_xlfn.XMATCH(Table21215[[#This Row],[3]],Table21215[[#This Row],[1]:[11]],0))-1)/(COUNTA(Table21215[[#This Row],[1]:[11]])-COUNTBLANK(Table21215[[#This Row],[1]:[11]])-1)))</f>
        <v>1.3238019592268996E-3</v>
      </c>
      <c r="AB50" s="30" cm="1">
        <f t="array" ref="AB50">IF(Table21215[[#This Row],[4]]="","",Table21215[[#This Row],[Weight]:[Weight]]-(Table21215[[#This Row],[Weight]:[Weight]]*((_xlfn.XMATCH(Table21215[[#This Row],[4]],Table21215[[#This Row],[1]:[11]],0))-1)/(COUNTA(Table21215[[#This Row],[1]:[11]])-COUNTBLANK(Table21215[[#This Row],[1]:[11]])-1)))</f>
        <v>0</v>
      </c>
      <c r="AC50" s="30" t="str" cm="1">
        <f t="array" ref="AC50">IF(Table21215[[#This Row],[5]]="","",Table21215[[#This Row],[Weight]:[Weight]]-(Table21215[[#This Row],[Weight]:[Weight]]*((_xlfn.XMATCH(Table21215[[#This Row],[5]],Table21215[[#This Row],[1]:[11]],0))-1)/(COUNTA(Table21215[[#This Row],[1]:[11]])-COUNTBLANK(Table21215[[#This Row],[1]:[11]])-1)))</f>
        <v/>
      </c>
      <c r="AD50" s="30" t="str" cm="1">
        <f t="array" ref="AD50">IF(Table21215[[#This Row],[6]]="","",Table21215[[#This Row],[Weight]:[Weight]]-(Table21215[[#This Row],[Weight]:[Weight]]*((_xlfn.XMATCH(Table21215[[#This Row],[6]],Table21215[[#This Row],[1]:[11]],0))-1)/(COUNTA(Table21215[[#This Row],[1]:[11]])-COUNTBLANK(Table21215[[#This Row],[1]:[11]])-1)))</f>
        <v/>
      </c>
      <c r="AE50" s="30" t="str" cm="1">
        <f t="array" ref="AE50">IF(Table21215[[#This Row],[7]]="","",Table21215[[#This Row],[Weight]:[Weight]]-(Table21215[[#This Row],[Weight]:[Weight]]*((_xlfn.XMATCH(Table21215[[#This Row],[7]],Table21215[[#This Row],[1]:[11]],0))-1)/(COUNTA(Table21215[[#This Row],[1]:[11]])-COUNTBLANK(Table21215[[#This Row],[1]:[11]])-1)))</f>
        <v/>
      </c>
      <c r="AF50" s="30" t="str" cm="1">
        <f t="array" ref="AF50">IF(Table21215[[#This Row],[8]]="","",Table21215[[#This Row],[Weight]:[Weight]]-(Table21215[[#This Row],[Weight]:[Weight]]*((_xlfn.XMATCH(Table21215[[#This Row],[8]],Table21215[[#This Row],[1]:[11]],0))-1)/(COUNTA(Table21215[[#This Row],[1]:[11]])-COUNTBLANK(Table21215[[#This Row],[1]:[11]])-1)))</f>
        <v/>
      </c>
      <c r="AG50" s="30" t="str" cm="1">
        <f t="array" ref="AG50">IF(Table21215[[#This Row],[9]]="","",Table21215[[#This Row],[Weight]:[Weight]]-(Table21215[[#This Row],[Weight]:[Weight]]*((_xlfn.XMATCH(Table21215[[#This Row],[9]],Table21215[[#This Row],[1]:[11]],0))-1)/(COUNTA(Table21215[[#This Row],[1]:[11]])-COUNTBLANK(Table21215[[#This Row],[1]:[11]])-1)))</f>
        <v/>
      </c>
      <c r="AH50" s="30" t="str" cm="1">
        <f t="array" ref="AH50">IF(Table21215[[#This Row],[10]]="","",Table21215[[#This Row],[Weight]:[Weight]]-(Table21215[[#This Row],[Weight]:[Weight]]*((_xlfn.XMATCH(Table21215[[#This Row],[10]],Table21215[[#This Row],[1]:[11]],0))-1)/(COUNTA(Table21215[[#This Row],[1]:[11]])-COUNTBLANK(Table21215[[#This Row],[1]:[11]])-1)))</f>
        <v/>
      </c>
      <c r="AI50" s="30" t="str" cm="1">
        <f t="array" ref="AI50">IF(Table21215[[#This Row],[11]]="","",Table21215[[#This Row],[Weight]:[Weight]]-(Table21215[[#This Row],[Weight]:[Weight]]*((_xlfn.XMATCH(Table21215[[#This Row],[11]],Table21215[[#This Row],[1]:[11]],0))-1)/(COUNTA(Table21215[[#This Row],[1]:[11]])-COUNTBLANK(Table21215[[#This Row],[1]:[11]])-1)))</f>
        <v/>
      </c>
    </row>
    <row r="51" spans="1:35" ht="108" x14ac:dyDescent="0.2">
      <c r="A51" s="20">
        <v>39</v>
      </c>
      <c r="B51" s="165" t="s">
        <v>868</v>
      </c>
      <c r="C51" s="21" t="s">
        <v>826</v>
      </c>
      <c r="D51" s="38"/>
      <c r="E51" s="38"/>
      <c r="F51" s="159" t="s">
        <v>188</v>
      </c>
      <c r="G51" s="160" cm="1">
        <f t="array" ref="G51">_xlfn.IFS(F51="","",F51="No interest",0,F51="Nice to have",1,F51="Useful",2,F51="Important",3,F51="Very important",4,F51="Critical",5,F51="Show stopper",6)</f>
        <v>5</v>
      </c>
      <c r="H51" s="161">
        <f t="shared" si="2"/>
        <v>3.9714058776806989E-3</v>
      </c>
      <c r="I51" s="157" t="s">
        <v>827</v>
      </c>
      <c r="J51" s="35" t="str" cm="1">
        <f t="array" ref="J51">_xlfn.TEXTJOIN(","&amp;CHAR(10),,TEXT(Table21215[[#This Row],[12]:[22]],"0,00%"))</f>
        <v>0,00%,
0,00%,
0,00%,
0,00%</v>
      </c>
      <c r="K51" s="36"/>
      <c r="L51" s="37" t="e">
        <f>H51-(H51*((MATCH(Table21215[[#This Row],[Evaluators Response (SELECT)]],Table21215[[#This Row],[1]:[11]],0)-1)/(COUNTA(Table21215[[#This Row],[1]:[11]])-COUNTBLANK(Table21215[[#This Row],[1]:[11]])-1)))</f>
        <v>#N/A</v>
      </c>
      <c r="M51" s="38"/>
      <c r="N51" s="29" t="s">
        <v>828</v>
      </c>
      <c r="O51" s="29" t="s">
        <v>829</v>
      </c>
      <c r="P51" s="29" t="s">
        <v>830</v>
      </c>
      <c r="Q51" s="29" t="str" cm="1">
        <f t="array" ref="Q51">IFERROR(INDEX(_xlfn.UNIQUE(TRIM(_xlfn.TEXTSPLIT(Table21215[[#This Row],[Selection Options]:[Selection Options]],","))),,Q$11),"")</f>
        <v xml:space="preserve">
 0%: Not currently supported</v>
      </c>
      <c r="R51" s="29" t="str" cm="1">
        <f t="array" ref="R51">IFERROR(INDEX(_xlfn.UNIQUE(TRIM(_xlfn.TEXTSPLIT(Table21215[[#This Row],[Selection Options]:[Selection Options]],","))),,R$11),"")</f>
        <v/>
      </c>
      <c r="S51" s="29" t="str" cm="1">
        <f t="array" ref="S51">IFERROR(INDEX(_xlfn.UNIQUE(TRIM(_xlfn.TEXTSPLIT(Table21215[[#This Row],[Selection Options]:[Selection Options]],","))),,S$11),"")</f>
        <v/>
      </c>
      <c r="T51" s="29" t="str" cm="1">
        <f t="array" ref="T51">IFERROR(INDEX(_xlfn.UNIQUE(TRIM(_xlfn.TEXTSPLIT(Table21215[[#This Row],[Selection Options]:[Selection Options]],","))),,T$11),"")</f>
        <v/>
      </c>
      <c r="U51" s="29" t="str" cm="1">
        <f t="array" ref="U51">IFERROR(INDEX(_xlfn.UNIQUE(TRIM(_xlfn.TEXTSPLIT(Table21215[[#This Row],[Selection Options]:[Selection Options]],","))),,U$11),"")</f>
        <v/>
      </c>
      <c r="V51" s="29" t="str" cm="1">
        <f t="array" ref="V51">IFERROR(INDEX(_xlfn.UNIQUE(TRIM(_xlfn.TEXTSPLIT(Table21215[[#This Row],[Selection Options]:[Selection Options]],","))),,V$11),"")</f>
        <v/>
      </c>
      <c r="W51" s="29" t="str" cm="1">
        <f t="array" ref="W51">IFERROR(INDEX(_xlfn.UNIQUE(TRIM(_xlfn.TEXTSPLIT(Table21215[[#This Row],[Selection Options]:[Selection Options]],","))),,W$11),"")</f>
        <v/>
      </c>
      <c r="X51" s="29" t="str" cm="1">
        <f t="array" ref="X51">IFERROR(INDEX(_xlfn.UNIQUE(TRIM(_xlfn.TEXTSPLIT(Table21215[[#This Row],[Selection Options]:[Selection Options]],","))),,X$11),"")</f>
        <v/>
      </c>
      <c r="Y51" s="30" cm="1">
        <f t="array" ref="Y51">IF(Table21215[[#This Row],[1]]="","",Table21215[[#This Row],[Weight]:[Weight]]-(Table21215[[#This Row],[Weight]:[Weight]]*((_xlfn.XMATCH(Table21215[[#This Row],[1]],Table21215[[#This Row],[1]:[11]],0))-1)/(COUNTA(Table21215[[#This Row],[1]:[11]])-COUNTBLANK(Table21215[[#This Row],[1]:[11]])-1)))</f>
        <v>3.9714058776806989E-3</v>
      </c>
      <c r="Z51" s="30" cm="1">
        <f t="array" ref="Z51">IF(Table21215[[#This Row],[2]]="","",Table21215[[#This Row],[Weight]:[Weight]]-(Table21215[[#This Row],[Weight]:[Weight]]*((_xlfn.XMATCH(Table21215[[#This Row],[2]],Table21215[[#This Row],[1]:[11]],0))-1)/(COUNTA(Table21215[[#This Row],[1]:[11]])-COUNTBLANK(Table21215[[#This Row],[1]:[11]])-1)))</f>
        <v>2.6476039184537992E-3</v>
      </c>
      <c r="AA51" s="30" cm="1">
        <f t="array" ref="AA51">IF(Table21215[[#This Row],[3]]="","",Table21215[[#This Row],[Weight]:[Weight]]-(Table21215[[#This Row],[Weight]:[Weight]]*((_xlfn.XMATCH(Table21215[[#This Row],[3]],Table21215[[#This Row],[1]:[11]],0))-1)/(COUNTA(Table21215[[#This Row],[1]:[11]])-COUNTBLANK(Table21215[[#This Row],[1]:[11]])-1)))</f>
        <v>1.3238019592268996E-3</v>
      </c>
      <c r="AB51" s="30" cm="1">
        <f t="array" ref="AB51">IF(Table21215[[#This Row],[4]]="","",Table21215[[#This Row],[Weight]:[Weight]]-(Table21215[[#This Row],[Weight]:[Weight]]*((_xlfn.XMATCH(Table21215[[#This Row],[4]],Table21215[[#This Row],[1]:[11]],0))-1)/(COUNTA(Table21215[[#This Row],[1]:[11]])-COUNTBLANK(Table21215[[#This Row],[1]:[11]])-1)))</f>
        <v>0</v>
      </c>
      <c r="AC51" s="30" t="str" cm="1">
        <f t="array" ref="AC51">IF(Table21215[[#This Row],[5]]="","",Table21215[[#This Row],[Weight]:[Weight]]-(Table21215[[#This Row],[Weight]:[Weight]]*((_xlfn.XMATCH(Table21215[[#This Row],[5]],Table21215[[#This Row],[1]:[11]],0))-1)/(COUNTA(Table21215[[#This Row],[1]:[11]])-COUNTBLANK(Table21215[[#This Row],[1]:[11]])-1)))</f>
        <v/>
      </c>
      <c r="AD51" s="30" t="str" cm="1">
        <f t="array" ref="AD51">IF(Table21215[[#This Row],[6]]="","",Table21215[[#This Row],[Weight]:[Weight]]-(Table21215[[#This Row],[Weight]:[Weight]]*((_xlfn.XMATCH(Table21215[[#This Row],[6]],Table21215[[#This Row],[1]:[11]],0))-1)/(COUNTA(Table21215[[#This Row],[1]:[11]])-COUNTBLANK(Table21215[[#This Row],[1]:[11]])-1)))</f>
        <v/>
      </c>
      <c r="AE51" s="30" t="str" cm="1">
        <f t="array" ref="AE51">IF(Table21215[[#This Row],[7]]="","",Table21215[[#This Row],[Weight]:[Weight]]-(Table21215[[#This Row],[Weight]:[Weight]]*((_xlfn.XMATCH(Table21215[[#This Row],[7]],Table21215[[#This Row],[1]:[11]],0))-1)/(COUNTA(Table21215[[#This Row],[1]:[11]])-COUNTBLANK(Table21215[[#This Row],[1]:[11]])-1)))</f>
        <v/>
      </c>
      <c r="AF51" s="30" t="str" cm="1">
        <f t="array" ref="AF51">IF(Table21215[[#This Row],[8]]="","",Table21215[[#This Row],[Weight]:[Weight]]-(Table21215[[#This Row],[Weight]:[Weight]]*((_xlfn.XMATCH(Table21215[[#This Row],[8]],Table21215[[#This Row],[1]:[11]],0))-1)/(COUNTA(Table21215[[#This Row],[1]:[11]])-COUNTBLANK(Table21215[[#This Row],[1]:[11]])-1)))</f>
        <v/>
      </c>
      <c r="AG51" s="30" t="str" cm="1">
        <f t="array" ref="AG51">IF(Table21215[[#This Row],[9]]="","",Table21215[[#This Row],[Weight]:[Weight]]-(Table21215[[#This Row],[Weight]:[Weight]]*((_xlfn.XMATCH(Table21215[[#This Row],[9]],Table21215[[#This Row],[1]:[11]],0))-1)/(COUNTA(Table21215[[#This Row],[1]:[11]])-COUNTBLANK(Table21215[[#This Row],[1]:[11]])-1)))</f>
        <v/>
      </c>
      <c r="AH51" s="30" t="str" cm="1">
        <f t="array" ref="AH51">IF(Table21215[[#This Row],[10]]="","",Table21215[[#This Row],[Weight]:[Weight]]-(Table21215[[#This Row],[Weight]:[Weight]]*((_xlfn.XMATCH(Table21215[[#This Row],[10]],Table21215[[#This Row],[1]:[11]],0))-1)/(COUNTA(Table21215[[#This Row],[1]:[11]])-COUNTBLANK(Table21215[[#This Row],[1]:[11]])-1)))</f>
        <v/>
      </c>
      <c r="AI51" s="30" t="str" cm="1">
        <f t="array" ref="AI51">IF(Table21215[[#This Row],[11]]="","",Table21215[[#This Row],[Weight]:[Weight]]-(Table21215[[#This Row],[Weight]:[Weight]]*((_xlfn.XMATCH(Table21215[[#This Row],[11]],Table21215[[#This Row],[1]:[11]],0))-1)/(COUNTA(Table21215[[#This Row],[1]:[11]])-COUNTBLANK(Table21215[[#This Row],[1]:[11]])-1)))</f>
        <v/>
      </c>
    </row>
    <row r="52" spans="1:35" ht="108" x14ac:dyDescent="0.2">
      <c r="A52" s="20">
        <v>40</v>
      </c>
      <c r="B52" s="165" t="s">
        <v>869</v>
      </c>
      <c r="C52" s="21" t="s">
        <v>826</v>
      </c>
      <c r="D52" s="38"/>
      <c r="E52" s="38"/>
      <c r="F52" s="159" t="s">
        <v>188</v>
      </c>
      <c r="G52" s="160" cm="1">
        <f t="array" ref="G52">_xlfn.IFS(F52="","",F52="No interest",0,F52="Nice to have",1,F52="Useful",2,F52="Important",3,F52="Very important",4,F52="Critical",5,F52="Show stopper",6)</f>
        <v>5</v>
      </c>
      <c r="H52" s="161">
        <f t="shared" si="2"/>
        <v>3.9714058776806989E-3</v>
      </c>
      <c r="I52" s="157" t="s">
        <v>827</v>
      </c>
      <c r="J52" s="35" t="str" cm="1">
        <f t="array" ref="J52">_xlfn.TEXTJOIN(","&amp;CHAR(10),,TEXT(Table21215[[#This Row],[12]:[22]],"0,00%"))</f>
        <v>0,00%,
0,00%,
0,00%,
0,00%</v>
      </c>
      <c r="K52" s="36"/>
      <c r="L52" s="37" t="e">
        <f>H52-(H52*((MATCH(Table21215[[#This Row],[Evaluators Response (SELECT)]],Table21215[[#This Row],[1]:[11]],0)-1)/(COUNTA(Table21215[[#This Row],[1]:[11]])-COUNTBLANK(Table21215[[#This Row],[1]:[11]])-1)))</f>
        <v>#N/A</v>
      </c>
      <c r="M52" s="38"/>
      <c r="N52" s="29" t="s">
        <v>828</v>
      </c>
      <c r="O52" s="29" t="s">
        <v>829</v>
      </c>
      <c r="P52" s="29" t="s">
        <v>830</v>
      </c>
      <c r="Q52" s="29" t="str" cm="1">
        <f t="array" ref="Q52">IFERROR(INDEX(_xlfn.UNIQUE(TRIM(_xlfn.TEXTSPLIT(Table21215[[#This Row],[Selection Options]:[Selection Options]],","))),,Q$11),"")</f>
        <v xml:space="preserve">
 0%: Not currently supported</v>
      </c>
      <c r="R52" s="29" t="str" cm="1">
        <f t="array" ref="R52">IFERROR(INDEX(_xlfn.UNIQUE(TRIM(_xlfn.TEXTSPLIT(Table21215[[#This Row],[Selection Options]:[Selection Options]],","))),,R$11),"")</f>
        <v/>
      </c>
      <c r="S52" s="29" t="str" cm="1">
        <f t="array" ref="S52">IFERROR(INDEX(_xlfn.UNIQUE(TRIM(_xlfn.TEXTSPLIT(Table21215[[#This Row],[Selection Options]:[Selection Options]],","))),,S$11),"")</f>
        <v/>
      </c>
      <c r="T52" s="29" t="str" cm="1">
        <f t="array" ref="T52">IFERROR(INDEX(_xlfn.UNIQUE(TRIM(_xlfn.TEXTSPLIT(Table21215[[#This Row],[Selection Options]:[Selection Options]],","))),,T$11),"")</f>
        <v/>
      </c>
      <c r="U52" s="29" t="str" cm="1">
        <f t="array" ref="U52">IFERROR(INDEX(_xlfn.UNIQUE(TRIM(_xlfn.TEXTSPLIT(Table21215[[#This Row],[Selection Options]:[Selection Options]],","))),,U$11),"")</f>
        <v/>
      </c>
      <c r="V52" s="29" t="str" cm="1">
        <f t="array" ref="V52">IFERROR(INDEX(_xlfn.UNIQUE(TRIM(_xlfn.TEXTSPLIT(Table21215[[#This Row],[Selection Options]:[Selection Options]],","))),,V$11),"")</f>
        <v/>
      </c>
      <c r="W52" s="29" t="str" cm="1">
        <f t="array" ref="W52">IFERROR(INDEX(_xlfn.UNIQUE(TRIM(_xlfn.TEXTSPLIT(Table21215[[#This Row],[Selection Options]:[Selection Options]],","))),,W$11),"")</f>
        <v/>
      </c>
      <c r="X52" s="29" t="str" cm="1">
        <f t="array" ref="X52">IFERROR(INDEX(_xlfn.UNIQUE(TRIM(_xlfn.TEXTSPLIT(Table21215[[#This Row],[Selection Options]:[Selection Options]],","))),,X$11),"")</f>
        <v/>
      </c>
      <c r="Y52" s="30" cm="1">
        <f t="array" ref="Y52">IF(Table21215[[#This Row],[1]]="","",Table21215[[#This Row],[Weight]:[Weight]]-(Table21215[[#This Row],[Weight]:[Weight]]*((_xlfn.XMATCH(Table21215[[#This Row],[1]],Table21215[[#This Row],[1]:[11]],0))-1)/(COUNTA(Table21215[[#This Row],[1]:[11]])-COUNTBLANK(Table21215[[#This Row],[1]:[11]])-1)))</f>
        <v>3.9714058776806989E-3</v>
      </c>
      <c r="Z52" s="30" cm="1">
        <f t="array" ref="Z52">IF(Table21215[[#This Row],[2]]="","",Table21215[[#This Row],[Weight]:[Weight]]-(Table21215[[#This Row],[Weight]:[Weight]]*((_xlfn.XMATCH(Table21215[[#This Row],[2]],Table21215[[#This Row],[1]:[11]],0))-1)/(COUNTA(Table21215[[#This Row],[1]:[11]])-COUNTBLANK(Table21215[[#This Row],[1]:[11]])-1)))</f>
        <v>2.6476039184537992E-3</v>
      </c>
      <c r="AA52" s="30" cm="1">
        <f t="array" ref="AA52">IF(Table21215[[#This Row],[3]]="","",Table21215[[#This Row],[Weight]:[Weight]]-(Table21215[[#This Row],[Weight]:[Weight]]*((_xlfn.XMATCH(Table21215[[#This Row],[3]],Table21215[[#This Row],[1]:[11]],0))-1)/(COUNTA(Table21215[[#This Row],[1]:[11]])-COUNTBLANK(Table21215[[#This Row],[1]:[11]])-1)))</f>
        <v>1.3238019592268996E-3</v>
      </c>
      <c r="AB52" s="30" cm="1">
        <f t="array" ref="AB52">IF(Table21215[[#This Row],[4]]="","",Table21215[[#This Row],[Weight]:[Weight]]-(Table21215[[#This Row],[Weight]:[Weight]]*((_xlfn.XMATCH(Table21215[[#This Row],[4]],Table21215[[#This Row],[1]:[11]],0))-1)/(COUNTA(Table21215[[#This Row],[1]:[11]])-COUNTBLANK(Table21215[[#This Row],[1]:[11]])-1)))</f>
        <v>0</v>
      </c>
      <c r="AC52" s="30" t="str" cm="1">
        <f t="array" ref="AC52">IF(Table21215[[#This Row],[5]]="","",Table21215[[#This Row],[Weight]:[Weight]]-(Table21215[[#This Row],[Weight]:[Weight]]*((_xlfn.XMATCH(Table21215[[#This Row],[5]],Table21215[[#This Row],[1]:[11]],0))-1)/(COUNTA(Table21215[[#This Row],[1]:[11]])-COUNTBLANK(Table21215[[#This Row],[1]:[11]])-1)))</f>
        <v/>
      </c>
      <c r="AD52" s="30" t="str" cm="1">
        <f t="array" ref="AD52">IF(Table21215[[#This Row],[6]]="","",Table21215[[#This Row],[Weight]:[Weight]]-(Table21215[[#This Row],[Weight]:[Weight]]*((_xlfn.XMATCH(Table21215[[#This Row],[6]],Table21215[[#This Row],[1]:[11]],0))-1)/(COUNTA(Table21215[[#This Row],[1]:[11]])-COUNTBLANK(Table21215[[#This Row],[1]:[11]])-1)))</f>
        <v/>
      </c>
      <c r="AE52" s="30" t="str" cm="1">
        <f t="array" ref="AE52">IF(Table21215[[#This Row],[7]]="","",Table21215[[#This Row],[Weight]:[Weight]]-(Table21215[[#This Row],[Weight]:[Weight]]*((_xlfn.XMATCH(Table21215[[#This Row],[7]],Table21215[[#This Row],[1]:[11]],0))-1)/(COUNTA(Table21215[[#This Row],[1]:[11]])-COUNTBLANK(Table21215[[#This Row],[1]:[11]])-1)))</f>
        <v/>
      </c>
      <c r="AF52" s="30" t="str" cm="1">
        <f t="array" ref="AF52">IF(Table21215[[#This Row],[8]]="","",Table21215[[#This Row],[Weight]:[Weight]]-(Table21215[[#This Row],[Weight]:[Weight]]*((_xlfn.XMATCH(Table21215[[#This Row],[8]],Table21215[[#This Row],[1]:[11]],0))-1)/(COUNTA(Table21215[[#This Row],[1]:[11]])-COUNTBLANK(Table21215[[#This Row],[1]:[11]])-1)))</f>
        <v/>
      </c>
      <c r="AG52" s="30" t="str" cm="1">
        <f t="array" ref="AG52">IF(Table21215[[#This Row],[9]]="","",Table21215[[#This Row],[Weight]:[Weight]]-(Table21215[[#This Row],[Weight]:[Weight]]*((_xlfn.XMATCH(Table21215[[#This Row],[9]],Table21215[[#This Row],[1]:[11]],0))-1)/(COUNTA(Table21215[[#This Row],[1]:[11]])-COUNTBLANK(Table21215[[#This Row],[1]:[11]])-1)))</f>
        <v/>
      </c>
      <c r="AH52" s="30" t="str" cm="1">
        <f t="array" ref="AH52">IF(Table21215[[#This Row],[10]]="","",Table21215[[#This Row],[Weight]:[Weight]]-(Table21215[[#This Row],[Weight]:[Weight]]*((_xlfn.XMATCH(Table21215[[#This Row],[10]],Table21215[[#This Row],[1]:[11]],0))-1)/(COUNTA(Table21215[[#This Row],[1]:[11]])-COUNTBLANK(Table21215[[#This Row],[1]:[11]])-1)))</f>
        <v/>
      </c>
      <c r="AI52" s="30" t="str" cm="1">
        <f t="array" ref="AI52">IF(Table21215[[#This Row],[11]]="","",Table21215[[#This Row],[Weight]:[Weight]]-(Table21215[[#This Row],[Weight]:[Weight]]*((_xlfn.XMATCH(Table21215[[#This Row],[11]],Table21215[[#This Row],[1]:[11]],0))-1)/(COUNTA(Table21215[[#This Row],[1]:[11]])-COUNTBLANK(Table21215[[#This Row],[1]:[11]])-1)))</f>
        <v/>
      </c>
    </row>
    <row r="53" spans="1:35" ht="108" x14ac:dyDescent="0.2">
      <c r="A53" s="20">
        <v>41</v>
      </c>
      <c r="B53" s="165" t="s">
        <v>870</v>
      </c>
      <c r="C53" s="21" t="s">
        <v>826</v>
      </c>
      <c r="D53" s="38"/>
      <c r="E53" s="38"/>
      <c r="F53" s="159" t="s">
        <v>188</v>
      </c>
      <c r="G53" s="160" cm="1">
        <f t="array" ref="G53">_xlfn.IFS(F53="","",F53="No interest",0,F53="Nice to have",1,F53="Useful",2,F53="Important",3,F53="Very important",4,F53="Critical",5,F53="Show stopper",6)</f>
        <v>5</v>
      </c>
      <c r="H53" s="161">
        <f t="shared" si="2"/>
        <v>3.9714058776806989E-3</v>
      </c>
      <c r="I53" s="157" t="s">
        <v>827</v>
      </c>
      <c r="J53" s="35" t="str" cm="1">
        <f t="array" ref="J53">_xlfn.TEXTJOIN(","&amp;CHAR(10),,TEXT(Table21215[[#This Row],[12]:[22]],"0,00%"))</f>
        <v>0,00%,
0,00%,
0,00%,
0,00%</v>
      </c>
      <c r="K53" s="36"/>
      <c r="L53" s="37" t="e">
        <f>H53-(H53*((MATCH(Table21215[[#This Row],[Evaluators Response (SELECT)]],Table21215[[#This Row],[1]:[11]],0)-1)/(COUNTA(Table21215[[#This Row],[1]:[11]])-COUNTBLANK(Table21215[[#This Row],[1]:[11]])-1)))</f>
        <v>#N/A</v>
      </c>
      <c r="M53" s="38"/>
      <c r="N53" s="29" t="s">
        <v>828</v>
      </c>
      <c r="O53" s="29" t="s">
        <v>829</v>
      </c>
      <c r="P53" s="29" t="s">
        <v>830</v>
      </c>
      <c r="Q53" s="29" t="str" cm="1">
        <f t="array" ref="Q53">IFERROR(INDEX(_xlfn.UNIQUE(TRIM(_xlfn.TEXTSPLIT(Table21215[[#This Row],[Selection Options]:[Selection Options]],","))),,Q$11),"")</f>
        <v xml:space="preserve">
 0%: Not currently supported</v>
      </c>
      <c r="R53" s="29" t="str" cm="1">
        <f t="array" ref="R53">IFERROR(INDEX(_xlfn.UNIQUE(TRIM(_xlfn.TEXTSPLIT(Table21215[[#This Row],[Selection Options]:[Selection Options]],","))),,R$11),"")</f>
        <v/>
      </c>
      <c r="S53" s="29" t="str" cm="1">
        <f t="array" ref="S53">IFERROR(INDEX(_xlfn.UNIQUE(TRIM(_xlfn.TEXTSPLIT(Table21215[[#This Row],[Selection Options]:[Selection Options]],","))),,S$11),"")</f>
        <v/>
      </c>
      <c r="T53" s="29" t="str" cm="1">
        <f t="array" ref="T53">IFERROR(INDEX(_xlfn.UNIQUE(TRIM(_xlfn.TEXTSPLIT(Table21215[[#This Row],[Selection Options]:[Selection Options]],","))),,T$11),"")</f>
        <v/>
      </c>
      <c r="U53" s="29" t="str" cm="1">
        <f t="array" ref="U53">IFERROR(INDEX(_xlfn.UNIQUE(TRIM(_xlfn.TEXTSPLIT(Table21215[[#This Row],[Selection Options]:[Selection Options]],","))),,U$11),"")</f>
        <v/>
      </c>
      <c r="V53" s="29" t="str" cm="1">
        <f t="array" ref="V53">IFERROR(INDEX(_xlfn.UNIQUE(TRIM(_xlfn.TEXTSPLIT(Table21215[[#This Row],[Selection Options]:[Selection Options]],","))),,V$11),"")</f>
        <v/>
      </c>
      <c r="W53" s="29" t="str" cm="1">
        <f t="array" ref="W53">IFERROR(INDEX(_xlfn.UNIQUE(TRIM(_xlfn.TEXTSPLIT(Table21215[[#This Row],[Selection Options]:[Selection Options]],","))),,W$11),"")</f>
        <v/>
      </c>
      <c r="X53" s="29" t="str" cm="1">
        <f t="array" ref="X53">IFERROR(INDEX(_xlfn.UNIQUE(TRIM(_xlfn.TEXTSPLIT(Table21215[[#This Row],[Selection Options]:[Selection Options]],","))),,X$11),"")</f>
        <v/>
      </c>
      <c r="Y53" s="30" cm="1">
        <f t="array" ref="Y53">IF(Table21215[[#This Row],[1]]="","",Table21215[[#This Row],[Weight]:[Weight]]-(Table21215[[#This Row],[Weight]:[Weight]]*((_xlfn.XMATCH(Table21215[[#This Row],[1]],Table21215[[#This Row],[1]:[11]],0))-1)/(COUNTA(Table21215[[#This Row],[1]:[11]])-COUNTBLANK(Table21215[[#This Row],[1]:[11]])-1)))</f>
        <v>3.9714058776806989E-3</v>
      </c>
      <c r="Z53" s="30" cm="1">
        <f t="array" ref="Z53">IF(Table21215[[#This Row],[2]]="","",Table21215[[#This Row],[Weight]:[Weight]]-(Table21215[[#This Row],[Weight]:[Weight]]*((_xlfn.XMATCH(Table21215[[#This Row],[2]],Table21215[[#This Row],[1]:[11]],0))-1)/(COUNTA(Table21215[[#This Row],[1]:[11]])-COUNTBLANK(Table21215[[#This Row],[1]:[11]])-1)))</f>
        <v>2.6476039184537992E-3</v>
      </c>
      <c r="AA53" s="30" cm="1">
        <f t="array" ref="AA53">IF(Table21215[[#This Row],[3]]="","",Table21215[[#This Row],[Weight]:[Weight]]-(Table21215[[#This Row],[Weight]:[Weight]]*((_xlfn.XMATCH(Table21215[[#This Row],[3]],Table21215[[#This Row],[1]:[11]],0))-1)/(COUNTA(Table21215[[#This Row],[1]:[11]])-COUNTBLANK(Table21215[[#This Row],[1]:[11]])-1)))</f>
        <v>1.3238019592268996E-3</v>
      </c>
      <c r="AB53" s="30" cm="1">
        <f t="array" ref="AB53">IF(Table21215[[#This Row],[4]]="","",Table21215[[#This Row],[Weight]:[Weight]]-(Table21215[[#This Row],[Weight]:[Weight]]*((_xlfn.XMATCH(Table21215[[#This Row],[4]],Table21215[[#This Row],[1]:[11]],0))-1)/(COUNTA(Table21215[[#This Row],[1]:[11]])-COUNTBLANK(Table21215[[#This Row],[1]:[11]])-1)))</f>
        <v>0</v>
      </c>
      <c r="AC53" s="30" t="str" cm="1">
        <f t="array" ref="AC53">IF(Table21215[[#This Row],[5]]="","",Table21215[[#This Row],[Weight]:[Weight]]-(Table21215[[#This Row],[Weight]:[Weight]]*((_xlfn.XMATCH(Table21215[[#This Row],[5]],Table21215[[#This Row],[1]:[11]],0))-1)/(COUNTA(Table21215[[#This Row],[1]:[11]])-COUNTBLANK(Table21215[[#This Row],[1]:[11]])-1)))</f>
        <v/>
      </c>
      <c r="AD53" s="30" t="str" cm="1">
        <f t="array" ref="AD53">IF(Table21215[[#This Row],[6]]="","",Table21215[[#This Row],[Weight]:[Weight]]-(Table21215[[#This Row],[Weight]:[Weight]]*((_xlfn.XMATCH(Table21215[[#This Row],[6]],Table21215[[#This Row],[1]:[11]],0))-1)/(COUNTA(Table21215[[#This Row],[1]:[11]])-COUNTBLANK(Table21215[[#This Row],[1]:[11]])-1)))</f>
        <v/>
      </c>
      <c r="AE53" s="30" t="str" cm="1">
        <f t="array" ref="AE53">IF(Table21215[[#This Row],[7]]="","",Table21215[[#This Row],[Weight]:[Weight]]-(Table21215[[#This Row],[Weight]:[Weight]]*((_xlfn.XMATCH(Table21215[[#This Row],[7]],Table21215[[#This Row],[1]:[11]],0))-1)/(COUNTA(Table21215[[#This Row],[1]:[11]])-COUNTBLANK(Table21215[[#This Row],[1]:[11]])-1)))</f>
        <v/>
      </c>
      <c r="AF53" s="30" t="str" cm="1">
        <f t="array" ref="AF53">IF(Table21215[[#This Row],[8]]="","",Table21215[[#This Row],[Weight]:[Weight]]-(Table21215[[#This Row],[Weight]:[Weight]]*((_xlfn.XMATCH(Table21215[[#This Row],[8]],Table21215[[#This Row],[1]:[11]],0))-1)/(COUNTA(Table21215[[#This Row],[1]:[11]])-COUNTBLANK(Table21215[[#This Row],[1]:[11]])-1)))</f>
        <v/>
      </c>
      <c r="AG53" s="30" t="str" cm="1">
        <f t="array" ref="AG53">IF(Table21215[[#This Row],[9]]="","",Table21215[[#This Row],[Weight]:[Weight]]-(Table21215[[#This Row],[Weight]:[Weight]]*((_xlfn.XMATCH(Table21215[[#This Row],[9]],Table21215[[#This Row],[1]:[11]],0))-1)/(COUNTA(Table21215[[#This Row],[1]:[11]])-COUNTBLANK(Table21215[[#This Row],[1]:[11]])-1)))</f>
        <v/>
      </c>
      <c r="AH53" s="30" t="str" cm="1">
        <f t="array" ref="AH53">IF(Table21215[[#This Row],[10]]="","",Table21215[[#This Row],[Weight]:[Weight]]-(Table21215[[#This Row],[Weight]:[Weight]]*((_xlfn.XMATCH(Table21215[[#This Row],[10]],Table21215[[#This Row],[1]:[11]],0))-1)/(COUNTA(Table21215[[#This Row],[1]:[11]])-COUNTBLANK(Table21215[[#This Row],[1]:[11]])-1)))</f>
        <v/>
      </c>
      <c r="AI53" s="30" t="str" cm="1">
        <f t="array" ref="AI53">IF(Table21215[[#This Row],[11]]="","",Table21215[[#This Row],[Weight]:[Weight]]-(Table21215[[#This Row],[Weight]:[Weight]]*((_xlfn.XMATCH(Table21215[[#This Row],[11]],Table21215[[#This Row],[1]:[11]],0))-1)/(COUNTA(Table21215[[#This Row],[1]:[11]])-COUNTBLANK(Table21215[[#This Row],[1]:[11]])-1)))</f>
        <v/>
      </c>
    </row>
    <row r="54" spans="1:35" ht="108" x14ac:dyDescent="0.2">
      <c r="A54" s="20">
        <v>42</v>
      </c>
      <c r="B54" s="165" t="s">
        <v>871</v>
      </c>
      <c r="C54" s="21" t="s">
        <v>826</v>
      </c>
      <c r="D54" s="38"/>
      <c r="E54" s="38"/>
      <c r="F54" s="159" t="s">
        <v>60</v>
      </c>
      <c r="G54" s="160" cm="1">
        <f t="array" ref="G54">_xlfn.IFS(F54="","",F54="No interest",0,F54="Nice to have",1,F54="Useful",2,F54="Important",3,F54="Very important",4,F54="Critical",5,F54="Show stopper",6)</f>
        <v>6</v>
      </c>
      <c r="H54" s="161">
        <f t="shared" si="2"/>
        <v>4.7656870532168391E-3</v>
      </c>
      <c r="I54" s="157" t="s">
        <v>827</v>
      </c>
      <c r="J54" s="35" t="str" cm="1">
        <f t="array" ref="J54">_xlfn.TEXTJOIN(","&amp;CHAR(10),,TEXT(Table21215[[#This Row],[12]:[22]],"0,00%"))</f>
        <v>0,00%,
0,00%,
0,00%,
0,00%</v>
      </c>
      <c r="K54" s="36"/>
      <c r="L54" s="37" t="e">
        <f>H54-(H54*((MATCH(Table21215[[#This Row],[Evaluators Response (SELECT)]],Table21215[[#This Row],[1]:[11]],0)-1)/(COUNTA(Table21215[[#This Row],[1]:[11]])-COUNTBLANK(Table21215[[#This Row],[1]:[11]])-1)))</f>
        <v>#N/A</v>
      </c>
      <c r="M54" s="38"/>
      <c r="N54" s="29" t="s">
        <v>828</v>
      </c>
      <c r="O54" s="29" t="s">
        <v>829</v>
      </c>
      <c r="P54" s="29" t="s">
        <v>830</v>
      </c>
      <c r="Q54" s="29" t="str" cm="1">
        <f t="array" ref="Q54">IFERROR(INDEX(_xlfn.UNIQUE(TRIM(_xlfn.TEXTSPLIT(Table21215[[#This Row],[Selection Options]:[Selection Options]],","))),,Q$11),"")</f>
        <v xml:space="preserve">
 0%: Not currently supported</v>
      </c>
      <c r="R54" s="29" t="str" cm="1">
        <f t="array" ref="R54">IFERROR(INDEX(_xlfn.UNIQUE(TRIM(_xlfn.TEXTSPLIT(Table21215[[#This Row],[Selection Options]:[Selection Options]],","))),,R$11),"")</f>
        <v/>
      </c>
      <c r="S54" s="29" t="str" cm="1">
        <f t="array" ref="S54">IFERROR(INDEX(_xlfn.UNIQUE(TRIM(_xlfn.TEXTSPLIT(Table21215[[#This Row],[Selection Options]:[Selection Options]],","))),,S$11),"")</f>
        <v/>
      </c>
      <c r="T54" s="29" t="str" cm="1">
        <f t="array" ref="T54">IFERROR(INDEX(_xlfn.UNIQUE(TRIM(_xlfn.TEXTSPLIT(Table21215[[#This Row],[Selection Options]:[Selection Options]],","))),,T$11),"")</f>
        <v/>
      </c>
      <c r="U54" s="29" t="str" cm="1">
        <f t="array" ref="U54">IFERROR(INDEX(_xlfn.UNIQUE(TRIM(_xlfn.TEXTSPLIT(Table21215[[#This Row],[Selection Options]:[Selection Options]],","))),,U$11),"")</f>
        <v/>
      </c>
      <c r="V54" s="29" t="str" cm="1">
        <f t="array" ref="V54">IFERROR(INDEX(_xlfn.UNIQUE(TRIM(_xlfn.TEXTSPLIT(Table21215[[#This Row],[Selection Options]:[Selection Options]],","))),,V$11),"")</f>
        <v/>
      </c>
      <c r="W54" s="29" t="str" cm="1">
        <f t="array" ref="W54">IFERROR(INDEX(_xlfn.UNIQUE(TRIM(_xlfn.TEXTSPLIT(Table21215[[#This Row],[Selection Options]:[Selection Options]],","))),,W$11),"")</f>
        <v/>
      </c>
      <c r="X54" s="29" t="str" cm="1">
        <f t="array" ref="X54">IFERROR(INDEX(_xlfn.UNIQUE(TRIM(_xlfn.TEXTSPLIT(Table21215[[#This Row],[Selection Options]:[Selection Options]],","))),,X$11),"")</f>
        <v/>
      </c>
      <c r="Y54" s="30" cm="1">
        <f t="array" ref="Y54">IF(Table21215[[#This Row],[1]]="","",Table21215[[#This Row],[Weight]:[Weight]]-(Table21215[[#This Row],[Weight]:[Weight]]*((_xlfn.XMATCH(Table21215[[#This Row],[1]],Table21215[[#This Row],[1]:[11]],0))-1)/(COUNTA(Table21215[[#This Row],[1]:[11]])-COUNTBLANK(Table21215[[#This Row],[1]:[11]])-1)))</f>
        <v>4.7656870532168391E-3</v>
      </c>
      <c r="Z54" s="30" cm="1">
        <f t="array" ref="Z54">IF(Table21215[[#This Row],[2]]="","",Table21215[[#This Row],[Weight]:[Weight]]-(Table21215[[#This Row],[Weight]:[Weight]]*((_xlfn.XMATCH(Table21215[[#This Row],[2]],Table21215[[#This Row],[1]:[11]],0))-1)/(COUNTA(Table21215[[#This Row],[1]:[11]])-COUNTBLANK(Table21215[[#This Row],[1]:[11]])-1)))</f>
        <v>3.1771247021445594E-3</v>
      </c>
      <c r="AA54" s="30" cm="1">
        <f t="array" ref="AA54">IF(Table21215[[#This Row],[3]]="","",Table21215[[#This Row],[Weight]:[Weight]]-(Table21215[[#This Row],[Weight]:[Weight]]*((_xlfn.XMATCH(Table21215[[#This Row],[3]],Table21215[[#This Row],[1]:[11]],0))-1)/(COUNTA(Table21215[[#This Row],[1]:[11]])-COUNTBLANK(Table21215[[#This Row],[1]:[11]])-1)))</f>
        <v>1.5885623510722797E-3</v>
      </c>
      <c r="AB54" s="30" cm="1">
        <f t="array" ref="AB54">IF(Table21215[[#This Row],[4]]="","",Table21215[[#This Row],[Weight]:[Weight]]-(Table21215[[#This Row],[Weight]:[Weight]]*((_xlfn.XMATCH(Table21215[[#This Row],[4]],Table21215[[#This Row],[1]:[11]],0))-1)/(COUNTA(Table21215[[#This Row],[1]:[11]])-COUNTBLANK(Table21215[[#This Row],[1]:[11]])-1)))</f>
        <v>0</v>
      </c>
      <c r="AC54" s="30" t="str" cm="1">
        <f t="array" ref="AC54">IF(Table21215[[#This Row],[5]]="","",Table21215[[#This Row],[Weight]:[Weight]]-(Table21215[[#This Row],[Weight]:[Weight]]*((_xlfn.XMATCH(Table21215[[#This Row],[5]],Table21215[[#This Row],[1]:[11]],0))-1)/(COUNTA(Table21215[[#This Row],[1]:[11]])-COUNTBLANK(Table21215[[#This Row],[1]:[11]])-1)))</f>
        <v/>
      </c>
      <c r="AD54" s="30" t="str" cm="1">
        <f t="array" ref="AD54">IF(Table21215[[#This Row],[6]]="","",Table21215[[#This Row],[Weight]:[Weight]]-(Table21215[[#This Row],[Weight]:[Weight]]*((_xlfn.XMATCH(Table21215[[#This Row],[6]],Table21215[[#This Row],[1]:[11]],0))-1)/(COUNTA(Table21215[[#This Row],[1]:[11]])-COUNTBLANK(Table21215[[#This Row],[1]:[11]])-1)))</f>
        <v/>
      </c>
      <c r="AE54" s="30" t="str" cm="1">
        <f t="array" ref="AE54">IF(Table21215[[#This Row],[7]]="","",Table21215[[#This Row],[Weight]:[Weight]]-(Table21215[[#This Row],[Weight]:[Weight]]*((_xlfn.XMATCH(Table21215[[#This Row],[7]],Table21215[[#This Row],[1]:[11]],0))-1)/(COUNTA(Table21215[[#This Row],[1]:[11]])-COUNTBLANK(Table21215[[#This Row],[1]:[11]])-1)))</f>
        <v/>
      </c>
      <c r="AF54" s="30" t="str" cm="1">
        <f t="array" ref="AF54">IF(Table21215[[#This Row],[8]]="","",Table21215[[#This Row],[Weight]:[Weight]]-(Table21215[[#This Row],[Weight]:[Weight]]*((_xlfn.XMATCH(Table21215[[#This Row],[8]],Table21215[[#This Row],[1]:[11]],0))-1)/(COUNTA(Table21215[[#This Row],[1]:[11]])-COUNTBLANK(Table21215[[#This Row],[1]:[11]])-1)))</f>
        <v/>
      </c>
      <c r="AG54" s="30" t="str" cm="1">
        <f t="array" ref="AG54">IF(Table21215[[#This Row],[9]]="","",Table21215[[#This Row],[Weight]:[Weight]]-(Table21215[[#This Row],[Weight]:[Weight]]*((_xlfn.XMATCH(Table21215[[#This Row],[9]],Table21215[[#This Row],[1]:[11]],0))-1)/(COUNTA(Table21215[[#This Row],[1]:[11]])-COUNTBLANK(Table21215[[#This Row],[1]:[11]])-1)))</f>
        <v/>
      </c>
      <c r="AH54" s="30" t="str" cm="1">
        <f t="array" ref="AH54">IF(Table21215[[#This Row],[10]]="","",Table21215[[#This Row],[Weight]:[Weight]]-(Table21215[[#This Row],[Weight]:[Weight]]*((_xlfn.XMATCH(Table21215[[#This Row],[10]],Table21215[[#This Row],[1]:[11]],0))-1)/(COUNTA(Table21215[[#This Row],[1]:[11]])-COUNTBLANK(Table21215[[#This Row],[1]:[11]])-1)))</f>
        <v/>
      </c>
      <c r="AI54" s="30" t="str" cm="1">
        <f t="array" ref="AI54">IF(Table21215[[#This Row],[11]]="","",Table21215[[#This Row],[Weight]:[Weight]]-(Table21215[[#This Row],[Weight]:[Weight]]*((_xlfn.XMATCH(Table21215[[#This Row],[11]],Table21215[[#This Row],[1]:[11]],0))-1)/(COUNTA(Table21215[[#This Row],[1]:[11]])-COUNTBLANK(Table21215[[#This Row],[1]:[11]])-1)))</f>
        <v/>
      </c>
    </row>
    <row r="55" spans="1:35" ht="108" x14ac:dyDescent="0.2">
      <c r="A55" s="20">
        <v>43</v>
      </c>
      <c r="B55" s="165" t="s">
        <v>872</v>
      </c>
      <c r="C55" s="21" t="s">
        <v>826</v>
      </c>
      <c r="D55" s="38"/>
      <c r="E55" s="38"/>
      <c r="F55" s="159" t="s">
        <v>188</v>
      </c>
      <c r="G55" s="160" cm="1">
        <f t="array" ref="G55">_xlfn.IFS(F55="","",F55="No interest",0,F55="Nice to have",1,F55="Useful",2,F55="Important",3,F55="Very important",4,F55="Critical",5,F55="Show stopper",6)</f>
        <v>5</v>
      </c>
      <c r="H55" s="161">
        <f t="shared" si="2"/>
        <v>3.9714058776806989E-3</v>
      </c>
      <c r="I55" s="157" t="s">
        <v>827</v>
      </c>
      <c r="J55" s="35" t="str" cm="1">
        <f t="array" ref="J55">_xlfn.TEXTJOIN(","&amp;CHAR(10),,TEXT(Table21215[[#This Row],[12]:[22]],"0,00%"))</f>
        <v>0,00%,
0,00%,
0,00%,
0,00%</v>
      </c>
      <c r="K55" s="36"/>
      <c r="L55" s="37" t="e">
        <f>H55-(H55*((MATCH(Table21215[[#This Row],[Evaluators Response (SELECT)]],Table21215[[#This Row],[1]:[11]],0)-1)/(COUNTA(Table21215[[#This Row],[1]:[11]])-COUNTBLANK(Table21215[[#This Row],[1]:[11]])-1)))</f>
        <v>#N/A</v>
      </c>
      <c r="M55" s="38"/>
      <c r="N55" s="29" t="s">
        <v>828</v>
      </c>
      <c r="O55" s="29" t="s">
        <v>829</v>
      </c>
      <c r="P55" s="29" t="s">
        <v>830</v>
      </c>
      <c r="Q55" s="29" t="str" cm="1">
        <f t="array" ref="Q55">IFERROR(INDEX(_xlfn.UNIQUE(TRIM(_xlfn.TEXTSPLIT(Table21215[[#This Row],[Selection Options]:[Selection Options]],","))),,Q$11),"")</f>
        <v xml:space="preserve">
 0%: Not currently supported</v>
      </c>
      <c r="R55" s="29" t="str" cm="1">
        <f t="array" ref="R55">IFERROR(INDEX(_xlfn.UNIQUE(TRIM(_xlfn.TEXTSPLIT(Table21215[[#This Row],[Selection Options]:[Selection Options]],","))),,R$11),"")</f>
        <v/>
      </c>
      <c r="S55" s="29" t="str" cm="1">
        <f t="array" ref="S55">IFERROR(INDEX(_xlfn.UNIQUE(TRIM(_xlfn.TEXTSPLIT(Table21215[[#This Row],[Selection Options]:[Selection Options]],","))),,S$11),"")</f>
        <v/>
      </c>
      <c r="T55" s="29" t="str" cm="1">
        <f t="array" ref="T55">IFERROR(INDEX(_xlfn.UNIQUE(TRIM(_xlfn.TEXTSPLIT(Table21215[[#This Row],[Selection Options]:[Selection Options]],","))),,T$11),"")</f>
        <v/>
      </c>
      <c r="U55" s="29" t="str" cm="1">
        <f t="array" ref="U55">IFERROR(INDEX(_xlfn.UNIQUE(TRIM(_xlfn.TEXTSPLIT(Table21215[[#This Row],[Selection Options]:[Selection Options]],","))),,U$11),"")</f>
        <v/>
      </c>
      <c r="V55" s="29" t="str" cm="1">
        <f t="array" ref="V55">IFERROR(INDEX(_xlfn.UNIQUE(TRIM(_xlfn.TEXTSPLIT(Table21215[[#This Row],[Selection Options]:[Selection Options]],","))),,V$11),"")</f>
        <v/>
      </c>
      <c r="W55" s="29" t="str" cm="1">
        <f t="array" ref="W55">IFERROR(INDEX(_xlfn.UNIQUE(TRIM(_xlfn.TEXTSPLIT(Table21215[[#This Row],[Selection Options]:[Selection Options]],","))),,W$11),"")</f>
        <v/>
      </c>
      <c r="X55" s="29" t="str" cm="1">
        <f t="array" ref="X55">IFERROR(INDEX(_xlfn.UNIQUE(TRIM(_xlfn.TEXTSPLIT(Table21215[[#This Row],[Selection Options]:[Selection Options]],","))),,X$11),"")</f>
        <v/>
      </c>
      <c r="Y55" s="30" cm="1">
        <f t="array" ref="Y55">IF(Table21215[[#This Row],[1]]="","",Table21215[[#This Row],[Weight]:[Weight]]-(Table21215[[#This Row],[Weight]:[Weight]]*((_xlfn.XMATCH(Table21215[[#This Row],[1]],Table21215[[#This Row],[1]:[11]],0))-1)/(COUNTA(Table21215[[#This Row],[1]:[11]])-COUNTBLANK(Table21215[[#This Row],[1]:[11]])-1)))</f>
        <v>3.9714058776806989E-3</v>
      </c>
      <c r="Z55" s="30" cm="1">
        <f t="array" ref="Z55">IF(Table21215[[#This Row],[2]]="","",Table21215[[#This Row],[Weight]:[Weight]]-(Table21215[[#This Row],[Weight]:[Weight]]*((_xlfn.XMATCH(Table21215[[#This Row],[2]],Table21215[[#This Row],[1]:[11]],0))-1)/(COUNTA(Table21215[[#This Row],[1]:[11]])-COUNTBLANK(Table21215[[#This Row],[1]:[11]])-1)))</f>
        <v>2.6476039184537992E-3</v>
      </c>
      <c r="AA55" s="30" cm="1">
        <f t="array" ref="AA55">IF(Table21215[[#This Row],[3]]="","",Table21215[[#This Row],[Weight]:[Weight]]-(Table21215[[#This Row],[Weight]:[Weight]]*((_xlfn.XMATCH(Table21215[[#This Row],[3]],Table21215[[#This Row],[1]:[11]],0))-1)/(COUNTA(Table21215[[#This Row],[1]:[11]])-COUNTBLANK(Table21215[[#This Row],[1]:[11]])-1)))</f>
        <v>1.3238019592268996E-3</v>
      </c>
      <c r="AB55" s="30" cm="1">
        <f t="array" ref="AB55">IF(Table21215[[#This Row],[4]]="","",Table21215[[#This Row],[Weight]:[Weight]]-(Table21215[[#This Row],[Weight]:[Weight]]*((_xlfn.XMATCH(Table21215[[#This Row],[4]],Table21215[[#This Row],[1]:[11]],0))-1)/(COUNTA(Table21215[[#This Row],[1]:[11]])-COUNTBLANK(Table21215[[#This Row],[1]:[11]])-1)))</f>
        <v>0</v>
      </c>
      <c r="AC55" s="30" t="str" cm="1">
        <f t="array" ref="AC55">IF(Table21215[[#This Row],[5]]="","",Table21215[[#This Row],[Weight]:[Weight]]-(Table21215[[#This Row],[Weight]:[Weight]]*((_xlfn.XMATCH(Table21215[[#This Row],[5]],Table21215[[#This Row],[1]:[11]],0))-1)/(COUNTA(Table21215[[#This Row],[1]:[11]])-COUNTBLANK(Table21215[[#This Row],[1]:[11]])-1)))</f>
        <v/>
      </c>
      <c r="AD55" s="30" t="str" cm="1">
        <f t="array" ref="AD55">IF(Table21215[[#This Row],[6]]="","",Table21215[[#This Row],[Weight]:[Weight]]-(Table21215[[#This Row],[Weight]:[Weight]]*((_xlfn.XMATCH(Table21215[[#This Row],[6]],Table21215[[#This Row],[1]:[11]],0))-1)/(COUNTA(Table21215[[#This Row],[1]:[11]])-COUNTBLANK(Table21215[[#This Row],[1]:[11]])-1)))</f>
        <v/>
      </c>
      <c r="AE55" s="30" t="str" cm="1">
        <f t="array" ref="AE55">IF(Table21215[[#This Row],[7]]="","",Table21215[[#This Row],[Weight]:[Weight]]-(Table21215[[#This Row],[Weight]:[Weight]]*((_xlfn.XMATCH(Table21215[[#This Row],[7]],Table21215[[#This Row],[1]:[11]],0))-1)/(COUNTA(Table21215[[#This Row],[1]:[11]])-COUNTBLANK(Table21215[[#This Row],[1]:[11]])-1)))</f>
        <v/>
      </c>
      <c r="AF55" s="30" t="str" cm="1">
        <f t="array" ref="AF55">IF(Table21215[[#This Row],[8]]="","",Table21215[[#This Row],[Weight]:[Weight]]-(Table21215[[#This Row],[Weight]:[Weight]]*((_xlfn.XMATCH(Table21215[[#This Row],[8]],Table21215[[#This Row],[1]:[11]],0))-1)/(COUNTA(Table21215[[#This Row],[1]:[11]])-COUNTBLANK(Table21215[[#This Row],[1]:[11]])-1)))</f>
        <v/>
      </c>
      <c r="AG55" s="30" t="str" cm="1">
        <f t="array" ref="AG55">IF(Table21215[[#This Row],[9]]="","",Table21215[[#This Row],[Weight]:[Weight]]-(Table21215[[#This Row],[Weight]:[Weight]]*((_xlfn.XMATCH(Table21215[[#This Row],[9]],Table21215[[#This Row],[1]:[11]],0))-1)/(COUNTA(Table21215[[#This Row],[1]:[11]])-COUNTBLANK(Table21215[[#This Row],[1]:[11]])-1)))</f>
        <v/>
      </c>
      <c r="AH55" s="30" t="str" cm="1">
        <f t="array" ref="AH55">IF(Table21215[[#This Row],[10]]="","",Table21215[[#This Row],[Weight]:[Weight]]-(Table21215[[#This Row],[Weight]:[Weight]]*((_xlfn.XMATCH(Table21215[[#This Row],[10]],Table21215[[#This Row],[1]:[11]],0))-1)/(COUNTA(Table21215[[#This Row],[1]:[11]])-COUNTBLANK(Table21215[[#This Row],[1]:[11]])-1)))</f>
        <v/>
      </c>
      <c r="AI55" s="30" t="str" cm="1">
        <f t="array" ref="AI55">IF(Table21215[[#This Row],[11]]="","",Table21215[[#This Row],[Weight]:[Weight]]-(Table21215[[#This Row],[Weight]:[Weight]]*((_xlfn.XMATCH(Table21215[[#This Row],[11]],Table21215[[#This Row],[1]:[11]],0))-1)/(COUNTA(Table21215[[#This Row],[1]:[11]])-COUNTBLANK(Table21215[[#This Row],[1]:[11]])-1)))</f>
        <v/>
      </c>
    </row>
    <row r="56" spans="1:35" ht="108" x14ac:dyDescent="0.2">
      <c r="A56" s="20">
        <v>44</v>
      </c>
      <c r="B56" s="165" t="s">
        <v>873</v>
      </c>
      <c r="C56" s="21" t="s">
        <v>826</v>
      </c>
      <c r="D56" s="38"/>
      <c r="E56" s="38"/>
      <c r="F56" s="159" t="s">
        <v>60</v>
      </c>
      <c r="G56" s="160" cm="1">
        <f t="array" ref="G56">_xlfn.IFS(F56="","",F56="No interest",0,F56="Nice to have",1,F56="Useful",2,F56="Important",3,F56="Very important",4,F56="Critical",5,F56="Show stopper",6)</f>
        <v>6</v>
      </c>
      <c r="H56" s="161">
        <f t="shared" si="2"/>
        <v>4.7656870532168391E-3</v>
      </c>
      <c r="I56" s="157" t="s">
        <v>827</v>
      </c>
      <c r="J56" s="35" t="str" cm="1">
        <f t="array" ref="J56">_xlfn.TEXTJOIN(","&amp;CHAR(10),,TEXT(Table21215[[#This Row],[12]:[22]],"0,00%"))</f>
        <v>0,00%,
0,00%,
0,00%,
0,00%</v>
      </c>
      <c r="K56" s="36"/>
      <c r="L56" s="37" t="e">
        <f>H56-(H56*((MATCH(Table21215[[#This Row],[Evaluators Response (SELECT)]],Table21215[[#This Row],[1]:[11]],0)-1)/(COUNTA(Table21215[[#This Row],[1]:[11]])-COUNTBLANK(Table21215[[#This Row],[1]:[11]])-1)))</f>
        <v>#N/A</v>
      </c>
      <c r="M56" s="38"/>
      <c r="N56" s="29" t="s">
        <v>828</v>
      </c>
      <c r="O56" s="29" t="s">
        <v>829</v>
      </c>
      <c r="P56" s="29" t="s">
        <v>830</v>
      </c>
      <c r="Q56" s="29" t="str" cm="1">
        <f t="array" ref="Q56">IFERROR(INDEX(_xlfn.UNIQUE(TRIM(_xlfn.TEXTSPLIT(Table21215[[#This Row],[Selection Options]:[Selection Options]],","))),,Q$11),"")</f>
        <v xml:space="preserve">
 0%: Not currently supported</v>
      </c>
      <c r="R56" s="29" t="str" cm="1">
        <f t="array" ref="R56">IFERROR(INDEX(_xlfn.UNIQUE(TRIM(_xlfn.TEXTSPLIT(Table21215[[#This Row],[Selection Options]:[Selection Options]],","))),,R$11),"")</f>
        <v/>
      </c>
      <c r="S56" s="29" t="str" cm="1">
        <f t="array" ref="S56">IFERROR(INDEX(_xlfn.UNIQUE(TRIM(_xlfn.TEXTSPLIT(Table21215[[#This Row],[Selection Options]:[Selection Options]],","))),,S$11),"")</f>
        <v/>
      </c>
      <c r="T56" s="29" t="str" cm="1">
        <f t="array" ref="T56">IFERROR(INDEX(_xlfn.UNIQUE(TRIM(_xlfn.TEXTSPLIT(Table21215[[#This Row],[Selection Options]:[Selection Options]],","))),,T$11),"")</f>
        <v/>
      </c>
      <c r="U56" s="29" t="str" cm="1">
        <f t="array" ref="U56">IFERROR(INDEX(_xlfn.UNIQUE(TRIM(_xlfn.TEXTSPLIT(Table21215[[#This Row],[Selection Options]:[Selection Options]],","))),,U$11),"")</f>
        <v/>
      </c>
      <c r="V56" s="29" t="str" cm="1">
        <f t="array" ref="V56">IFERROR(INDEX(_xlfn.UNIQUE(TRIM(_xlfn.TEXTSPLIT(Table21215[[#This Row],[Selection Options]:[Selection Options]],","))),,V$11),"")</f>
        <v/>
      </c>
      <c r="W56" s="29" t="str" cm="1">
        <f t="array" ref="W56">IFERROR(INDEX(_xlfn.UNIQUE(TRIM(_xlfn.TEXTSPLIT(Table21215[[#This Row],[Selection Options]:[Selection Options]],","))),,W$11),"")</f>
        <v/>
      </c>
      <c r="X56" s="29" t="str" cm="1">
        <f t="array" ref="X56">IFERROR(INDEX(_xlfn.UNIQUE(TRIM(_xlfn.TEXTSPLIT(Table21215[[#This Row],[Selection Options]:[Selection Options]],","))),,X$11),"")</f>
        <v/>
      </c>
      <c r="Y56" s="30" cm="1">
        <f t="array" ref="Y56">IF(Table21215[[#This Row],[1]]="","",Table21215[[#This Row],[Weight]:[Weight]]-(Table21215[[#This Row],[Weight]:[Weight]]*((_xlfn.XMATCH(Table21215[[#This Row],[1]],Table21215[[#This Row],[1]:[11]],0))-1)/(COUNTA(Table21215[[#This Row],[1]:[11]])-COUNTBLANK(Table21215[[#This Row],[1]:[11]])-1)))</f>
        <v>4.7656870532168391E-3</v>
      </c>
      <c r="Z56" s="30" cm="1">
        <f t="array" ref="Z56">IF(Table21215[[#This Row],[2]]="","",Table21215[[#This Row],[Weight]:[Weight]]-(Table21215[[#This Row],[Weight]:[Weight]]*((_xlfn.XMATCH(Table21215[[#This Row],[2]],Table21215[[#This Row],[1]:[11]],0))-1)/(COUNTA(Table21215[[#This Row],[1]:[11]])-COUNTBLANK(Table21215[[#This Row],[1]:[11]])-1)))</f>
        <v>3.1771247021445594E-3</v>
      </c>
      <c r="AA56" s="30" cm="1">
        <f t="array" ref="AA56">IF(Table21215[[#This Row],[3]]="","",Table21215[[#This Row],[Weight]:[Weight]]-(Table21215[[#This Row],[Weight]:[Weight]]*((_xlfn.XMATCH(Table21215[[#This Row],[3]],Table21215[[#This Row],[1]:[11]],0))-1)/(COUNTA(Table21215[[#This Row],[1]:[11]])-COUNTBLANK(Table21215[[#This Row],[1]:[11]])-1)))</f>
        <v>1.5885623510722797E-3</v>
      </c>
      <c r="AB56" s="30" cm="1">
        <f t="array" ref="AB56">IF(Table21215[[#This Row],[4]]="","",Table21215[[#This Row],[Weight]:[Weight]]-(Table21215[[#This Row],[Weight]:[Weight]]*((_xlfn.XMATCH(Table21215[[#This Row],[4]],Table21215[[#This Row],[1]:[11]],0))-1)/(COUNTA(Table21215[[#This Row],[1]:[11]])-COUNTBLANK(Table21215[[#This Row],[1]:[11]])-1)))</f>
        <v>0</v>
      </c>
      <c r="AC56" s="30" t="str" cm="1">
        <f t="array" ref="AC56">IF(Table21215[[#This Row],[5]]="","",Table21215[[#This Row],[Weight]:[Weight]]-(Table21215[[#This Row],[Weight]:[Weight]]*((_xlfn.XMATCH(Table21215[[#This Row],[5]],Table21215[[#This Row],[1]:[11]],0))-1)/(COUNTA(Table21215[[#This Row],[1]:[11]])-COUNTBLANK(Table21215[[#This Row],[1]:[11]])-1)))</f>
        <v/>
      </c>
      <c r="AD56" s="30" t="str" cm="1">
        <f t="array" ref="AD56">IF(Table21215[[#This Row],[6]]="","",Table21215[[#This Row],[Weight]:[Weight]]-(Table21215[[#This Row],[Weight]:[Weight]]*((_xlfn.XMATCH(Table21215[[#This Row],[6]],Table21215[[#This Row],[1]:[11]],0))-1)/(COUNTA(Table21215[[#This Row],[1]:[11]])-COUNTBLANK(Table21215[[#This Row],[1]:[11]])-1)))</f>
        <v/>
      </c>
      <c r="AE56" s="30" t="str" cm="1">
        <f t="array" ref="AE56">IF(Table21215[[#This Row],[7]]="","",Table21215[[#This Row],[Weight]:[Weight]]-(Table21215[[#This Row],[Weight]:[Weight]]*((_xlfn.XMATCH(Table21215[[#This Row],[7]],Table21215[[#This Row],[1]:[11]],0))-1)/(COUNTA(Table21215[[#This Row],[1]:[11]])-COUNTBLANK(Table21215[[#This Row],[1]:[11]])-1)))</f>
        <v/>
      </c>
      <c r="AF56" s="30" t="str" cm="1">
        <f t="array" ref="AF56">IF(Table21215[[#This Row],[8]]="","",Table21215[[#This Row],[Weight]:[Weight]]-(Table21215[[#This Row],[Weight]:[Weight]]*((_xlfn.XMATCH(Table21215[[#This Row],[8]],Table21215[[#This Row],[1]:[11]],0))-1)/(COUNTA(Table21215[[#This Row],[1]:[11]])-COUNTBLANK(Table21215[[#This Row],[1]:[11]])-1)))</f>
        <v/>
      </c>
      <c r="AG56" s="30" t="str" cm="1">
        <f t="array" ref="AG56">IF(Table21215[[#This Row],[9]]="","",Table21215[[#This Row],[Weight]:[Weight]]-(Table21215[[#This Row],[Weight]:[Weight]]*((_xlfn.XMATCH(Table21215[[#This Row],[9]],Table21215[[#This Row],[1]:[11]],0))-1)/(COUNTA(Table21215[[#This Row],[1]:[11]])-COUNTBLANK(Table21215[[#This Row],[1]:[11]])-1)))</f>
        <v/>
      </c>
      <c r="AH56" s="30" t="str" cm="1">
        <f t="array" ref="AH56">IF(Table21215[[#This Row],[10]]="","",Table21215[[#This Row],[Weight]:[Weight]]-(Table21215[[#This Row],[Weight]:[Weight]]*((_xlfn.XMATCH(Table21215[[#This Row],[10]],Table21215[[#This Row],[1]:[11]],0))-1)/(COUNTA(Table21215[[#This Row],[1]:[11]])-COUNTBLANK(Table21215[[#This Row],[1]:[11]])-1)))</f>
        <v/>
      </c>
      <c r="AI56" s="30" t="str" cm="1">
        <f t="array" ref="AI56">IF(Table21215[[#This Row],[11]]="","",Table21215[[#This Row],[Weight]:[Weight]]-(Table21215[[#This Row],[Weight]:[Weight]]*((_xlfn.XMATCH(Table21215[[#This Row],[11]],Table21215[[#This Row],[1]:[11]],0))-1)/(COUNTA(Table21215[[#This Row],[1]:[11]])-COUNTBLANK(Table21215[[#This Row],[1]:[11]])-1)))</f>
        <v/>
      </c>
    </row>
    <row r="57" spans="1:35" ht="108" x14ac:dyDescent="0.2">
      <c r="A57" s="20">
        <v>45</v>
      </c>
      <c r="B57" s="165" t="s">
        <v>874</v>
      </c>
      <c r="C57" s="21" t="s">
        <v>826</v>
      </c>
      <c r="D57" s="38"/>
      <c r="E57" s="38"/>
      <c r="F57" s="159" t="s">
        <v>188</v>
      </c>
      <c r="G57" s="160" cm="1">
        <f t="array" ref="G57">_xlfn.IFS(F57="","",F57="No interest",0,F57="Nice to have",1,F57="Useful",2,F57="Important",3,F57="Very important",4,F57="Critical",5,F57="Show stopper",6)</f>
        <v>5</v>
      </c>
      <c r="H57" s="161">
        <f t="shared" si="2"/>
        <v>3.9714058776806989E-3</v>
      </c>
      <c r="I57" s="157" t="s">
        <v>827</v>
      </c>
      <c r="J57" s="35" t="str" cm="1">
        <f t="array" ref="J57">_xlfn.TEXTJOIN(","&amp;CHAR(10),,TEXT(Table21215[[#This Row],[12]:[22]],"0,00%"))</f>
        <v>0,00%,
0,00%,
0,00%,
0,00%</v>
      </c>
      <c r="K57" s="36"/>
      <c r="L57" s="37" t="e">
        <f>H57-(H57*((MATCH(Table21215[[#This Row],[Evaluators Response (SELECT)]],Table21215[[#This Row],[1]:[11]],0)-1)/(COUNTA(Table21215[[#This Row],[1]:[11]])-COUNTBLANK(Table21215[[#This Row],[1]:[11]])-1)))</f>
        <v>#N/A</v>
      </c>
      <c r="M57" s="38"/>
      <c r="N57" s="29" t="s">
        <v>828</v>
      </c>
      <c r="O57" s="29" t="s">
        <v>829</v>
      </c>
      <c r="P57" s="29" t="s">
        <v>830</v>
      </c>
      <c r="Q57" s="29" t="str" cm="1">
        <f t="array" ref="Q57">IFERROR(INDEX(_xlfn.UNIQUE(TRIM(_xlfn.TEXTSPLIT(Table21215[[#This Row],[Selection Options]:[Selection Options]],","))),,Q$11),"")</f>
        <v xml:space="preserve">
 0%: Not currently supported</v>
      </c>
      <c r="R57" s="29" t="str" cm="1">
        <f t="array" ref="R57">IFERROR(INDEX(_xlfn.UNIQUE(TRIM(_xlfn.TEXTSPLIT(Table21215[[#This Row],[Selection Options]:[Selection Options]],","))),,R$11),"")</f>
        <v/>
      </c>
      <c r="S57" s="29" t="str" cm="1">
        <f t="array" ref="S57">IFERROR(INDEX(_xlfn.UNIQUE(TRIM(_xlfn.TEXTSPLIT(Table21215[[#This Row],[Selection Options]:[Selection Options]],","))),,S$11),"")</f>
        <v/>
      </c>
      <c r="T57" s="29" t="str" cm="1">
        <f t="array" ref="T57">IFERROR(INDEX(_xlfn.UNIQUE(TRIM(_xlfn.TEXTSPLIT(Table21215[[#This Row],[Selection Options]:[Selection Options]],","))),,T$11),"")</f>
        <v/>
      </c>
      <c r="U57" s="29" t="str" cm="1">
        <f t="array" ref="U57">IFERROR(INDEX(_xlfn.UNIQUE(TRIM(_xlfn.TEXTSPLIT(Table21215[[#This Row],[Selection Options]:[Selection Options]],","))),,U$11),"")</f>
        <v/>
      </c>
      <c r="V57" s="29" t="str" cm="1">
        <f t="array" ref="V57">IFERROR(INDEX(_xlfn.UNIQUE(TRIM(_xlfn.TEXTSPLIT(Table21215[[#This Row],[Selection Options]:[Selection Options]],","))),,V$11),"")</f>
        <v/>
      </c>
      <c r="W57" s="29" t="str" cm="1">
        <f t="array" ref="W57">IFERROR(INDEX(_xlfn.UNIQUE(TRIM(_xlfn.TEXTSPLIT(Table21215[[#This Row],[Selection Options]:[Selection Options]],","))),,W$11),"")</f>
        <v/>
      </c>
      <c r="X57" s="29" t="str" cm="1">
        <f t="array" ref="X57">IFERROR(INDEX(_xlfn.UNIQUE(TRIM(_xlfn.TEXTSPLIT(Table21215[[#This Row],[Selection Options]:[Selection Options]],","))),,X$11),"")</f>
        <v/>
      </c>
      <c r="Y57" s="30" cm="1">
        <f t="array" ref="Y57">IF(Table21215[[#This Row],[1]]="","",Table21215[[#This Row],[Weight]:[Weight]]-(Table21215[[#This Row],[Weight]:[Weight]]*((_xlfn.XMATCH(Table21215[[#This Row],[1]],Table21215[[#This Row],[1]:[11]],0))-1)/(COUNTA(Table21215[[#This Row],[1]:[11]])-COUNTBLANK(Table21215[[#This Row],[1]:[11]])-1)))</f>
        <v>3.9714058776806989E-3</v>
      </c>
      <c r="Z57" s="30" cm="1">
        <f t="array" ref="Z57">IF(Table21215[[#This Row],[2]]="","",Table21215[[#This Row],[Weight]:[Weight]]-(Table21215[[#This Row],[Weight]:[Weight]]*((_xlfn.XMATCH(Table21215[[#This Row],[2]],Table21215[[#This Row],[1]:[11]],0))-1)/(COUNTA(Table21215[[#This Row],[1]:[11]])-COUNTBLANK(Table21215[[#This Row],[1]:[11]])-1)))</f>
        <v>2.6476039184537992E-3</v>
      </c>
      <c r="AA57" s="30" cm="1">
        <f t="array" ref="AA57">IF(Table21215[[#This Row],[3]]="","",Table21215[[#This Row],[Weight]:[Weight]]-(Table21215[[#This Row],[Weight]:[Weight]]*((_xlfn.XMATCH(Table21215[[#This Row],[3]],Table21215[[#This Row],[1]:[11]],0))-1)/(COUNTA(Table21215[[#This Row],[1]:[11]])-COUNTBLANK(Table21215[[#This Row],[1]:[11]])-1)))</f>
        <v>1.3238019592268996E-3</v>
      </c>
      <c r="AB57" s="30" cm="1">
        <f t="array" ref="AB57">IF(Table21215[[#This Row],[4]]="","",Table21215[[#This Row],[Weight]:[Weight]]-(Table21215[[#This Row],[Weight]:[Weight]]*((_xlfn.XMATCH(Table21215[[#This Row],[4]],Table21215[[#This Row],[1]:[11]],0))-1)/(COUNTA(Table21215[[#This Row],[1]:[11]])-COUNTBLANK(Table21215[[#This Row],[1]:[11]])-1)))</f>
        <v>0</v>
      </c>
      <c r="AC57" s="30" t="str" cm="1">
        <f t="array" ref="AC57">IF(Table21215[[#This Row],[5]]="","",Table21215[[#This Row],[Weight]:[Weight]]-(Table21215[[#This Row],[Weight]:[Weight]]*((_xlfn.XMATCH(Table21215[[#This Row],[5]],Table21215[[#This Row],[1]:[11]],0))-1)/(COUNTA(Table21215[[#This Row],[1]:[11]])-COUNTBLANK(Table21215[[#This Row],[1]:[11]])-1)))</f>
        <v/>
      </c>
      <c r="AD57" s="30" t="str" cm="1">
        <f t="array" ref="AD57">IF(Table21215[[#This Row],[6]]="","",Table21215[[#This Row],[Weight]:[Weight]]-(Table21215[[#This Row],[Weight]:[Weight]]*((_xlfn.XMATCH(Table21215[[#This Row],[6]],Table21215[[#This Row],[1]:[11]],0))-1)/(COUNTA(Table21215[[#This Row],[1]:[11]])-COUNTBLANK(Table21215[[#This Row],[1]:[11]])-1)))</f>
        <v/>
      </c>
      <c r="AE57" s="30" t="str" cm="1">
        <f t="array" ref="AE57">IF(Table21215[[#This Row],[7]]="","",Table21215[[#This Row],[Weight]:[Weight]]-(Table21215[[#This Row],[Weight]:[Weight]]*((_xlfn.XMATCH(Table21215[[#This Row],[7]],Table21215[[#This Row],[1]:[11]],0))-1)/(COUNTA(Table21215[[#This Row],[1]:[11]])-COUNTBLANK(Table21215[[#This Row],[1]:[11]])-1)))</f>
        <v/>
      </c>
      <c r="AF57" s="30" t="str" cm="1">
        <f t="array" ref="AF57">IF(Table21215[[#This Row],[8]]="","",Table21215[[#This Row],[Weight]:[Weight]]-(Table21215[[#This Row],[Weight]:[Weight]]*((_xlfn.XMATCH(Table21215[[#This Row],[8]],Table21215[[#This Row],[1]:[11]],0))-1)/(COUNTA(Table21215[[#This Row],[1]:[11]])-COUNTBLANK(Table21215[[#This Row],[1]:[11]])-1)))</f>
        <v/>
      </c>
      <c r="AG57" s="30" t="str" cm="1">
        <f t="array" ref="AG57">IF(Table21215[[#This Row],[9]]="","",Table21215[[#This Row],[Weight]:[Weight]]-(Table21215[[#This Row],[Weight]:[Weight]]*((_xlfn.XMATCH(Table21215[[#This Row],[9]],Table21215[[#This Row],[1]:[11]],0))-1)/(COUNTA(Table21215[[#This Row],[1]:[11]])-COUNTBLANK(Table21215[[#This Row],[1]:[11]])-1)))</f>
        <v/>
      </c>
      <c r="AH57" s="30" t="str" cm="1">
        <f t="array" ref="AH57">IF(Table21215[[#This Row],[10]]="","",Table21215[[#This Row],[Weight]:[Weight]]-(Table21215[[#This Row],[Weight]:[Weight]]*((_xlfn.XMATCH(Table21215[[#This Row],[10]],Table21215[[#This Row],[1]:[11]],0))-1)/(COUNTA(Table21215[[#This Row],[1]:[11]])-COUNTBLANK(Table21215[[#This Row],[1]:[11]])-1)))</f>
        <v/>
      </c>
      <c r="AI57" s="30" t="str" cm="1">
        <f t="array" ref="AI57">IF(Table21215[[#This Row],[11]]="","",Table21215[[#This Row],[Weight]:[Weight]]-(Table21215[[#This Row],[Weight]:[Weight]]*((_xlfn.XMATCH(Table21215[[#This Row],[11]],Table21215[[#This Row],[1]:[11]],0))-1)/(COUNTA(Table21215[[#This Row],[1]:[11]])-COUNTBLANK(Table21215[[#This Row],[1]:[11]])-1)))</f>
        <v/>
      </c>
    </row>
    <row r="58" spans="1:35" ht="108" x14ac:dyDescent="0.2">
      <c r="A58" s="20">
        <v>46</v>
      </c>
      <c r="B58" s="165" t="s">
        <v>875</v>
      </c>
      <c r="C58" s="21" t="s">
        <v>826</v>
      </c>
      <c r="D58" s="38"/>
      <c r="E58" s="38"/>
      <c r="F58" s="159" t="s">
        <v>60</v>
      </c>
      <c r="G58" s="160" cm="1">
        <f t="array" ref="G58">_xlfn.IFS(F58="","",F58="No interest",0,F58="Nice to have",1,F58="Useful",2,F58="Important",3,F58="Very important",4,F58="Critical",5,F58="Show stopper",6)</f>
        <v>6</v>
      </c>
      <c r="H58" s="161">
        <f t="shared" si="2"/>
        <v>4.7656870532168391E-3</v>
      </c>
      <c r="I58" s="157" t="s">
        <v>827</v>
      </c>
      <c r="J58" s="35" t="str" cm="1">
        <f t="array" ref="J58">_xlfn.TEXTJOIN(","&amp;CHAR(10),,TEXT(Table21215[[#This Row],[12]:[22]],"0,00%"))</f>
        <v>0,00%,
0,00%,
0,00%,
0,00%</v>
      </c>
      <c r="K58" s="36"/>
      <c r="L58" s="37" t="e">
        <f>H58-(H58*((MATCH(Table21215[[#This Row],[Evaluators Response (SELECT)]],Table21215[[#This Row],[1]:[11]],0)-1)/(COUNTA(Table21215[[#This Row],[1]:[11]])-COUNTBLANK(Table21215[[#This Row],[1]:[11]])-1)))</f>
        <v>#N/A</v>
      </c>
      <c r="M58" s="38"/>
      <c r="N58" s="29" t="s">
        <v>828</v>
      </c>
      <c r="O58" s="29" t="s">
        <v>829</v>
      </c>
      <c r="P58" s="29" t="s">
        <v>830</v>
      </c>
      <c r="Q58" s="29" t="str" cm="1">
        <f t="array" ref="Q58">IFERROR(INDEX(_xlfn.UNIQUE(TRIM(_xlfn.TEXTSPLIT(Table21215[[#This Row],[Selection Options]:[Selection Options]],","))),,Q$11),"")</f>
        <v xml:space="preserve">
 0%: Not currently supported</v>
      </c>
      <c r="R58" s="29" t="str" cm="1">
        <f t="array" ref="R58">IFERROR(INDEX(_xlfn.UNIQUE(TRIM(_xlfn.TEXTSPLIT(Table21215[[#This Row],[Selection Options]:[Selection Options]],","))),,R$11),"")</f>
        <v/>
      </c>
      <c r="S58" s="29" t="str" cm="1">
        <f t="array" ref="S58">IFERROR(INDEX(_xlfn.UNIQUE(TRIM(_xlfn.TEXTSPLIT(Table21215[[#This Row],[Selection Options]:[Selection Options]],","))),,S$11),"")</f>
        <v/>
      </c>
      <c r="T58" s="29" t="str" cm="1">
        <f t="array" ref="T58">IFERROR(INDEX(_xlfn.UNIQUE(TRIM(_xlfn.TEXTSPLIT(Table21215[[#This Row],[Selection Options]:[Selection Options]],","))),,T$11),"")</f>
        <v/>
      </c>
      <c r="U58" s="29" t="str" cm="1">
        <f t="array" ref="U58">IFERROR(INDEX(_xlfn.UNIQUE(TRIM(_xlfn.TEXTSPLIT(Table21215[[#This Row],[Selection Options]:[Selection Options]],","))),,U$11),"")</f>
        <v/>
      </c>
      <c r="V58" s="29" t="str" cm="1">
        <f t="array" ref="V58">IFERROR(INDEX(_xlfn.UNIQUE(TRIM(_xlfn.TEXTSPLIT(Table21215[[#This Row],[Selection Options]:[Selection Options]],","))),,V$11),"")</f>
        <v/>
      </c>
      <c r="W58" s="29" t="str" cm="1">
        <f t="array" ref="W58">IFERROR(INDEX(_xlfn.UNIQUE(TRIM(_xlfn.TEXTSPLIT(Table21215[[#This Row],[Selection Options]:[Selection Options]],","))),,W$11),"")</f>
        <v/>
      </c>
      <c r="X58" s="29" t="str" cm="1">
        <f t="array" ref="X58">IFERROR(INDEX(_xlfn.UNIQUE(TRIM(_xlfn.TEXTSPLIT(Table21215[[#This Row],[Selection Options]:[Selection Options]],","))),,X$11),"")</f>
        <v/>
      </c>
      <c r="Y58" s="30" cm="1">
        <f t="array" ref="Y58">IF(Table21215[[#This Row],[1]]="","",Table21215[[#This Row],[Weight]:[Weight]]-(Table21215[[#This Row],[Weight]:[Weight]]*((_xlfn.XMATCH(Table21215[[#This Row],[1]],Table21215[[#This Row],[1]:[11]],0))-1)/(COUNTA(Table21215[[#This Row],[1]:[11]])-COUNTBLANK(Table21215[[#This Row],[1]:[11]])-1)))</f>
        <v>4.7656870532168391E-3</v>
      </c>
      <c r="Z58" s="30" cm="1">
        <f t="array" ref="Z58">IF(Table21215[[#This Row],[2]]="","",Table21215[[#This Row],[Weight]:[Weight]]-(Table21215[[#This Row],[Weight]:[Weight]]*((_xlfn.XMATCH(Table21215[[#This Row],[2]],Table21215[[#This Row],[1]:[11]],0))-1)/(COUNTA(Table21215[[#This Row],[1]:[11]])-COUNTBLANK(Table21215[[#This Row],[1]:[11]])-1)))</f>
        <v>3.1771247021445594E-3</v>
      </c>
      <c r="AA58" s="30" cm="1">
        <f t="array" ref="AA58">IF(Table21215[[#This Row],[3]]="","",Table21215[[#This Row],[Weight]:[Weight]]-(Table21215[[#This Row],[Weight]:[Weight]]*((_xlfn.XMATCH(Table21215[[#This Row],[3]],Table21215[[#This Row],[1]:[11]],0))-1)/(COUNTA(Table21215[[#This Row],[1]:[11]])-COUNTBLANK(Table21215[[#This Row],[1]:[11]])-1)))</f>
        <v>1.5885623510722797E-3</v>
      </c>
      <c r="AB58" s="30" cm="1">
        <f t="array" ref="AB58">IF(Table21215[[#This Row],[4]]="","",Table21215[[#This Row],[Weight]:[Weight]]-(Table21215[[#This Row],[Weight]:[Weight]]*((_xlfn.XMATCH(Table21215[[#This Row],[4]],Table21215[[#This Row],[1]:[11]],0))-1)/(COUNTA(Table21215[[#This Row],[1]:[11]])-COUNTBLANK(Table21215[[#This Row],[1]:[11]])-1)))</f>
        <v>0</v>
      </c>
      <c r="AC58" s="30" t="str" cm="1">
        <f t="array" ref="AC58">IF(Table21215[[#This Row],[5]]="","",Table21215[[#This Row],[Weight]:[Weight]]-(Table21215[[#This Row],[Weight]:[Weight]]*((_xlfn.XMATCH(Table21215[[#This Row],[5]],Table21215[[#This Row],[1]:[11]],0))-1)/(COUNTA(Table21215[[#This Row],[1]:[11]])-COUNTBLANK(Table21215[[#This Row],[1]:[11]])-1)))</f>
        <v/>
      </c>
      <c r="AD58" s="30" t="str" cm="1">
        <f t="array" ref="AD58">IF(Table21215[[#This Row],[6]]="","",Table21215[[#This Row],[Weight]:[Weight]]-(Table21215[[#This Row],[Weight]:[Weight]]*((_xlfn.XMATCH(Table21215[[#This Row],[6]],Table21215[[#This Row],[1]:[11]],0))-1)/(COUNTA(Table21215[[#This Row],[1]:[11]])-COUNTBLANK(Table21215[[#This Row],[1]:[11]])-1)))</f>
        <v/>
      </c>
      <c r="AE58" s="30" t="str" cm="1">
        <f t="array" ref="AE58">IF(Table21215[[#This Row],[7]]="","",Table21215[[#This Row],[Weight]:[Weight]]-(Table21215[[#This Row],[Weight]:[Weight]]*((_xlfn.XMATCH(Table21215[[#This Row],[7]],Table21215[[#This Row],[1]:[11]],0))-1)/(COUNTA(Table21215[[#This Row],[1]:[11]])-COUNTBLANK(Table21215[[#This Row],[1]:[11]])-1)))</f>
        <v/>
      </c>
      <c r="AF58" s="30" t="str" cm="1">
        <f t="array" ref="AF58">IF(Table21215[[#This Row],[8]]="","",Table21215[[#This Row],[Weight]:[Weight]]-(Table21215[[#This Row],[Weight]:[Weight]]*((_xlfn.XMATCH(Table21215[[#This Row],[8]],Table21215[[#This Row],[1]:[11]],0))-1)/(COUNTA(Table21215[[#This Row],[1]:[11]])-COUNTBLANK(Table21215[[#This Row],[1]:[11]])-1)))</f>
        <v/>
      </c>
      <c r="AG58" s="30" t="str" cm="1">
        <f t="array" ref="AG58">IF(Table21215[[#This Row],[9]]="","",Table21215[[#This Row],[Weight]:[Weight]]-(Table21215[[#This Row],[Weight]:[Weight]]*((_xlfn.XMATCH(Table21215[[#This Row],[9]],Table21215[[#This Row],[1]:[11]],0))-1)/(COUNTA(Table21215[[#This Row],[1]:[11]])-COUNTBLANK(Table21215[[#This Row],[1]:[11]])-1)))</f>
        <v/>
      </c>
      <c r="AH58" s="30" t="str" cm="1">
        <f t="array" ref="AH58">IF(Table21215[[#This Row],[10]]="","",Table21215[[#This Row],[Weight]:[Weight]]-(Table21215[[#This Row],[Weight]:[Weight]]*((_xlfn.XMATCH(Table21215[[#This Row],[10]],Table21215[[#This Row],[1]:[11]],0))-1)/(COUNTA(Table21215[[#This Row],[1]:[11]])-COUNTBLANK(Table21215[[#This Row],[1]:[11]])-1)))</f>
        <v/>
      </c>
      <c r="AI58" s="30" t="str" cm="1">
        <f t="array" ref="AI58">IF(Table21215[[#This Row],[11]]="","",Table21215[[#This Row],[Weight]:[Weight]]-(Table21215[[#This Row],[Weight]:[Weight]]*((_xlfn.XMATCH(Table21215[[#This Row],[11]],Table21215[[#This Row],[1]:[11]],0))-1)/(COUNTA(Table21215[[#This Row],[1]:[11]])-COUNTBLANK(Table21215[[#This Row],[1]:[11]])-1)))</f>
        <v/>
      </c>
    </row>
    <row r="59" spans="1:35" ht="108" x14ac:dyDescent="0.2">
      <c r="A59" s="20">
        <v>47</v>
      </c>
      <c r="B59" s="165" t="s">
        <v>876</v>
      </c>
      <c r="C59" s="21" t="s">
        <v>826</v>
      </c>
      <c r="D59" s="38"/>
      <c r="E59" s="38"/>
      <c r="F59" s="159" t="s">
        <v>60</v>
      </c>
      <c r="G59" s="160" cm="1">
        <f t="array" ref="G59">_xlfn.IFS(F59="","",F59="No interest",0,F59="Nice to have",1,F59="Useful",2,F59="Important",3,F59="Very important",4,F59="Critical",5,F59="Show stopper",6)</f>
        <v>6</v>
      </c>
      <c r="H59" s="161">
        <f t="shared" si="2"/>
        <v>4.7656870532168391E-3</v>
      </c>
      <c r="I59" s="157" t="s">
        <v>827</v>
      </c>
      <c r="J59" s="35" t="str" cm="1">
        <f t="array" ref="J59">_xlfn.TEXTJOIN(","&amp;CHAR(10),,TEXT(Table21215[[#This Row],[12]:[22]],"0,00%"))</f>
        <v>0,00%,
0,00%,
0,00%,
0,00%</v>
      </c>
      <c r="K59" s="36"/>
      <c r="L59" s="37" t="e">
        <f>H59-(H59*((MATCH(Table21215[[#This Row],[Evaluators Response (SELECT)]],Table21215[[#This Row],[1]:[11]],0)-1)/(COUNTA(Table21215[[#This Row],[1]:[11]])-COUNTBLANK(Table21215[[#This Row],[1]:[11]])-1)))</f>
        <v>#N/A</v>
      </c>
      <c r="M59" s="38"/>
      <c r="N59" s="29" t="s">
        <v>828</v>
      </c>
      <c r="O59" s="29" t="s">
        <v>829</v>
      </c>
      <c r="P59" s="29" t="s">
        <v>830</v>
      </c>
      <c r="Q59" s="29" t="str" cm="1">
        <f t="array" ref="Q59">IFERROR(INDEX(_xlfn.UNIQUE(TRIM(_xlfn.TEXTSPLIT(Table21215[[#This Row],[Selection Options]:[Selection Options]],","))),,Q$11),"")</f>
        <v xml:space="preserve">
 0%: Not currently supported</v>
      </c>
      <c r="R59" s="29" t="str" cm="1">
        <f t="array" ref="R59">IFERROR(INDEX(_xlfn.UNIQUE(TRIM(_xlfn.TEXTSPLIT(Table21215[[#This Row],[Selection Options]:[Selection Options]],","))),,R$11),"")</f>
        <v/>
      </c>
      <c r="S59" s="29" t="str" cm="1">
        <f t="array" ref="S59">IFERROR(INDEX(_xlfn.UNIQUE(TRIM(_xlfn.TEXTSPLIT(Table21215[[#This Row],[Selection Options]:[Selection Options]],","))),,S$11),"")</f>
        <v/>
      </c>
      <c r="T59" s="29" t="str" cm="1">
        <f t="array" ref="T59">IFERROR(INDEX(_xlfn.UNIQUE(TRIM(_xlfn.TEXTSPLIT(Table21215[[#This Row],[Selection Options]:[Selection Options]],","))),,T$11),"")</f>
        <v/>
      </c>
      <c r="U59" s="29" t="str" cm="1">
        <f t="array" ref="U59">IFERROR(INDEX(_xlfn.UNIQUE(TRIM(_xlfn.TEXTSPLIT(Table21215[[#This Row],[Selection Options]:[Selection Options]],","))),,U$11),"")</f>
        <v/>
      </c>
      <c r="V59" s="29" t="str" cm="1">
        <f t="array" ref="V59">IFERROR(INDEX(_xlfn.UNIQUE(TRIM(_xlfn.TEXTSPLIT(Table21215[[#This Row],[Selection Options]:[Selection Options]],","))),,V$11),"")</f>
        <v/>
      </c>
      <c r="W59" s="29" t="str" cm="1">
        <f t="array" ref="W59">IFERROR(INDEX(_xlfn.UNIQUE(TRIM(_xlfn.TEXTSPLIT(Table21215[[#This Row],[Selection Options]:[Selection Options]],","))),,W$11),"")</f>
        <v/>
      </c>
      <c r="X59" s="29" t="str" cm="1">
        <f t="array" ref="X59">IFERROR(INDEX(_xlfn.UNIQUE(TRIM(_xlfn.TEXTSPLIT(Table21215[[#This Row],[Selection Options]:[Selection Options]],","))),,X$11),"")</f>
        <v/>
      </c>
      <c r="Y59" s="30" cm="1">
        <f t="array" ref="Y59">IF(Table21215[[#This Row],[1]]="","",Table21215[[#This Row],[Weight]:[Weight]]-(Table21215[[#This Row],[Weight]:[Weight]]*((_xlfn.XMATCH(Table21215[[#This Row],[1]],Table21215[[#This Row],[1]:[11]],0))-1)/(COUNTA(Table21215[[#This Row],[1]:[11]])-COUNTBLANK(Table21215[[#This Row],[1]:[11]])-1)))</f>
        <v>4.7656870532168391E-3</v>
      </c>
      <c r="Z59" s="30" cm="1">
        <f t="array" ref="Z59">IF(Table21215[[#This Row],[2]]="","",Table21215[[#This Row],[Weight]:[Weight]]-(Table21215[[#This Row],[Weight]:[Weight]]*((_xlfn.XMATCH(Table21215[[#This Row],[2]],Table21215[[#This Row],[1]:[11]],0))-1)/(COUNTA(Table21215[[#This Row],[1]:[11]])-COUNTBLANK(Table21215[[#This Row],[1]:[11]])-1)))</f>
        <v>3.1771247021445594E-3</v>
      </c>
      <c r="AA59" s="30" cm="1">
        <f t="array" ref="AA59">IF(Table21215[[#This Row],[3]]="","",Table21215[[#This Row],[Weight]:[Weight]]-(Table21215[[#This Row],[Weight]:[Weight]]*((_xlfn.XMATCH(Table21215[[#This Row],[3]],Table21215[[#This Row],[1]:[11]],0))-1)/(COUNTA(Table21215[[#This Row],[1]:[11]])-COUNTBLANK(Table21215[[#This Row],[1]:[11]])-1)))</f>
        <v>1.5885623510722797E-3</v>
      </c>
      <c r="AB59" s="30" cm="1">
        <f t="array" ref="AB59">IF(Table21215[[#This Row],[4]]="","",Table21215[[#This Row],[Weight]:[Weight]]-(Table21215[[#This Row],[Weight]:[Weight]]*((_xlfn.XMATCH(Table21215[[#This Row],[4]],Table21215[[#This Row],[1]:[11]],0))-1)/(COUNTA(Table21215[[#This Row],[1]:[11]])-COUNTBLANK(Table21215[[#This Row],[1]:[11]])-1)))</f>
        <v>0</v>
      </c>
      <c r="AC59" s="30" t="str" cm="1">
        <f t="array" ref="AC59">IF(Table21215[[#This Row],[5]]="","",Table21215[[#This Row],[Weight]:[Weight]]-(Table21215[[#This Row],[Weight]:[Weight]]*((_xlfn.XMATCH(Table21215[[#This Row],[5]],Table21215[[#This Row],[1]:[11]],0))-1)/(COUNTA(Table21215[[#This Row],[1]:[11]])-COUNTBLANK(Table21215[[#This Row],[1]:[11]])-1)))</f>
        <v/>
      </c>
      <c r="AD59" s="30" t="str" cm="1">
        <f t="array" ref="AD59">IF(Table21215[[#This Row],[6]]="","",Table21215[[#This Row],[Weight]:[Weight]]-(Table21215[[#This Row],[Weight]:[Weight]]*((_xlfn.XMATCH(Table21215[[#This Row],[6]],Table21215[[#This Row],[1]:[11]],0))-1)/(COUNTA(Table21215[[#This Row],[1]:[11]])-COUNTBLANK(Table21215[[#This Row],[1]:[11]])-1)))</f>
        <v/>
      </c>
      <c r="AE59" s="30" t="str" cm="1">
        <f t="array" ref="AE59">IF(Table21215[[#This Row],[7]]="","",Table21215[[#This Row],[Weight]:[Weight]]-(Table21215[[#This Row],[Weight]:[Weight]]*((_xlfn.XMATCH(Table21215[[#This Row],[7]],Table21215[[#This Row],[1]:[11]],0))-1)/(COUNTA(Table21215[[#This Row],[1]:[11]])-COUNTBLANK(Table21215[[#This Row],[1]:[11]])-1)))</f>
        <v/>
      </c>
      <c r="AF59" s="30" t="str" cm="1">
        <f t="array" ref="AF59">IF(Table21215[[#This Row],[8]]="","",Table21215[[#This Row],[Weight]:[Weight]]-(Table21215[[#This Row],[Weight]:[Weight]]*((_xlfn.XMATCH(Table21215[[#This Row],[8]],Table21215[[#This Row],[1]:[11]],0))-1)/(COUNTA(Table21215[[#This Row],[1]:[11]])-COUNTBLANK(Table21215[[#This Row],[1]:[11]])-1)))</f>
        <v/>
      </c>
      <c r="AG59" s="30" t="str" cm="1">
        <f t="array" ref="AG59">IF(Table21215[[#This Row],[9]]="","",Table21215[[#This Row],[Weight]:[Weight]]-(Table21215[[#This Row],[Weight]:[Weight]]*((_xlfn.XMATCH(Table21215[[#This Row],[9]],Table21215[[#This Row],[1]:[11]],0))-1)/(COUNTA(Table21215[[#This Row],[1]:[11]])-COUNTBLANK(Table21215[[#This Row],[1]:[11]])-1)))</f>
        <v/>
      </c>
      <c r="AH59" s="30" t="str" cm="1">
        <f t="array" ref="AH59">IF(Table21215[[#This Row],[10]]="","",Table21215[[#This Row],[Weight]:[Weight]]-(Table21215[[#This Row],[Weight]:[Weight]]*((_xlfn.XMATCH(Table21215[[#This Row],[10]],Table21215[[#This Row],[1]:[11]],0))-1)/(COUNTA(Table21215[[#This Row],[1]:[11]])-COUNTBLANK(Table21215[[#This Row],[1]:[11]])-1)))</f>
        <v/>
      </c>
      <c r="AI59" s="30" t="str" cm="1">
        <f t="array" ref="AI59">IF(Table21215[[#This Row],[11]]="","",Table21215[[#This Row],[Weight]:[Weight]]-(Table21215[[#This Row],[Weight]:[Weight]]*((_xlfn.XMATCH(Table21215[[#This Row],[11]],Table21215[[#This Row],[1]:[11]],0))-1)/(COUNTA(Table21215[[#This Row],[1]:[11]])-COUNTBLANK(Table21215[[#This Row],[1]:[11]])-1)))</f>
        <v/>
      </c>
    </row>
    <row r="60" spans="1:35" ht="108" x14ac:dyDescent="0.2">
      <c r="A60" s="20">
        <v>48</v>
      </c>
      <c r="B60" s="165" t="s">
        <v>877</v>
      </c>
      <c r="C60" s="21" t="s">
        <v>826</v>
      </c>
      <c r="D60" s="38"/>
      <c r="E60" s="38"/>
      <c r="F60" s="159" t="s">
        <v>60</v>
      </c>
      <c r="G60" s="160" cm="1">
        <f t="array" ref="G60">_xlfn.IFS(F60="","",F60="No interest",0,F60="Nice to have",1,F60="Useful",2,F60="Important",3,F60="Very important",4,F60="Critical",5,F60="Show stopper",6)</f>
        <v>6</v>
      </c>
      <c r="H60" s="161">
        <f t="shared" si="2"/>
        <v>4.7656870532168391E-3</v>
      </c>
      <c r="I60" s="157" t="s">
        <v>827</v>
      </c>
      <c r="J60" s="35" t="str" cm="1">
        <f t="array" ref="J60">_xlfn.TEXTJOIN(","&amp;CHAR(10),,TEXT(Table21215[[#This Row],[12]:[22]],"0,00%"))</f>
        <v>0,00%,
0,00%,
0,00%,
0,00%</v>
      </c>
      <c r="K60" s="36"/>
      <c r="L60" s="37" t="e">
        <f>H60-(H60*((MATCH(Table21215[[#This Row],[Evaluators Response (SELECT)]],Table21215[[#This Row],[1]:[11]],0)-1)/(COUNTA(Table21215[[#This Row],[1]:[11]])-COUNTBLANK(Table21215[[#This Row],[1]:[11]])-1)))</f>
        <v>#N/A</v>
      </c>
      <c r="M60" s="38"/>
      <c r="N60" s="29" t="s">
        <v>828</v>
      </c>
      <c r="O60" s="29" t="s">
        <v>829</v>
      </c>
      <c r="P60" s="29" t="s">
        <v>830</v>
      </c>
      <c r="Q60" s="29" t="str" cm="1">
        <f t="array" ref="Q60">IFERROR(INDEX(_xlfn.UNIQUE(TRIM(_xlfn.TEXTSPLIT(Table21215[[#This Row],[Selection Options]:[Selection Options]],","))),,Q$11),"")</f>
        <v xml:space="preserve">
 0%: Not currently supported</v>
      </c>
      <c r="R60" s="29" t="str" cm="1">
        <f t="array" ref="R60">IFERROR(INDEX(_xlfn.UNIQUE(TRIM(_xlfn.TEXTSPLIT(Table21215[[#This Row],[Selection Options]:[Selection Options]],","))),,R$11),"")</f>
        <v/>
      </c>
      <c r="S60" s="29" t="str" cm="1">
        <f t="array" ref="S60">IFERROR(INDEX(_xlfn.UNIQUE(TRIM(_xlfn.TEXTSPLIT(Table21215[[#This Row],[Selection Options]:[Selection Options]],","))),,S$11),"")</f>
        <v/>
      </c>
      <c r="T60" s="29" t="str" cm="1">
        <f t="array" ref="T60">IFERROR(INDEX(_xlfn.UNIQUE(TRIM(_xlfn.TEXTSPLIT(Table21215[[#This Row],[Selection Options]:[Selection Options]],","))),,T$11),"")</f>
        <v/>
      </c>
      <c r="U60" s="29" t="str" cm="1">
        <f t="array" ref="U60">IFERROR(INDEX(_xlfn.UNIQUE(TRIM(_xlfn.TEXTSPLIT(Table21215[[#This Row],[Selection Options]:[Selection Options]],","))),,U$11),"")</f>
        <v/>
      </c>
      <c r="V60" s="29" t="str" cm="1">
        <f t="array" ref="V60">IFERROR(INDEX(_xlfn.UNIQUE(TRIM(_xlfn.TEXTSPLIT(Table21215[[#This Row],[Selection Options]:[Selection Options]],","))),,V$11),"")</f>
        <v/>
      </c>
      <c r="W60" s="29" t="str" cm="1">
        <f t="array" ref="W60">IFERROR(INDEX(_xlfn.UNIQUE(TRIM(_xlfn.TEXTSPLIT(Table21215[[#This Row],[Selection Options]:[Selection Options]],","))),,W$11),"")</f>
        <v/>
      </c>
      <c r="X60" s="29" t="str" cm="1">
        <f t="array" ref="X60">IFERROR(INDEX(_xlfn.UNIQUE(TRIM(_xlfn.TEXTSPLIT(Table21215[[#This Row],[Selection Options]:[Selection Options]],","))),,X$11),"")</f>
        <v/>
      </c>
      <c r="Y60" s="30" cm="1">
        <f t="array" ref="Y60">IF(Table21215[[#This Row],[1]]="","",Table21215[[#This Row],[Weight]:[Weight]]-(Table21215[[#This Row],[Weight]:[Weight]]*((_xlfn.XMATCH(Table21215[[#This Row],[1]],Table21215[[#This Row],[1]:[11]],0))-1)/(COUNTA(Table21215[[#This Row],[1]:[11]])-COUNTBLANK(Table21215[[#This Row],[1]:[11]])-1)))</f>
        <v>4.7656870532168391E-3</v>
      </c>
      <c r="Z60" s="30" cm="1">
        <f t="array" ref="Z60">IF(Table21215[[#This Row],[2]]="","",Table21215[[#This Row],[Weight]:[Weight]]-(Table21215[[#This Row],[Weight]:[Weight]]*((_xlfn.XMATCH(Table21215[[#This Row],[2]],Table21215[[#This Row],[1]:[11]],0))-1)/(COUNTA(Table21215[[#This Row],[1]:[11]])-COUNTBLANK(Table21215[[#This Row],[1]:[11]])-1)))</f>
        <v>3.1771247021445594E-3</v>
      </c>
      <c r="AA60" s="30" cm="1">
        <f t="array" ref="AA60">IF(Table21215[[#This Row],[3]]="","",Table21215[[#This Row],[Weight]:[Weight]]-(Table21215[[#This Row],[Weight]:[Weight]]*((_xlfn.XMATCH(Table21215[[#This Row],[3]],Table21215[[#This Row],[1]:[11]],0))-1)/(COUNTA(Table21215[[#This Row],[1]:[11]])-COUNTBLANK(Table21215[[#This Row],[1]:[11]])-1)))</f>
        <v>1.5885623510722797E-3</v>
      </c>
      <c r="AB60" s="30" cm="1">
        <f t="array" ref="AB60">IF(Table21215[[#This Row],[4]]="","",Table21215[[#This Row],[Weight]:[Weight]]-(Table21215[[#This Row],[Weight]:[Weight]]*((_xlfn.XMATCH(Table21215[[#This Row],[4]],Table21215[[#This Row],[1]:[11]],0))-1)/(COUNTA(Table21215[[#This Row],[1]:[11]])-COUNTBLANK(Table21215[[#This Row],[1]:[11]])-1)))</f>
        <v>0</v>
      </c>
      <c r="AC60" s="30" t="str" cm="1">
        <f t="array" ref="AC60">IF(Table21215[[#This Row],[5]]="","",Table21215[[#This Row],[Weight]:[Weight]]-(Table21215[[#This Row],[Weight]:[Weight]]*((_xlfn.XMATCH(Table21215[[#This Row],[5]],Table21215[[#This Row],[1]:[11]],0))-1)/(COUNTA(Table21215[[#This Row],[1]:[11]])-COUNTBLANK(Table21215[[#This Row],[1]:[11]])-1)))</f>
        <v/>
      </c>
      <c r="AD60" s="30" t="str" cm="1">
        <f t="array" ref="AD60">IF(Table21215[[#This Row],[6]]="","",Table21215[[#This Row],[Weight]:[Weight]]-(Table21215[[#This Row],[Weight]:[Weight]]*((_xlfn.XMATCH(Table21215[[#This Row],[6]],Table21215[[#This Row],[1]:[11]],0))-1)/(COUNTA(Table21215[[#This Row],[1]:[11]])-COUNTBLANK(Table21215[[#This Row],[1]:[11]])-1)))</f>
        <v/>
      </c>
      <c r="AE60" s="30" t="str" cm="1">
        <f t="array" ref="AE60">IF(Table21215[[#This Row],[7]]="","",Table21215[[#This Row],[Weight]:[Weight]]-(Table21215[[#This Row],[Weight]:[Weight]]*((_xlfn.XMATCH(Table21215[[#This Row],[7]],Table21215[[#This Row],[1]:[11]],0))-1)/(COUNTA(Table21215[[#This Row],[1]:[11]])-COUNTBLANK(Table21215[[#This Row],[1]:[11]])-1)))</f>
        <v/>
      </c>
      <c r="AF60" s="30" t="str" cm="1">
        <f t="array" ref="AF60">IF(Table21215[[#This Row],[8]]="","",Table21215[[#This Row],[Weight]:[Weight]]-(Table21215[[#This Row],[Weight]:[Weight]]*((_xlfn.XMATCH(Table21215[[#This Row],[8]],Table21215[[#This Row],[1]:[11]],0))-1)/(COUNTA(Table21215[[#This Row],[1]:[11]])-COUNTBLANK(Table21215[[#This Row],[1]:[11]])-1)))</f>
        <v/>
      </c>
      <c r="AG60" s="30" t="str" cm="1">
        <f t="array" ref="AG60">IF(Table21215[[#This Row],[9]]="","",Table21215[[#This Row],[Weight]:[Weight]]-(Table21215[[#This Row],[Weight]:[Weight]]*((_xlfn.XMATCH(Table21215[[#This Row],[9]],Table21215[[#This Row],[1]:[11]],0))-1)/(COUNTA(Table21215[[#This Row],[1]:[11]])-COUNTBLANK(Table21215[[#This Row],[1]:[11]])-1)))</f>
        <v/>
      </c>
      <c r="AH60" s="30" t="str" cm="1">
        <f t="array" ref="AH60">IF(Table21215[[#This Row],[10]]="","",Table21215[[#This Row],[Weight]:[Weight]]-(Table21215[[#This Row],[Weight]:[Weight]]*((_xlfn.XMATCH(Table21215[[#This Row],[10]],Table21215[[#This Row],[1]:[11]],0))-1)/(COUNTA(Table21215[[#This Row],[1]:[11]])-COUNTBLANK(Table21215[[#This Row],[1]:[11]])-1)))</f>
        <v/>
      </c>
      <c r="AI60" s="30" t="str" cm="1">
        <f t="array" ref="AI60">IF(Table21215[[#This Row],[11]]="","",Table21215[[#This Row],[Weight]:[Weight]]-(Table21215[[#This Row],[Weight]:[Weight]]*((_xlfn.XMATCH(Table21215[[#This Row],[11]],Table21215[[#This Row],[1]:[11]],0))-1)/(COUNTA(Table21215[[#This Row],[1]:[11]])-COUNTBLANK(Table21215[[#This Row],[1]:[11]])-1)))</f>
        <v/>
      </c>
    </row>
    <row r="61" spans="1:35" ht="108" x14ac:dyDescent="0.2">
      <c r="A61" s="20">
        <v>49</v>
      </c>
      <c r="B61" s="165" t="s">
        <v>878</v>
      </c>
      <c r="C61" s="21" t="s">
        <v>826</v>
      </c>
      <c r="D61" s="38"/>
      <c r="E61" s="38"/>
      <c r="F61" s="159" t="s">
        <v>60</v>
      </c>
      <c r="G61" s="160" cm="1">
        <f t="array" ref="G61">_xlfn.IFS(F61="","",F61="No interest",0,F61="Nice to have",1,F61="Useful",2,F61="Important",3,F61="Very important",4,F61="Critical",5,F61="Show stopper",6)</f>
        <v>6</v>
      </c>
      <c r="H61" s="161">
        <f t="shared" si="2"/>
        <v>4.7656870532168391E-3</v>
      </c>
      <c r="I61" s="157" t="s">
        <v>827</v>
      </c>
      <c r="J61" s="35" t="str" cm="1">
        <f t="array" ref="J61">_xlfn.TEXTJOIN(","&amp;CHAR(10),,TEXT(Table21215[[#This Row],[12]:[22]],"0,00%"))</f>
        <v>0,00%,
0,00%,
0,00%,
0,00%</v>
      </c>
      <c r="K61" s="36"/>
      <c r="L61" s="37" t="e">
        <f>H61-(H61*((MATCH(Table21215[[#This Row],[Evaluators Response (SELECT)]],Table21215[[#This Row],[1]:[11]],0)-1)/(COUNTA(Table21215[[#This Row],[1]:[11]])-COUNTBLANK(Table21215[[#This Row],[1]:[11]])-1)))</f>
        <v>#N/A</v>
      </c>
      <c r="M61" s="38"/>
      <c r="N61" s="29" t="s">
        <v>828</v>
      </c>
      <c r="O61" s="29" t="s">
        <v>829</v>
      </c>
      <c r="P61" s="29" t="s">
        <v>830</v>
      </c>
      <c r="Q61" s="29" t="str" cm="1">
        <f t="array" ref="Q61">IFERROR(INDEX(_xlfn.UNIQUE(TRIM(_xlfn.TEXTSPLIT(Table21215[[#This Row],[Selection Options]:[Selection Options]],","))),,Q$11),"")</f>
        <v xml:space="preserve">
 0%: Not currently supported</v>
      </c>
      <c r="R61" s="29" t="str" cm="1">
        <f t="array" ref="R61">IFERROR(INDEX(_xlfn.UNIQUE(TRIM(_xlfn.TEXTSPLIT(Table21215[[#This Row],[Selection Options]:[Selection Options]],","))),,R$11),"")</f>
        <v/>
      </c>
      <c r="S61" s="29" t="str" cm="1">
        <f t="array" ref="S61">IFERROR(INDEX(_xlfn.UNIQUE(TRIM(_xlfn.TEXTSPLIT(Table21215[[#This Row],[Selection Options]:[Selection Options]],","))),,S$11),"")</f>
        <v/>
      </c>
      <c r="T61" s="29" t="str" cm="1">
        <f t="array" ref="T61">IFERROR(INDEX(_xlfn.UNIQUE(TRIM(_xlfn.TEXTSPLIT(Table21215[[#This Row],[Selection Options]:[Selection Options]],","))),,T$11),"")</f>
        <v/>
      </c>
      <c r="U61" s="29" t="str" cm="1">
        <f t="array" ref="U61">IFERROR(INDEX(_xlfn.UNIQUE(TRIM(_xlfn.TEXTSPLIT(Table21215[[#This Row],[Selection Options]:[Selection Options]],","))),,U$11),"")</f>
        <v/>
      </c>
      <c r="V61" s="29" t="str" cm="1">
        <f t="array" ref="V61">IFERROR(INDEX(_xlfn.UNIQUE(TRIM(_xlfn.TEXTSPLIT(Table21215[[#This Row],[Selection Options]:[Selection Options]],","))),,V$11),"")</f>
        <v/>
      </c>
      <c r="W61" s="29" t="str" cm="1">
        <f t="array" ref="W61">IFERROR(INDEX(_xlfn.UNIQUE(TRIM(_xlfn.TEXTSPLIT(Table21215[[#This Row],[Selection Options]:[Selection Options]],","))),,W$11),"")</f>
        <v/>
      </c>
      <c r="X61" s="29" t="str" cm="1">
        <f t="array" ref="X61">IFERROR(INDEX(_xlfn.UNIQUE(TRIM(_xlfn.TEXTSPLIT(Table21215[[#This Row],[Selection Options]:[Selection Options]],","))),,X$11),"")</f>
        <v/>
      </c>
      <c r="Y61" s="30" cm="1">
        <f t="array" ref="Y61">IF(Table21215[[#This Row],[1]]="","",Table21215[[#This Row],[Weight]:[Weight]]-(Table21215[[#This Row],[Weight]:[Weight]]*((_xlfn.XMATCH(Table21215[[#This Row],[1]],Table21215[[#This Row],[1]:[11]],0))-1)/(COUNTA(Table21215[[#This Row],[1]:[11]])-COUNTBLANK(Table21215[[#This Row],[1]:[11]])-1)))</f>
        <v>4.7656870532168391E-3</v>
      </c>
      <c r="Z61" s="30" cm="1">
        <f t="array" ref="Z61">IF(Table21215[[#This Row],[2]]="","",Table21215[[#This Row],[Weight]:[Weight]]-(Table21215[[#This Row],[Weight]:[Weight]]*((_xlfn.XMATCH(Table21215[[#This Row],[2]],Table21215[[#This Row],[1]:[11]],0))-1)/(COUNTA(Table21215[[#This Row],[1]:[11]])-COUNTBLANK(Table21215[[#This Row],[1]:[11]])-1)))</f>
        <v>3.1771247021445594E-3</v>
      </c>
      <c r="AA61" s="30" cm="1">
        <f t="array" ref="AA61">IF(Table21215[[#This Row],[3]]="","",Table21215[[#This Row],[Weight]:[Weight]]-(Table21215[[#This Row],[Weight]:[Weight]]*((_xlfn.XMATCH(Table21215[[#This Row],[3]],Table21215[[#This Row],[1]:[11]],0))-1)/(COUNTA(Table21215[[#This Row],[1]:[11]])-COUNTBLANK(Table21215[[#This Row],[1]:[11]])-1)))</f>
        <v>1.5885623510722797E-3</v>
      </c>
      <c r="AB61" s="30" cm="1">
        <f t="array" ref="AB61">IF(Table21215[[#This Row],[4]]="","",Table21215[[#This Row],[Weight]:[Weight]]-(Table21215[[#This Row],[Weight]:[Weight]]*((_xlfn.XMATCH(Table21215[[#This Row],[4]],Table21215[[#This Row],[1]:[11]],0))-1)/(COUNTA(Table21215[[#This Row],[1]:[11]])-COUNTBLANK(Table21215[[#This Row],[1]:[11]])-1)))</f>
        <v>0</v>
      </c>
      <c r="AC61" s="30" t="str" cm="1">
        <f t="array" ref="AC61">IF(Table21215[[#This Row],[5]]="","",Table21215[[#This Row],[Weight]:[Weight]]-(Table21215[[#This Row],[Weight]:[Weight]]*((_xlfn.XMATCH(Table21215[[#This Row],[5]],Table21215[[#This Row],[1]:[11]],0))-1)/(COUNTA(Table21215[[#This Row],[1]:[11]])-COUNTBLANK(Table21215[[#This Row],[1]:[11]])-1)))</f>
        <v/>
      </c>
      <c r="AD61" s="30" t="str" cm="1">
        <f t="array" ref="AD61">IF(Table21215[[#This Row],[6]]="","",Table21215[[#This Row],[Weight]:[Weight]]-(Table21215[[#This Row],[Weight]:[Weight]]*((_xlfn.XMATCH(Table21215[[#This Row],[6]],Table21215[[#This Row],[1]:[11]],0))-1)/(COUNTA(Table21215[[#This Row],[1]:[11]])-COUNTBLANK(Table21215[[#This Row],[1]:[11]])-1)))</f>
        <v/>
      </c>
      <c r="AE61" s="30" t="str" cm="1">
        <f t="array" ref="AE61">IF(Table21215[[#This Row],[7]]="","",Table21215[[#This Row],[Weight]:[Weight]]-(Table21215[[#This Row],[Weight]:[Weight]]*((_xlfn.XMATCH(Table21215[[#This Row],[7]],Table21215[[#This Row],[1]:[11]],0))-1)/(COUNTA(Table21215[[#This Row],[1]:[11]])-COUNTBLANK(Table21215[[#This Row],[1]:[11]])-1)))</f>
        <v/>
      </c>
      <c r="AF61" s="30" t="str" cm="1">
        <f t="array" ref="AF61">IF(Table21215[[#This Row],[8]]="","",Table21215[[#This Row],[Weight]:[Weight]]-(Table21215[[#This Row],[Weight]:[Weight]]*((_xlfn.XMATCH(Table21215[[#This Row],[8]],Table21215[[#This Row],[1]:[11]],0))-1)/(COUNTA(Table21215[[#This Row],[1]:[11]])-COUNTBLANK(Table21215[[#This Row],[1]:[11]])-1)))</f>
        <v/>
      </c>
      <c r="AG61" s="30" t="str" cm="1">
        <f t="array" ref="AG61">IF(Table21215[[#This Row],[9]]="","",Table21215[[#This Row],[Weight]:[Weight]]-(Table21215[[#This Row],[Weight]:[Weight]]*((_xlfn.XMATCH(Table21215[[#This Row],[9]],Table21215[[#This Row],[1]:[11]],0))-1)/(COUNTA(Table21215[[#This Row],[1]:[11]])-COUNTBLANK(Table21215[[#This Row],[1]:[11]])-1)))</f>
        <v/>
      </c>
      <c r="AH61" s="30" t="str" cm="1">
        <f t="array" ref="AH61">IF(Table21215[[#This Row],[10]]="","",Table21215[[#This Row],[Weight]:[Weight]]-(Table21215[[#This Row],[Weight]:[Weight]]*((_xlfn.XMATCH(Table21215[[#This Row],[10]],Table21215[[#This Row],[1]:[11]],0))-1)/(COUNTA(Table21215[[#This Row],[1]:[11]])-COUNTBLANK(Table21215[[#This Row],[1]:[11]])-1)))</f>
        <v/>
      </c>
      <c r="AI61" s="30" t="str" cm="1">
        <f t="array" ref="AI61">IF(Table21215[[#This Row],[11]]="","",Table21215[[#This Row],[Weight]:[Weight]]-(Table21215[[#This Row],[Weight]:[Weight]]*((_xlfn.XMATCH(Table21215[[#This Row],[11]],Table21215[[#This Row],[1]:[11]],0))-1)/(COUNTA(Table21215[[#This Row],[1]:[11]])-COUNTBLANK(Table21215[[#This Row],[1]:[11]])-1)))</f>
        <v/>
      </c>
    </row>
    <row r="62" spans="1:35" ht="108" x14ac:dyDescent="0.2">
      <c r="A62" s="20">
        <v>50</v>
      </c>
      <c r="B62" s="165" t="s">
        <v>879</v>
      </c>
      <c r="C62" s="21" t="s">
        <v>826</v>
      </c>
      <c r="D62" s="38"/>
      <c r="E62" s="38"/>
      <c r="F62" s="159" t="s">
        <v>60</v>
      </c>
      <c r="G62" s="160" cm="1">
        <f t="array" ref="G62">_xlfn.IFS(F62="","",F62="No interest",0,F62="Nice to have",1,F62="Useful",2,F62="Important",3,F62="Very important",4,F62="Critical",5,F62="Show stopper",6)</f>
        <v>6</v>
      </c>
      <c r="H62" s="161">
        <f t="shared" si="2"/>
        <v>4.7656870532168391E-3</v>
      </c>
      <c r="I62" s="157" t="s">
        <v>827</v>
      </c>
      <c r="J62" s="35" t="str" cm="1">
        <f t="array" ref="J62">_xlfn.TEXTJOIN(","&amp;CHAR(10),,TEXT(Table21215[[#This Row],[12]:[22]],"0,00%"))</f>
        <v>0,00%,
0,00%,
0,00%,
0,00%</v>
      </c>
      <c r="K62" s="36"/>
      <c r="L62" s="37" t="e">
        <f>H62-(H62*((MATCH(Table21215[[#This Row],[Evaluators Response (SELECT)]],Table21215[[#This Row],[1]:[11]],0)-1)/(COUNTA(Table21215[[#This Row],[1]:[11]])-COUNTBLANK(Table21215[[#This Row],[1]:[11]])-1)))</f>
        <v>#N/A</v>
      </c>
      <c r="M62" s="38"/>
      <c r="N62" s="29" t="s">
        <v>828</v>
      </c>
      <c r="O62" s="29" t="s">
        <v>829</v>
      </c>
      <c r="P62" s="29" t="s">
        <v>830</v>
      </c>
      <c r="Q62" s="29" t="str" cm="1">
        <f t="array" ref="Q62">IFERROR(INDEX(_xlfn.UNIQUE(TRIM(_xlfn.TEXTSPLIT(Table21215[[#This Row],[Selection Options]:[Selection Options]],","))),,Q$11),"")</f>
        <v xml:space="preserve">
 0%: Not currently supported</v>
      </c>
      <c r="R62" s="29" t="str" cm="1">
        <f t="array" ref="R62">IFERROR(INDEX(_xlfn.UNIQUE(TRIM(_xlfn.TEXTSPLIT(Table21215[[#This Row],[Selection Options]:[Selection Options]],","))),,R$11),"")</f>
        <v/>
      </c>
      <c r="S62" s="29" t="str" cm="1">
        <f t="array" ref="S62">IFERROR(INDEX(_xlfn.UNIQUE(TRIM(_xlfn.TEXTSPLIT(Table21215[[#This Row],[Selection Options]:[Selection Options]],","))),,S$11),"")</f>
        <v/>
      </c>
      <c r="T62" s="29" t="str" cm="1">
        <f t="array" ref="T62">IFERROR(INDEX(_xlfn.UNIQUE(TRIM(_xlfn.TEXTSPLIT(Table21215[[#This Row],[Selection Options]:[Selection Options]],","))),,T$11),"")</f>
        <v/>
      </c>
      <c r="U62" s="29" t="str" cm="1">
        <f t="array" ref="U62">IFERROR(INDEX(_xlfn.UNIQUE(TRIM(_xlfn.TEXTSPLIT(Table21215[[#This Row],[Selection Options]:[Selection Options]],","))),,U$11),"")</f>
        <v/>
      </c>
      <c r="V62" s="29" t="str" cm="1">
        <f t="array" ref="V62">IFERROR(INDEX(_xlfn.UNIQUE(TRIM(_xlfn.TEXTSPLIT(Table21215[[#This Row],[Selection Options]:[Selection Options]],","))),,V$11),"")</f>
        <v/>
      </c>
      <c r="W62" s="29" t="str" cm="1">
        <f t="array" ref="W62">IFERROR(INDEX(_xlfn.UNIQUE(TRIM(_xlfn.TEXTSPLIT(Table21215[[#This Row],[Selection Options]:[Selection Options]],","))),,W$11),"")</f>
        <v/>
      </c>
      <c r="X62" s="29" t="str" cm="1">
        <f t="array" ref="X62">IFERROR(INDEX(_xlfn.UNIQUE(TRIM(_xlfn.TEXTSPLIT(Table21215[[#This Row],[Selection Options]:[Selection Options]],","))),,X$11),"")</f>
        <v/>
      </c>
      <c r="Y62" s="30" cm="1">
        <f t="array" ref="Y62">IF(Table21215[[#This Row],[1]]="","",Table21215[[#This Row],[Weight]:[Weight]]-(Table21215[[#This Row],[Weight]:[Weight]]*((_xlfn.XMATCH(Table21215[[#This Row],[1]],Table21215[[#This Row],[1]:[11]],0))-1)/(COUNTA(Table21215[[#This Row],[1]:[11]])-COUNTBLANK(Table21215[[#This Row],[1]:[11]])-1)))</f>
        <v>4.7656870532168391E-3</v>
      </c>
      <c r="Z62" s="30" cm="1">
        <f t="array" ref="Z62">IF(Table21215[[#This Row],[2]]="","",Table21215[[#This Row],[Weight]:[Weight]]-(Table21215[[#This Row],[Weight]:[Weight]]*((_xlfn.XMATCH(Table21215[[#This Row],[2]],Table21215[[#This Row],[1]:[11]],0))-1)/(COUNTA(Table21215[[#This Row],[1]:[11]])-COUNTBLANK(Table21215[[#This Row],[1]:[11]])-1)))</f>
        <v>3.1771247021445594E-3</v>
      </c>
      <c r="AA62" s="30" cm="1">
        <f t="array" ref="AA62">IF(Table21215[[#This Row],[3]]="","",Table21215[[#This Row],[Weight]:[Weight]]-(Table21215[[#This Row],[Weight]:[Weight]]*((_xlfn.XMATCH(Table21215[[#This Row],[3]],Table21215[[#This Row],[1]:[11]],0))-1)/(COUNTA(Table21215[[#This Row],[1]:[11]])-COUNTBLANK(Table21215[[#This Row],[1]:[11]])-1)))</f>
        <v>1.5885623510722797E-3</v>
      </c>
      <c r="AB62" s="30" cm="1">
        <f t="array" ref="AB62">IF(Table21215[[#This Row],[4]]="","",Table21215[[#This Row],[Weight]:[Weight]]-(Table21215[[#This Row],[Weight]:[Weight]]*((_xlfn.XMATCH(Table21215[[#This Row],[4]],Table21215[[#This Row],[1]:[11]],0))-1)/(COUNTA(Table21215[[#This Row],[1]:[11]])-COUNTBLANK(Table21215[[#This Row],[1]:[11]])-1)))</f>
        <v>0</v>
      </c>
      <c r="AC62" s="30" t="str" cm="1">
        <f t="array" ref="AC62">IF(Table21215[[#This Row],[5]]="","",Table21215[[#This Row],[Weight]:[Weight]]-(Table21215[[#This Row],[Weight]:[Weight]]*((_xlfn.XMATCH(Table21215[[#This Row],[5]],Table21215[[#This Row],[1]:[11]],0))-1)/(COUNTA(Table21215[[#This Row],[1]:[11]])-COUNTBLANK(Table21215[[#This Row],[1]:[11]])-1)))</f>
        <v/>
      </c>
      <c r="AD62" s="30" t="str" cm="1">
        <f t="array" ref="AD62">IF(Table21215[[#This Row],[6]]="","",Table21215[[#This Row],[Weight]:[Weight]]-(Table21215[[#This Row],[Weight]:[Weight]]*((_xlfn.XMATCH(Table21215[[#This Row],[6]],Table21215[[#This Row],[1]:[11]],0))-1)/(COUNTA(Table21215[[#This Row],[1]:[11]])-COUNTBLANK(Table21215[[#This Row],[1]:[11]])-1)))</f>
        <v/>
      </c>
      <c r="AE62" s="30" t="str" cm="1">
        <f t="array" ref="AE62">IF(Table21215[[#This Row],[7]]="","",Table21215[[#This Row],[Weight]:[Weight]]-(Table21215[[#This Row],[Weight]:[Weight]]*((_xlfn.XMATCH(Table21215[[#This Row],[7]],Table21215[[#This Row],[1]:[11]],0))-1)/(COUNTA(Table21215[[#This Row],[1]:[11]])-COUNTBLANK(Table21215[[#This Row],[1]:[11]])-1)))</f>
        <v/>
      </c>
      <c r="AF62" s="30" t="str" cm="1">
        <f t="array" ref="AF62">IF(Table21215[[#This Row],[8]]="","",Table21215[[#This Row],[Weight]:[Weight]]-(Table21215[[#This Row],[Weight]:[Weight]]*((_xlfn.XMATCH(Table21215[[#This Row],[8]],Table21215[[#This Row],[1]:[11]],0))-1)/(COUNTA(Table21215[[#This Row],[1]:[11]])-COUNTBLANK(Table21215[[#This Row],[1]:[11]])-1)))</f>
        <v/>
      </c>
      <c r="AG62" s="30" t="str" cm="1">
        <f t="array" ref="AG62">IF(Table21215[[#This Row],[9]]="","",Table21215[[#This Row],[Weight]:[Weight]]-(Table21215[[#This Row],[Weight]:[Weight]]*((_xlfn.XMATCH(Table21215[[#This Row],[9]],Table21215[[#This Row],[1]:[11]],0))-1)/(COUNTA(Table21215[[#This Row],[1]:[11]])-COUNTBLANK(Table21215[[#This Row],[1]:[11]])-1)))</f>
        <v/>
      </c>
      <c r="AH62" s="30" t="str" cm="1">
        <f t="array" ref="AH62">IF(Table21215[[#This Row],[10]]="","",Table21215[[#This Row],[Weight]:[Weight]]-(Table21215[[#This Row],[Weight]:[Weight]]*((_xlfn.XMATCH(Table21215[[#This Row],[10]],Table21215[[#This Row],[1]:[11]],0))-1)/(COUNTA(Table21215[[#This Row],[1]:[11]])-COUNTBLANK(Table21215[[#This Row],[1]:[11]])-1)))</f>
        <v/>
      </c>
      <c r="AI62" s="30" t="str" cm="1">
        <f t="array" ref="AI62">IF(Table21215[[#This Row],[11]]="","",Table21215[[#This Row],[Weight]:[Weight]]-(Table21215[[#This Row],[Weight]:[Weight]]*((_xlfn.XMATCH(Table21215[[#This Row],[11]],Table21215[[#This Row],[1]:[11]],0))-1)/(COUNTA(Table21215[[#This Row],[1]:[11]])-COUNTBLANK(Table21215[[#This Row],[1]:[11]])-1)))</f>
        <v/>
      </c>
    </row>
    <row r="63" spans="1:35" ht="108" x14ac:dyDescent="0.2">
      <c r="A63" s="20">
        <v>51</v>
      </c>
      <c r="B63" s="165" t="s">
        <v>880</v>
      </c>
      <c r="C63" s="21" t="s">
        <v>826</v>
      </c>
      <c r="D63" s="38"/>
      <c r="E63" s="38"/>
      <c r="F63" s="159" t="s">
        <v>60</v>
      </c>
      <c r="G63" s="160" cm="1">
        <f t="array" ref="G63">_xlfn.IFS(F63="","",F63="No interest",0,F63="Nice to have",1,F63="Useful",2,F63="Important",3,F63="Very important",4,F63="Critical",5,F63="Show stopper",6)</f>
        <v>6</v>
      </c>
      <c r="H63" s="161">
        <f t="shared" si="2"/>
        <v>4.7656870532168391E-3</v>
      </c>
      <c r="I63" s="157" t="s">
        <v>827</v>
      </c>
      <c r="J63" s="35" t="str" cm="1">
        <f t="array" ref="J63">_xlfn.TEXTJOIN(","&amp;CHAR(10),,TEXT(Table21215[[#This Row],[12]:[22]],"0,00%"))</f>
        <v>0,00%,
0,00%,
0,00%,
0,00%</v>
      </c>
      <c r="K63" s="36"/>
      <c r="L63" s="37" t="e">
        <f>H63-(H63*((MATCH(Table21215[[#This Row],[Evaluators Response (SELECT)]],Table21215[[#This Row],[1]:[11]],0)-1)/(COUNTA(Table21215[[#This Row],[1]:[11]])-COUNTBLANK(Table21215[[#This Row],[1]:[11]])-1)))</f>
        <v>#N/A</v>
      </c>
      <c r="M63" s="38"/>
      <c r="N63" s="29" t="s">
        <v>828</v>
      </c>
      <c r="O63" s="29" t="s">
        <v>829</v>
      </c>
      <c r="P63" s="29" t="s">
        <v>830</v>
      </c>
      <c r="Q63" s="29" t="str" cm="1">
        <f t="array" ref="Q63">IFERROR(INDEX(_xlfn.UNIQUE(TRIM(_xlfn.TEXTSPLIT(Table21215[[#This Row],[Selection Options]:[Selection Options]],","))),,Q$11),"")</f>
        <v xml:space="preserve">
 0%: Not currently supported</v>
      </c>
      <c r="R63" s="29" t="str" cm="1">
        <f t="array" ref="R63">IFERROR(INDEX(_xlfn.UNIQUE(TRIM(_xlfn.TEXTSPLIT(Table21215[[#This Row],[Selection Options]:[Selection Options]],","))),,R$11),"")</f>
        <v/>
      </c>
      <c r="S63" s="29" t="str" cm="1">
        <f t="array" ref="S63">IFERROR(INDEX(_xlfn.UNIQUE(TRIM(_xlfn.TEXTSPLIT(Table21215[[#This Row],[Selection Options]:[Selection Options]],","))),,S$11),"")</f>
        <v/>
      </c>
      <c r="T63" s="29" t="str" cm="1">
        <f t="array" ref="T63">IFERROR(INDEX(_xlfn.UNIQUE(TRIM(_xlfn.TEXTSPLIT(Table21215[[#This Row],[Selection Options]:[Selection Options]],","))),,T$11),"")</f>
        <v/>
      </c>
      <c r="U63" s="29" t="str" cm="1">
        <f t="array" ref="U63">IFERROR(INDEX(_xlfn.UNIQUE(TRIM(_xlfn.TEXTSPLIT(Table21215[[#This Row],[Selection Options]:[Selection Options]],","))),,U$11),"")</f>
        <v/>
      </c>
      <c r="V63" s="29" t="str" cm="1">
        <f t="array" ref="V63">IFERROR(INDEX(_xlfn.UNIQUE(TRIM(_xlfn.TEXTSPLIT(Table21215[[#This Row],[Selection Options]:[Selection Options]],","))),,V$11),"")</f>
        <v/>
      </c>
      <c r="W63" s="29" t="str" cm="1">
        <f t="array" ref="W63">IFERROR(INDEX(_xlfn.UNIQUE(TRIM(_xlfn.TEXTSPLIT(Table21215[[#This Row],[Selection Options]:[Selection Options]],","))),,W$11),"")</f>
        <v/>
      </c>
      <c r="X63" s="29" t="str" cm="1">
        <f t="array" ref="X63">IFERROR(INDEX(_xlfn.UNIQUE(TRIM(_xlfn.TEXTSPLIT(Table21215[[#This Row],[Selection Options]:[Selection Options]],","))),,X$11),"")</f>
        <v/>
      </c>
      <c r="Y63" s="30" cm="1">
        <f t="array" ref="Y63">IF(Table21215[[#This Row],[1]]="","",Table21215[[#This Row],[Weight]:[Weight]]-(Table21215[[#This Row],[Weight]:[Weight]]*((_xlfn.XMATCH(Table21215[[#This Row],[1]],Table21215[[#This Row],[1]:[11]],0))-1)/(COUNTA(Table21215[[#This Row],[1]:[11]])-COUNTBLANK(Table21215[[#This Row],[1]:[11]])-1)))</f>
        <v>4.7656870532168391E-3</v>
      </c>
      <c r="Z63" s="30" cm="1">
        <f t="array" ref="Z63">IF(Table21215[[#This Row],[2]]="","",Table21215[[#This Row],[Weight]:[Weight]]-(Table21215[[#This Row],[Weight]:[Weight]]*((_xlfn.XMATCH(Table21215[[#This Row],[2]],Table21215[[#This Row],[1]:[11]],0))-1)/(COUNTA(Table21215[[#This Row],[1]:[11]])-COUNTBLANK(Table21215[[#This Row],[1]:[11]])-1)))</f>
        <v>3.1771247021445594E-3</v>
      </c>
      <c r="AA63" s="30" cm="1">
        <f t="array" ref="AA63">IF(Table21215[[#This Row],[3]]="","",Table21215[[#This Row],[Weight]:[Weight]]-(Table21215[[#This Row],[Weight]:[Weight]]*((_xlfn.XMATCH(Table21215[[#This Row],[3]],Table21215[[#This Row],[1]:[11]],0))-1)/(COUNTA(Table21215[[#This Row],[1]:[11]])-COUNTBLANK(Table21215[[#This Row],[1]:[11]])-1)))</f>
        <v>1.5885623510722797E-3</v>
      </c>
      <c r="AB63" s="30" cm="1">
        <f t="array" ref="AB63">IF(Table21215[[#This Row],[4]]="","",Table21215[[#This Row],[Weight]:[Weight]]-(Table21215[[#This Row],[Weight]:[Weight]]*((_xlfn.XMATCH(Table21215[[#This Row],[4]],Table21215[[#This Row],[1]:[11]],0))-1)/(COUNTA(Table21215[[#This Row],[1]:[11]])-COUNTBLANK(Table21215[[#This Row],[1]:[11]])-1)))</f>
        <v>0</v>
      </c>
      <c r="AC63" s="30" t="str" cm="1">
        <f t="array" ref="AC63">IF(Table21215[[#This Row],[5]]="","",Table21215[[#This Row],[Weight]:[Weight]]-(Table21215[[#This Row],[Weight]:[Weight]]*((_xlfn.XMATCH(Table21215[[#This Row],[5]],Table21215[[#This Row],[1]:[11]],0))-1)/(COUNTA(Table21215[[#This Row],[1]:[11]])-COUNTBLANK(Table21215[[#This Row],[1]:[11]])-1)))</f>
        <v/>
      </c>
      <c r="AD63" s="30" t="str" cm="1">
        <f t="array" ref="AD63">IF(Table21215[[#This Row],[6]]="","",Table21215[[#This Row],[Weight]:[Weight]]-(Table21215[[#This Row],[Weight]:[Weight]]*((_xlfn.XMATCH(Table21215[[#This Row],[6]],Table21215[[#This Row],[1]:[11]],0))-1)/(COUNTA(Table21215[[#This Row],[1]:[11]])-COUNTBLANK(Table21215[[#This Row],[1]:[11]])-1)))</f>
        <v/>
      </c>
      <c r="AE63" s="30" t="str" cm="1">
        <f t="array" ref="AE63">IF(Table21215[[#This Row],[7]]="","",Table21215[[#This Row],[Weight]:[Weight]]-(Table21215[[#This Row],[Weight]:[Weight]]*((_xlfn.XMATCH(Table21215[[#This Row],[7]],Table21215[[#This Row],[1]:[11]],0))-1)/(COUNTA(Table21215[[#This Row],[1]:[11]])-COUNTBLANK(Table21215[[#This Row],[1]:[11]])-1)))</f>
        <v/>
      </c>
      <c r="AF63" s="30" t="str" cm="1">
        <f t="array" ref="AF63">IF(Table21215[[#This Row],[8]]="","",Table21215[[#This Row],[Weight]:[Weight]]-(Table21215[[#This Row],[Weight]:[Weight]]*((_xlfn.XMATCH(Table21215[[#This Row],[8]],Table21215[[#This Row],[1]:[11]],0))-1)/(COUNTA(Table21215[[#This Row],[1]:[11]])-COUNTBLANK(Table21215[[#This Row],[1]:[11]])-1)))</f>
        <v/>
      </c>
      <c r="AG63" s="30" t="str" cm="1">
        <f t="array" ref="AG63">IF(Table21215[[#This Row],[9]]="","",Table21215[[#This Row],[Weight]:[Weight]]-(Table21215[[#This Row],[Weight]:[Weight]]*((_xlfn.XMATCH(Table21215[[#This Row],[9]],Table21215[[#This Row],[1]:[11]],0))-1)/(COUNTA(Table21215[[#This Row],[1]:[11]])-COUNTBLANK(Table21215[[#This Row],[1]:[11]])-1)))</f>
        <v/>
      </c>
      <c r="AH63" s="30" t="str" cm="1">
        <f t="array" ref="AH63">IF(Table21215[[#This Row],[10]]="","",Table21215[[#This Row],[Weight]:[Weight]]-(Table21215[[#This Row],[Weight]:[Weight]]*((_xlfn.XMATCH(Table21215[[#This Row],[10]],Table21215[[#This Row],[1]:[11]],0))-1)/(COUNTA(Table21215[[#This Row],[1]:[11]])-COUNTBLANK(Table21215[[#This Row],[1]:[11]])-1)))</f>
        <v/>
      </c>
      <c r="AI63" s="30" t="str" cm="1">
        <f t="array" ref="AI63">IF(Table21215[[#This Row],[11]]="","",Table21215[[#This Row],[Weight]:[Weight]]-(Table21215[[#This Row],[Weight]:[Weight]]*((_xlfn.XMATCH(Table21215[[#This Row],[11]],Table21215[[#This Row],[1]:[11]],0))-1)/(COUNTA(Table21215[[#This Row],[1]:[11]])-COUNTBLANK(Table21215[[#This Row],[1]:[11]])-1)))</f>
        <v/>
      </c>
    </row>
    <row r="64" spans="1:35" ht="108" x14ac:dyDescent="0.2">
      <c r="A64" s="20">
        <v>52</v>
      </c>
      <c r="B64" s="165" t="s">
        <v>881</v>
      </c>
      <c r="C64" s="21" t="s">
        <v>826</v>
      </c>
      <c r="D64" s="38"/>
      <c r="E64" s="38"/>
      <c r="F64" s="159" t="s">
        <v>60</v>
      </c>
      <c r="G64" s="160" cm="1">
        <f t="array" ref="G64">_xlfn.IFS(F64="","",F64="No interest",0,F64="Nice to have",1,F64="Useful",2,F64="Important",3,F64="Very important",4,F64="Critical",5,F64="Show stopper",6)</f>
        <v>6</v>
      </c>
      <c r="H64" s="161">
        <f t="shared" si="2"/>
        <v>4.7656870532168391E-3</v>
      </c>
      <c r="I64" s="157" t="s">
        <v>827</v>
      </c>
      <c r="J64" s="35" t="str" cm="1">
        <f t="array" ref="J64">_xlfn.TEXTJOIN(","&amp;CHAR(10),,TEXT(Table21215[[#This Row],[12]:[22]],"0,00%"))</f>
        <v>0,00%,
0,00%,
0,00%,
0,00%</v>
      </c>
      <c r="K64" s="36"/>
      <c r="L64" s="37" t="e">
        <f>H64-(H64*((MATCH(Table21215[[#This Row],[Evaluators Response (SELECT)]],Table21215[[#This Row],[1]:[11]],0)-1)/(COUNTA(Table21215[[#This Row],[1]:[11]])-COUNTBLANK(Table21215[[#This Row],[1]:[11]])-1)))</f>
        <v>#N/A</v>
      </c>
      <c r="M64" s="38"/>
      <c r="N64" s="29" t="s">
        <v>828</v>
      </c>
      <c r="O64" s="29" t="s">
        <v>829</v>
      </c>
      <c r="P64" s="29" t="s">
        <v>830</v>
      </c>
      <c r="Q64" s="29" t="str" cm="1">
        <f t="array" ref="Q64">IFERROR(INDEX(_xlfn.UNIQUE(TRIM(_xlfn.TEXTSPLIT(Table21215[[#This Row],[Selection Options]:[Selection Options]],","))),,Q$11),"")</f>
        <v xml:space="preserve">
 0%: Not currently supported</v>
      </c>
      <c r="R64" s="29" t="str" cm="1">
        <f t="array" ref="R64">IFERROR(INDEX(_xlfn.UNIQUE(TRIM(_xlfn.TEXTSPLIT(Table21215[[#This Row],[Selection Options]:[Selection Options]],","))),,R$11),"")</f>
        <v/>
      </c>
      <c r="S64" s="29" t="str" cm="1">
        <f t="array" ref="S64">IFERROR(INDEX(_xlfn.UNIQUE(TRIM(_xlfn.TEXTSPLIT(Table21215[[#This Row],[Selection Options]:[Selection Options]],","))),,S$11),"")</f>
        <v/>
      </c>
      <c r="T64" s="29" t="str" cm="1">
        <f t="array" ref="T64">IFERROR(INDEX(_xlfn.UNIQUE(TRIM(_xlfn.TEXTSPLIT(Table21215[[#This Row],[Selection Options]:[Selection Options]],","))),,T$11),"")</f>
        <v/>
      </c>
      <c r="U64" s="29" t="str" cm="1">
        <f t="array" ref="U64">IFERROR(INDEX(_xlfn.UNIQUE(TRIM(_xlfn.TEXTSPLIT(Table21215[[#This Row],[Selection Options]:[Selection Options]],","))),,U$11),"")</f>
        <v/>
      </c>
      <c r="V64" s="29" t="str" cm="1">
        <f t="array" ref="V64">IFERROR(INDEX(_xlfn.UNIQUE(TRIM(_xlfn.TEXTSPLIT(Table21215[[#This Row],[Selection Options]:[Selection Options]],","))),,V$11),"")</f>
        <v/>
      </c>
      <c r="W64" s="29" t="str" cm="1">
        <f t="array" ref="W64">IFERROR(INDEX(_xlfn.UNIQUE(TRIM(_xlfn.TEXTSPLIT(Table21215[[#This Row],[Selection Options]:[Selection Options]],","))),,W$11),"")</f>
        <v/>
      </c>
      <c r="X64" s="29" t="str" cm="1">
        <f t="array" ref="X64">IFERROR(INDEX(_xlfn.UNIQUE(TRIM(_xlfn.TEXTSPLIT(Table21215[[#This Row],[Selection Options]:[Selection Options]],","))),,X$11),"")</f>
        <v/>
      </c>
      <c r="Y64" s="30" cm="1">
        <f t="array" ref="Y64">IF(Table21215[[#This Row],[1]]="","",Table21215[[#This Row],[Weight]:[Weight]]-(Table21215[[#This Row],[Weight]:[Weight]]*((_xlfn.XMATCH(Table21215[[#This Row],[1]],Table21215[[#This Row],[1]:[11]],0))-1)/(COUNTA(Table21215[[#This Row],[1]:[11]])-COUNTBLANK(Table21215[[#This Row],[1]:[11]])-1)))</f>
        <v>4.7656870532168391E-3</v>
      </c>
      <c r="Z64" s="30" cm="1">
        <f t="array" ref="Z64">IF(Table21215[[#This Row],[2]]="","",Table21215[[#This Row],[Weight]:[Weight]]-(Table21215[[#This Row],[Weight]:[Weight]]*((_xlfn.XMATCH(Table21215[[#This Row],[2]],Table21215[[#This Row],[1]:[11]],0))-1)/(COUNTA(Table21215[[#This Row],[1]:[11]])-COUNTBLANK(Table21215[[#This Row],[1]:[11]])-1)))</f>
        <v>3.1771247021445594E-3</v>
      </c>
      <c r="AA64" s="30" cm="1">
        <f t="array" ref="AA64">IF(Table21215[[#This Row],[3]]="","",Table21215[[#This Row],[Weight]:[Weight]]-(Table21215[[#This Row],[Weight]:[Weight]]*((_xlfn.XMATCH(Table21215[[#This Row],[3]],Table21215[[#This Row],[1]:[11]],0))-1)/(COUNTA(Table21215[[#This Row],[1]:[11]])-COUNTBLANK(Table21215[[#This Row],[1]:[11]])-1)))</f>
        <v>1.5885623510722797E-3</v>
      </c>
      <c r="AB64" s="30" cm="1">
        <f t="array" ref="AB64">IF(Table21215[[#This Row],[4]]="","",Table21215[[#This Row],[Weight]:[Weight]]-(Table21215[[#This Row],[Weight]:[Weight]]*((_xlfn.XMATCH(Table21215[[#This Row],[4]],Table21215[[#This Row],[1]:[11]],0))-1)/(COUNTA(Table21215[[#This Row],[1]:[11]])-COUNTBLANK(Table21215[[#This Row],[1]:[11]])-1)))</f>
        <v>0</v>
      </c>
      <c r="AC64" s="30" t="str" cm="1">
        <f t="array" ref="AC64">IF(Table21215[[#This Row],[5]]="","",Table21215[[#This Row],[Weight]:[Weight]]-(Table21215[[#This Row],[Weight]:[Weight]]*((_xlfn.XMATCH(Table21215[[#This Row],[5]],Table21215[[#This Row],[1]:[11]],0))-1)/(COUNTA(Table21215[[#This Row],[1]:[11]])-COUNTBLANK(Table21215[[#This Row],[1]:[11]])-1)))</f>
        <v/>
      </c>
      <c r="AD64" s="30" t="str" cm="1">
        <f t="array" ref="AD64">IF(Table21215[[#This Row],[6]]="","",Table21215[[#This Row],[Weight]:[Weight]]-(Table21215[[#This Row],[Weight]:[Weight]]*((_xlfn.XMATCH(Table21215[[#This Row],[6]],Table21215[[#This Row],[1]:[11]],0))-1)/(COUNTA(Table21215[[#This Row],[1]:[11]])-COUNTBLANK(Table21215[[#This Row],[1]:[11]])-1)))</f>
        <v/>
      </c>
      <c r="AE64" s="30" t="str" cm="1">
        <f t="array" ref="AE64">IF(Table21215[[#This Row],[7]]="","",Table21215[[#This Row],[Weight]:[Weight]]-(Table21215[[#This Row],[Weight]:[Weight]]*((_xlfn.XMATCH(Table21215[[#This Row],[7]],Table21215[[#This Row],[1]:[11]],0))-1)/(COUNTA(Table21215[[#This Row],[1]:[11]])-COUNTBLANK(Table21215[[#This Row],[1]:[11]])-1)))</f>
        <v/>
      </c>
      <c r="AF64" s="30" t="str" cm="1">
        <f t="array" ref="AF64">IF(Table21215[[#This Row],[8]]="","",Table21215[[#This Row],[Weight]:[Weight]]-(Table21215[[#This Row],[Weight]:[Weight]]*((_xlfn.XMATCH(Table21215[[#This Row],[8]],Table21215[[#This Row],[1]:[11]],0))-1)/(COUNTA(Table21215[[#This Row],[1]:[11]])-COUNTBLANK(Table21215[[#This Row],[1]:[11]])-1)))</f>
        <v/>
      </c>
      <c r="AG64" s="30" t="str" cm="1">
        <f t="array" ref="AG64">IF(Table21215[[#This Row],[9]]="","",Table21215[[#This Row],[Weight]:[Weight]]-(Table21215[[#This Row],[Weight]:[Weight]]*((_xlfn.XMATCH(Table21215[[#This Row],[9]],Table21215[[#This Row],[1]:[11]],0))-1)/(COUNTA(Table21215[[#This Row],[1]:[11]])-COUNTBLANK(Table21215[[#This Row],[1]:[11]])-1)))</f>
        <v/>
      </c>
      <c r="AH64" s="30" t="str" cm="1">
        <f t="array" ref="AH64">IF(Table21215[[#This Row],[10]]="","",Table21215[[#This Row],[Weight]:[Weight]]-(Table21215[[#This Row],[Weight]:[Weight]]*((_xlfn.XMATCH(Table21215[[#This Row],[10]],Table21215[[#This Row],[1]:[11]],0))-1)/(COUNTA(Table21215[[#This Row],[1]:[11]])-COUNTBLANK(Table21215[[#This Row],[1]:[11]])-1)))</f>
        <v/>
      </c>
      <c r="AI64" s="30" t="str" cm="1">
        <f t="array" ref="AI64">IF(Table21215[[#This Row],[11]]="","",Table21215[[#This Row],[Weight]:[Weight]]-(Table21215[[#This Row],[Weight]:[Weight]]*((_xlfn.XMATCH(Table21215[[#This Row],[11]],Table21215[[#This Row],[1]:[11]],0))-1)/(COUNTA(Table21215[[#This Row],[1]:[11]])-COUNTBLANK(Table21215[[#This Row],[1]:[11]])-1)))</f>
        <v/>
      </c>
    </row>
    <row r="65" spans="1:35" ht="108" x14ac:dyDescent="0.2">
      <c r="A65" s="20">
        <v>53</v>
      </c>
      <c r="B65" s="165" t="s">
        <v>882</v>
      </c>
      <c r="C65" s="21" t="s">
        <v>826</v>
      </c>
      <c r="D65" s="38"/>
      <c r="E65" s="38"/>
      <c r="F65" s="159" t="s">
        <v>60</v>
      </c>
      <c r="G65" s="160" cm="1">
        <f t="array" ref="G65">_xlfn.IFS(F65="","",F65="No interest",0,F65="Nice to have",1,F65="Useful",2,F65="Important",3,F65="Very important",4,F65="Critical",5,F65="Show stopper",6)</f>
        <v>6</v>
      </c>
      <c r="H65" s="161">
        <f t="shared" si="2"/>
        <v>4.7656870532168391E-3</v>
      </c>
      <c r="I65" s="157" t="s">
        <v>827</v>
      </c>
      <c r="J65" s="35" t="str" cm="1">
        <f t="array" ref="J65">_xlfn.TEXTJOIN(","&amp;CHAR(10),,TEXT(Table21215[[#This Row],[12]:[22]],"0,00%"))</f>
        <v>0,00%,
0,00%,
0,00%,
0,00%</v>
      </c>
      <c r="K65" s="36"/>
      <c r="L65" s="37" t="e">
        <f>H65-(H65*((MATCH(Table21215[[#This Row],[Evaluators Response (SELECT)]],Table21215[[#This Row],[1]:[11]],0)-1)/(COUNTA(Table21215[[#This Row],[1]:[11]])-COUNTBLANK(Table21215[[#This Row],[1]:[11]])-1)))</f>
        <v>#N/A</v>
      </c>
      <c r="M65" s="38"/>
      <c r="N65" s="29" t="s">
        <v>828</v>
      </c>
      <c r="O65" s="29" t="s">
        <v>829</v>
      </c>
      <c r="P65" s="29" t="s">
        <v>830</v>
      </c>
      <c r="Q65" s="29" t="str" cm="1">
        <f t="array" ref="Q65">IFERROR(INDEX(_xlfn.UNIQUE(TRIM(_xlfn.TEXTSPLIT(Table21215[[#This Row],[Selection Options]:[Selection Options]],","))),,Q$11),"")</f>
        <v xml:space="preserve">
 0%: Not currently supported</v>
      </c>
      <c r="R65" s="29" t="str" cm="1">
        <f t="array" ref="R65">IFERROR(INDEX(_xlfn.UNIQUE(TRIM(_xlfn.TEXTSPLIT(Table21215[[#This Row],[Selection Options]:[Selection Options]],","))),,R$11),"")</f>
        <v/>
      </c>
      <c r="S65" s="29" t="str" cm="1">
        <f t="array" ref="S65">IFERROR(INDEX(_xlfn.UNIQUE(TRIM(_xlfn.TEXTSPLIT(Table21215[[#This Row],[Selection Options]:[Selection Options]],","))),,S$11),"")</f>
        <v/>
      </c>
      <c r="T65" s="29" t="str" cm="1">
        <f t="array" ref="T65">IFERROR(INDEX(_xlfn.UNIQUE(TRIM(_xlfn.TEXTSPLIT(Table21215[[#This Row],[Selection Options]:[Selection Options]],","))),,T$11),"")</f>
        <v/>
      </c>
      <c r="U65" s="29" t="str" cm="1">
        <f t="array" ref="U65">IFERROR(INDEX(_xlfn.UNIQUE(TRIM(_xlfn.TEXTSPLIT(Table21215[[#This Row],[Selection Options]:[Selection Options]],","))),,U$11),"")</f>
        <v/>
      </c>
      <c r="V65" s="29" t="str" cm="1">
        <f t="array" ref="V65">IFERROR(INDEX(_xlfn.UNIQUE(TRIM(_xlfn.TEXTSPLIT(Table21215[[#This Row],[Selection Options]:[Selection Options]],","))),,V$11),"")</f>
        <v/>
      </c>
      <c r="W65" s="29" t="str" cm="1">
        <f t="array" ref="W65">IFERROR(INDEX(_xlfn.UNIQUE(TRIM(_xlfn.TEXTSPLIT(Table21215[[#This Row],[Selection Options]:[Selection Options]],","))),,W$11),"")</f>
        <v/>
      </c>
      <c r="X65" s="29" t="str" cm="1">
        <f t="array" ref="X65">IFERROR(INDEX(_xlfn.UNIQUE(TRIM(_xlfn.TEXTSPLIT(Table21215[[#This Row],[Selection Options]:[Selection Options]],","))),,X$11),"")</f>
        <v/>
      </c>
      <c r="Y65" s="30" cm="1">
        <f t="array" ref="Y65">IF(Table21215[[#This Row],[1]]="","",Table21215[[#This Row],[Weight]:[Weight]]-(Table21215[[#This Row],[Weight]:[Weight]]*((_xlfn.XMATCH(Table21215[[#This Row],[1]],Table21215[[#This Row],[1]:[11]],0))-1)/(COUNTA(Table21215[[#This Row],[1]:[11]])-COUNTBLANK(Table21215[[#This Row],[1]:[11]])-1)))</f>
        <v>4.7656870532168391E-3</v>
      </c>
      <c r="Z65" s="30" cm="1">
        <f t="array" ref="Z65">IF(Table21215[[#This Row],[2]]="","",Table21215[[#This Row],[Weight]:[Weight]]-(Table21215[[#This Row],[Weight]:[Weight]]*((_xlfn.XMATCH(Table21215[[#This Row],[2]],Table21215[[#This Row],[1]:[11]],0))-1)/(COUNTA(Table21215[[#This Row],[1]:[11]])-COUNTBLANK(Table21215[[#This Row],[1]:[11]])-1)))</f>
        <v>3.1771247021445594E-3</v>
      </c>
      <c r="AA65" s="30" cm="1">
        <f t="array" ref="AA65">IF(Table21215[[#This Row],[3]]="","",Table21215[[#This Row],[Weight]:[Weight]]-(Table21215[[#This Row],[Weight]:[Weight]]*((_xlfn.XMATCH(Table21215[[#This Row],[3]],Table21215[[#This Row],[1]:[11]],0))-1)/(COUNTA(Table21215[[#This Row],[1]:[11]])-COUNTBLANK(Table21215[[#This Row],[1]:[11]])-1)))</f>
        <v>1.5885623510722797E-3</v>
      </c>
      <c r="AB65" s="30" cm="1">
        <f t="array" ref="AB65">IF(Table21215[[#This Row],[4]]="","",Table21215[[#This Row],[Weight]:[Weight]]-(Table21215[[#This Row],[Weight]:[Weight]]*((_xlfn.XMATCH(Table21215[[#This Row],[4]],Table21215[[#This Row],[1]:[11]],0))-1)/(COUNTA(Table21215[[#This Row],[1]:[11]])-COUNTBLANK(Table21215[[#This Row],[1]:[11]])-1)))</f>
        <v>0</v>
      </c>
      <c r="AC65" s="30" t="str" cm="1">
        <f t="array" ref="AC65">IF(Table21215[[#This Row],[5]]="","",Table21215[[#This Row],[Weight]:[Weight]]-(Table21215[[#This Row],[Weight]:[Weight]]*((_xlfn.XMATCH(Table21215[[#This Row],[5]],Table21215[[#This Row],[1]:[11]],0))-1)/(COUNTA(Table21215[[#This Row],[1]:[11]])-COUNTBLANK(Table21215[[#This Row],[1]:[11]])-1)))</f>
        <v/>
      </c>
      <c r="AD65" s="30" t="str" cm="1">
        <f t="array" ref="AD65">IF(Table21215[[#This Row],[6]]="","",Table21215[[#This Row],[Weight]:[Weight]]-(Table21215[[#This Row],[Weight]:[Weight]]*((_xlfn.XMATCH(Table21215[[#This Row],[6]],Table21215[[#This Row],[1]:[11]],0))-1)/(COUNTA(Table21215[[#This Row],[1]:[11]])-COUNTBLANK(Table21215[[#This Row],[1]:[11]])-1)))</f>
        <v/>
      </c>
      <c r="AE65" s="30" t="str" cm="1">
        <f t="array" ref="AE65">IF(Table21215[[#This Row],[7]]="","",Table21215[[#This Row],[Weight]:[Weight]]-(Table21215[[#This Row],[Weight]:[Weight]]*((_xlfn.XMATCH(Table21215[[#This Row],[7]],Table21215[[#This Row],[1]:[11]],0))-1)/(COUNTA(Table21215[[#This Row],[1]:[11]])-COUNTBLANK(Table21215[[#This Row],[1]:[11]])-1)))</f>
        <v/>
      </c>
      <c r="AF65" s="30" t="str" cm="1">
        <f t="array" ref="AF65">IF(Table21215[[#This Row],[8]]="","",Table21215[[#This Row],[Weight]:[Weight]]-(Table21215[[#This Row],[Weight]:[Weight]]*((_xlfn.XMATCH(Table21215[[#This Row],[8]],Table21215[[#This Row],[1]:[11]],0))-1)/(COUNTA(Table21215[[#This Row],[1]:[11]])-COUNTBLANK(Table21215[[#This Row],[1]:[11]])-1)))</f>
        <v/>
      </c>
      <c r="AG65" s="30" t="str" cm="1">
        <f t="array" ref="AG65">IF(Table21215[[#This Row],[9]]="","",Table21215[[#This Row],[Weight]:[Weight]]-(Table21215[[#This Row],[Weight]:[Weight]]*((_xlfn.XMATCH(Table21215[[#This Row],[9]],Table21215[[#This Row],[1]:[11]],0))-1)/(COUNTA(Table21215[[#This Row],[1]:[11]])-COUNTBLANK(Table21215[[#This Row],[1]:[11]])-1)))</f>
        <v/>
      </c>
      <c r="AH65" s="30" t="str" cm="1">
        <f t="array" ref="AH65">IF(Table21215[[#This Row],[10]]="","",Table21215[[#This Row],[Weight]:[Weight]]-(Table21215[[#This Row],[Weight]:[Weight]]*((_xlfn.XMATCH(Table21215[[#This Row],[10]],Table21215[[#This Row],[1]:[11]],0))-1)/(COUNTA(Table21215[[#This Row],[1]:[11]])-COUNTBLANK(Table21215[[#This Row],[1]:[11]])-1)))</f>
        <v/>
      </c>
      <c r="AI65" s="30" t="str" cm="1">
        <f t="array" ref="AI65">IF(Table21215[[#This Row],[11]]="","",Table21215[[#This Row],[Weight]:[Weight]]-(Table21215[[#This Row],[Weight]:[Weight]]*((_xlfn.XMATCH(Table21215[[#This Row],[11]],Table21215[[#This Row],[1]:[11]],0))-1)/(COUNTA(Table21215[[#This Row],[1]:[11]])-COUNTBLANK(Table21215[[#This Row],[1]:[11]])-1)))</f>
        <v/>
      </c>
    </row>
    <row r="66" spans="1:35" ht="108" x14ac:dyDescent="0.2">
      <c r="A66" s="20">
        <v>54</v>
      </c>
      <c r="B66" s="165" t="s">
        <v>883</v>
      </c>
      <c r="C66" s="21" t="s">
        <v>826</v>
      </c>
      <c r="D66" s="38"/>
      <c r="E66" s="38"/>
      <c r="F66" s="159" t="s">
        <v>60</v>
      </c>
      <c r="G66" s="160" cm="1">
        <f t="array" ref="G66">_xlfn.IFS(F66="","",F66="No interest",0,F66="Nice to have",1,F66="Useful",2,F66="Important",3,F66="Very important",4,F66="Critical",5,F66="Show stopper",6)</f>
        <v>6</v>
      </c>
      <c r="H66" s="161">
        <f t="shared" si="2"/>
        <v>4.7656870532168391E-3</v>
      </c>
      <c r="I66" s="157" t="s">
        <v>827</v>
      </c>
      <c r="J66" s="35" t="str" cm="1">
        <f t="array" ref="J66">_xlfn.TEXTJOIN(","&amp;CHAR(10),,TEXT(Table21215[[#This Row],[12]:[22]],"0,00%"))</f>
        <v>0,00%,
0,00%,
0,00%,
0,00%</v>
      </c>
      <c r="K66" s="36"/>
      <c r="L66" s="37" t="e">
        <f>H66-(H66*((MATCH(Table21215[[#This Row],[Evaluators Response (SELECT)]],Table21215[[#This Row],[1]:[11]],0)-1)/(COUNTA(Table21215[[#This Row],[1]:[11]])-COUNTBLANK(Table21215[[#This Row],[1]:[11]])-1)))</f>
        <v>#N/A</v>
      </c>
      <c r="M66" s="38"/>
      <c r="N66" s="29" t="s">
        <v>828</v>
      </c>
      <c r="O66" s="29" t="s">
        <v>829</v>
      </c>
      <c r="P66" s="29" t="s">
        <v>830</v>
      </c>
      <c r="Q66" s="29" t="str" cm="1">
        <f t="array" ref="Q66">IFERROR(INDEX(_xlfn.UNIQUE(TRIM(_xlfn.TEXTSPLIT(Table21215[[#This Row],[Selection Options]:[Selection Options]],","))),,Q$11),"")</f>
        <v xml:space="preserve">
 0%: Not currently supported</v>
      </c>
      <c r="R66" s="29" t="str" cm="1">
        <f t="array" ref="R66">IFERROR(INDEX(_xlfn.UNIQUE(TRIM(_xlfn.TEXTSPLIT(Table21215[[#This Row],[Selection Options]:[Selection Options]],","))),,R$11),"")</f>
        <v/>
      </c>
      <c r="S66" s="29" t="str" cm="1">
        <f t="array" ref="S66">IFERROR(INDEX(_xlfn.UNIQUE(TRIM(_xlfn.TEXTSPLIT(Table21215[[#This Row],[Selection Options]:[Selection Options]],","))),,S$11),"")</f>
        <v/>
      </c>
      <c r="T66" s="29" t="str" cm="1">
        <f t="array" ref="T66">IFERROR(INDEX(_xlfn.UNIQUE(TRIM(_xlfn.TEXTSPLIT(Table21215[[#This Row],[Selection Options]:[Selection Options]],","))),,T$11),"")</f>
        <v/>
      </c>
      <c r="U66" s="29" t="str" cm="1">
        <f t="array" ref="U66">IFERROR(INDEX(_xlfn.UNIQUE(TRIM(_xlfn.TEXTSPLIT(Table21215[[#This Row],[Selection Options]:[Selection Options]],","))),,U$11),"")</f>
        <v/>
      </c>
      <c r="V66" s="29" t="str" cm="1">
        <f t="array" ref="V66">IFERROR(INDEX(_xlfn.UNIQUE(TRIM(_xlfn.TEXTSPLIT(Table21215[[#This Row],[Selection Options]:[Selection Options]],","))),,V$11),"")</f>
        <v/>
      </c>
      <c r="W66" s="29" t="str" cm="1">
        <f t="array" ref="W66">IFERROR(INDEX(_xlfn.UNIQUE(TRIM(_xlfn.TEXTSPLIT(Table21215[[#This Row],[Selection Options]:[Selection Options]],","))),,W$11),"")</f>
        <v/>
      </c>
      <c r="X66" s="29" t="str" cm="1">
        <f t="array" ref="X66">IFERROR(INDEX(_xlfn.UNIQUE(TRIM(_xlfn.TEXTSPLIT(Table21215[[#This Row],[Selection Options]:[Selection Options]],","))),,X$11),"")</f>
        <v/>
      </c>
      <c r="Y66" s="30" cm="1">
        <f t="array" ref="Y66">IF(Table21215[[#This Row],[1]]="","",Table21215[[#This Row],[Weight]:[Weight]]-(Table21215[[#This Row],[Weight]:[Weight]]*((_xlfn.XMATCH(Table21215[[#This Row],[1]],Table21215[[#This Row],[1]:[11]],0))-1)/(COUNTA(Table21215[[#This Row],[1]:[11]])-COUNTBLANK(Table21215[[#This Row],[1]:[11]])-1)))</f>
        <v>4.7656870532168391E-3</v>
      </c>
      <c r="Z66" s="30" cm="1">
        <f t="array" ref="Z66">IF(Table21215[[#This Row],[2]]="","",Table21215[[#This Row],[Weight]:[Weight]]-(Table21215[[#This Row],[Weight]:[Weight]]*((_xlfn.XMATCH(Table21215[[#This Row],[2]],Table21215[[#This Row],[1]:[11]],0))-1)/(COUNTA(Table21215[[#This Row],[1]:[11]])-COUNTBLANK(Table21215[[#This Row],[1]:[11]])-1)))</f>
        <v>3.1771247021445594E-3</v>
      </c>
      <c r="AA66" s="30" cm="1">
        <f t="array" ref="AA66">IF(Table21215[[#This Row],[3]]="","",Table21215[[#This Row],[Weight]:[Weight]]-(Table21215[[#This Row],[Weight]:[Weight]]*((_xlfn.XMATCH(Table21215[[#This Row],[3]],Table21215[[#This Row],[1]:[11]],0))-1)/(COUNTA(Table21215[[#This Row],[1]:[11]])-COUNTBLANK(Table21215[[#This Row],[1]:[11]])-1)))</f>
        <v>1.5885623510722797E-3</v>
      </c>
      <c r="AB66" s="30" cm="1">
        <f t="array" ref="AB66">IF(Table21215[[#This Row],[4]]="","",Table21215[[#This Row],[Weight]:[Weight]]-(Table21215[[#This Row],[Weight]:[Weight]]*((_xlfn.XMATCH(Table21215[[#This Row],[4]],Table21215[[#This Row],[1]:[11]],0))-1)/(COUNTA(Table21215[[#This Row],[1]:[11]])-COUNTBLANK(Table21215[[#This Row],[1]:[11]])-1)))</f>
        <v>0</v>
      </c>
      <c r="AC66" s="30" t="str" cm="1">
        <f t="array" ref="AC66">IF(Table21215[[#This Row],[5]]="","",Table21215[[#This Row],[Weight]:[Weight]]-(Table21215[[#This Row],[Weight]:[Weight]]*((_xlfn.XMATCH(Table21215[[#This Row],[5]],Table21215[[#This Row],[1]:[11]],0))-1)/(COUNTA(Table21215[[#This Row],[1]:[11]])-COUNTBLANK(Table21215[[#This Row],[1]:[11]])-1)))</f>
        <v/>
      </c>
      <c r="AD66" s="30" t="str" cm="1">
        <f t="array" ref="AD66">IF(Table21215[[#This Row],[6]]="","",Table21215[[#This Row],[Weight]:[Weight]]-(Table21215[[#This Row],[Weight]:[Weight]]*((_xlfn.XMATCH(Table21215[[#This Row],[6]],Table21215[[#This Row],[1]:[11]],0))-1)/(COUNTA(Table21215[[#This Row],[1]:[11]])-COUNTBLANK(Table21215[[#This Row],[1]:[11]])-1)))</f>
        <v/>
      </c>
      <c r="AE66" s="30" t="str" cm="1">
        <f t="array" ref="AE66">IF(Table21215[[#This Row],[7]]="","",Table21215[[#This Row],[Weight]:[Weight]]-(Table21215[[#This Row],[Weight]:[Weight]]*((_xlfn.XMATCH(Table21215[[#This Row],[7]],Table21215[[#This Row],[1]:[11]],0))-1)/(COUNTA(Table21215[[#This Row],[1]:[11]])-COUNTBLANK(Table21215[[#This Row],[1]:[11]])-1)))</f>
        <v/>
      </c>
      <c r="AF66" s="30" t="str" cm="1">
        <f t="array" ref="AF66">IF(Table21215[[#This Row],[8]]="","",Table21215[[#This Row],[Weight]:[Weight]]-(Table21215[[#This Row],[Weight]:[Weight]]*((_xlfn.XMATCH(Table21215[[#This Row],[8]],Table21215[[#This Row],[1]:[11]],0))-1)/(COUNTA(Table21215[[#This Row],[1]:[11]])-COUNTBLANK(Table21215[[#This Row],[1]:[11]])-1)))</f>
        <v/>
      </c>
      <c r="AG66" s="30" t="str" cm="1">
        <f t="array" ref="AG66">IF(Table21215[[#This Row],[9]]="","",Table21215[[#This Row],[Weight]:[Weight]]-(Table21215[[#This Row],[Weight]:[Weight]]*((_xlfn.XMATCH(Table21215[[#This Row],[9]],Table21215[[#This Row],[1]:[11]],0))-1)/(COUNTA(Table21215[[#This Row],[1]:[11]])-COUNTBLANK(Table21215[[#This Row],[1]:[11]])-1)))</f>
        <v/>
      </c>
      <c r="AH66" s="30" t="str" cm="1">
        <f t="array" ref="AH66">IF(Table21215[[#This Row],[10]]="","",Table21215[[#This Row],[Weight]:[Weight]]-(Table21215[[#This Row],[Weight]:[Weight]]*((_xlfn.XMATCH(Table21215[[#This Row],[10]],Table21215[[#This Row],[1]:[11]],0))-1)/(COUNTA(Table21215[[#This Row],[1]:[11]])-COUNTBLANK(Table21215[[#This Row],[1]:[11]])-1)))</f>
        <v/>
      </c>
      <c r="AI66" s="30" t="str" cm="1">
        <f t="array" ref="AI66">IF(Table21215[[#This Row],[11]]="","",Table21215[[#This Row],[Weight]:[Weight]]-(Table21215[[#This Row],[Weight]:[Weight]]*((_xlfn.XMATCH(Table21215[[#This Row],[11]],Table21215[[#This Row],[1]:[11]],0))-1)/(COUNTA(Table21215[[#This Row],[1]:[11]])-COUNTBLANK(Table21215[[#This Row],[1]:[11]])-1)))</f>
        <v/>
      </c>
    </row>
    <row r="67" spans="1:35" ht="108" x14ac:dyDescent="0.2">
      <c r="A67" s="20">
        <v>55</v>
      </c>
      <c r="B67" s="165" t="s">
        <v>884</v>
      </c>
      <c r="C67" s="21" t="s">
        <v>826</v>
      </c>
      <c r="D67" s="38"/>
      <c r="E67" s="38"/>
      <c r="F67" s="159" t="s">
        <v>60</v>
      </c>
      <c r="G67" s="160" cm="1">
        <f t="array" ref="G67">_xlfn.IFS(F67="","",F67="No interest",0,F67="Nice to have",1,F67="Useful",2,F67="Important",3,F67="Very important",4,F67="Critical",5,F67="Show stopper",6)</f>
        <v>6</v>
      </c>
      <c r="H67" s="161">
        <f t="shared" si="2"/>
        <v>4.7656870532168391E-3</v>
      </c>
      <c r="I67" s="157" t="s">
        <v>827</v>
      </c>
      <c r="J67" s="35" t="str" cm="1">
        <f t="array" ref="J67">_xlfn.TEXTJOIN(","&amp;CHAR(10),,TEXT(Table21215[[#This Row],[12]:[22]],"0,00%"))</f>
        <v>0,00%,
0,00%,
0,00%,
0,00%</v>
      </c>
      <c r="K67" s="36"/>
      <c r="L67" s="37" t="e">
        <f>H67-(H67*((MATCH(Table21215[[#This Row],[Evaluators Response (SELECT)]],Table21215[[#This Row],[1]:[11]],0)-1)/(COUNTA(Table21215[[#This Row],[1]:[11]])-COUNTBLANK(Table21215[[#This Row],[1]:[11]])-1)))</f>
        <v>#N/A</v>
      </c>
      <c r="M67" s="38"/>
      <c r="N67" s="29" t="s">
        <v>828</v>
      </c>
      <c r="O67" s="29" t="s">
        <v>829</v>
      </c>
      <c r="P67" s="29" t="s">
        <v>830</v>
      </c>
      <c r="Q67" s="29" t="str" cm="1">
        <f t="array" ref="Q67">IFERROR(INDEX(_xlfn.UNIQUE(TRIM(_xlfn.TEXTSPLIT(Table21215[[#This Row],[Selection Options]:[Selection Options]],","))),,Q$11),"")</f>
        <v xml:space="preserve">
 0%: Not currently supported</v>
      </c>
      <c r="R67" s="29" t="str" cm="1">
        <f t="array" ref="R67">IFERROR(INDEX(_xlfn.UNIQUE(TRIM(_xlfn.TEXTSPLIT(Table21215[[#This Row],[Selection Options]:[Selection Options]],","))),,R$11),"")</f>
        <v/>
      </c>
      <c r="S67" s="29" t="str" cm="1">
        <f t="array" ref="S67">IFERROR(INDEX(_xlfn.UNIQUE(TRIM(_xlfn.TEXTSPLIT(Table21215[[#This Row],[Selection Options]:[Selection Options]],","))),,S$11),"")</f>
        <v/>
      </c>
      <c r="T67" s="29" t="str" cm="1">
        <f t="array" ref="T67">IFERROR(INDEX(_xlfn.UNIQUE(TRIM(_xlfn.TEXTSPLIT(Table21215[[#This Row],[Selection Options]:[Selection Options]],","))),,T$11),"")</f>
        <v/>
      </c>
      <c r="U67" s="29" t="str" cm="1">
        <f t="array" ref="U67">IFERROR(INDEX(_xlfn.UNIQUE(TRIM(_xlfn.TEXTSPLIT(Table21215[[#This Row],[Selection Options]:[Selection Options]],","))),,U$11),"")</f>
        <v/>
      </c>
      <c r="V67" s="29" t="str" cm="1">
        <f t="array" ref="V67">IFERROR(INDEX(_xlfn.UNIQUE(TRIM(_xlfn.TEXTSPLIT(Table21215[[#This Row],[Selection Options]:[Selection Options]],","))),,V$11),"")</f>
        <v/>
      </c>
      <c r="W67" s="29" t="str" cm="1">
        <f t="array" ref="W67">IFERROR(INDEX(_xlfn.UNIQUE(TRIM(_xlfn.TEXTSPLIT(Table21215[[#This Row],[Selection Options]:[Selection Options]],","))),,W$11),"")</f>
        <v/>
      </c>
      <c r="X67" s="29" t="str" cm="1">
        <f t="array" ref="X67">IFERROR(INDEX(_xlfn.UNIQUE(TRIM(_xlfn.TEXTSPLIT(Table21215[[#This Row],[Selection Options]:[Selection Options]],","))),,X$11),"")</f>
        <v/>
      </c>
      <c r="Y67" s="30" cm="1">
        <f t="array" ref="Y67">IF(Table21215[[#This Row],[1]]="","",Table21215[[#This Row],[Weight]:[Weight]]-(Table21215[[#This Row],[Weight]:[Weight]]*((_xlfn.XMATCH(Table21215[[#This Row],[1]],Table21215[[#This Row],[1]:[11]],0))-1)/(COUNTA(Table21215[[#This Row],[1]:[11]])-COUNTBLANK(Table21215[[#This Row],[1]:[11]])-1)))</f>
        <v>4.7656870532168391E-3</v>
      </c>
      <c r="Z67" s="30" cm="1">
        <f t="array" ref="Z67">IF(Table21215[[#This Row],[2]]="","",Table21215[[#This Row],[Weight]:[Weight]]-(Table21215[[#This Row],[Weight]:[Weight]]*((_xlfn.XMATCH(Table21215[[#This Row],[2]],Table21215[[#This Row],[1]:[11]],0))-1)/(COUNTA(Table21215[[#This Row],[1]:[11]])-COUNTBLANK(Table21215[[#This Row],[1]:[11]])-1)))</f>
        <v>3.1771247021445594E-3</v>
      </c>
      <c r="AA67" s="30" cm="1">
        <f t="array" ref="AA67">IF(Table21215[[#This Row],[3]]="","",Table21215[[#This Row],[Weight]:[Weight]]-(Table21215[[#This Row],[Weight]:[Weight]]*((_xlfn.XMATCH(Table21215[[#This Row],[3]],Table21215[[#This Row],[1]:[11]],0))-1)/(COUNTA(Table21215[[#This Row],[1]:[11]])-COUNTBLANK(Table21215[[#This Row],[1]:[11]])-1)))</f>
        <v>1.5885623510722797E-3</v>
      </c>
      <c r="AB67" s="30" cm="1">
        <f t="array" ref="AB67">IF(Table21215[[#This Row],[4]]="","",Table21215[[#This Row],[Weight]:[Weight]]-(Table21215[[#This Row],[Weight]:[Weight]]*((_xlfn.XMATCH(Table21215[[#This Row],[4]],Table21215[[#This Row],[1]:[11]],0))-1)/(COUNTA(Table21215[[#This Row],[1]:[11]])-COUNTBLANK(Table21215[[#This Row],[1]:[11]])-1)))</f>
        <v>0</v>
      </c>
      <c r="AC67" s="30" t="str" cm="1">
        <f t="array" ref="AC67">IF(Table21215[[#This Row],[5]]="","",Table21215[[#This Row],[Weight]:[Weight]]-(Table21215[[#This Row],[Weight]:[Weight]]*((_xlfn.XMATCH(Table21215[[#This Row],[5]],Table21215[[#This Row],[1]:[11]],0))-1)/(COUNTA(Table21215[[#This Row],[1]:[11]])-COUNTBLANK(Table21215[[#This Row],[1]:[11]])-1)))</f>
        <v/>
      </c>
      <c r="AD67" s="30" t="str" cm="1">
        <f t="array" ref="AD67">IF(Table21215[[#This Row],[6]]="","",Table21215[[#This Row],[Weight]:[Weight]]-(Table21215[[#This Row],[Weight]:[Weight]]*((_xlfn.XMATCH(Table21215[[#This Row],[6]],Table21215[[#This Row],[1]:[11]],0))-1)/(COUNTA(Table21215[[#This Row],[1]:[11]])-COUNTBLANK(Table21215[[#This Row],[1]:[11]])-1)))</f>
        <v/>
      </c>
      <c r="AE67" s="30" t="str" cm="1">
        <f t="array" ref="AE67">IF(Table21215[[#This Row],[7]]="","",Table21215[[#This Row],[Weight]:[Weight]]-(Table21215[[#This Row],[Weight]:[Weight]]*((_xlfn.XMATCH(Table21215[[#This Row],[7]],Table21215[[#This Row],[1]:[11]],0))-1)/(COUNTA(Table21215[[#This Row],[1]:[11]])-COUNTBLANK(Table21215[[#This Row],[1]:[11]])-1)))</f>
        <v/>
      </c>
      <c r="AF67" s="30" t="str" cm="1">
        <f t="array" ref="AF67">IF(Table21215[[#This Row],[8]]="","",Table21215[[#This Row],[Weight]:[Weight]]-(Table21215[[#This Row],[Weight]:[Weight]]*((_xlfn.XMATCH(Table21215[[#This Row],[8]],Table21215[[#This Row],[1]:[11]],0))-1)/(COUNTA(Table21215[[#This Row],[1]:[11]])-COUNTBLANK(Table21215[[#This Row],[1]:[11]])-1)))</f>
        <v/>
      </c>
      <c r="AG67" s="30" t="str" cm="1">
        <f t="array" ref="AG67">IF(Table21215[[#This Row],[9]]="","",Table21215[[#This Row],[Weight]:[Weight]]-(Table21215[[#This Row],[Weight]:[Weight]]*((_xlfn.XMATCH(Table21215[[#This Row],[9]],Table21215[[#This Row],[1]:[11]],0))-1)/(COUNTA(Table21215[[#This Row],[1]:[11]])-COUNTBLANK(Table21215[[#This Row],[1]:[11]])-1)))</f>
        <v/>
      </c>
      <c r="AH67" s="30" t="str" cm="1">
        <f t="array" ref="AH67">IF(Table21215[[#This Row],[10]]="","",Table21215[[#This Row],[Weight]:[Weight]]-(Table21215[[#This Row],[Weight]:[Weight]]*((_xlfn.XMATCH(Table21215[[#This Row],[10]],Table21215[[#This Row],[1]:[11]],0))-1)/(COUNTA(Table21215[[#This Row],[1]:[11]])-COUNTBLANK(Table21215[[#This Row],[1]:[11]])-1)))</f>
        <v/>
      </c>
      <c r="AI67" s="30" t="str" cm="1">
        <f t="array" ref="AI67">IF(Table21215[[#This Row],[11]]="","",Table21215[[#This Row],[Weight]:[Weight]]-(Table21215[[#This Row],[Weight]:[Weight]]*((_xlfn.XMATCH(Table21215[[#This Row],[11]],Table21215[[#This Row],[1]:[11]],0))-1)/(COUNTA(Table21215[[#This Row],[1]:[11]])-COUNTBLANK(Table21215[[#This Row],[1]:[11]])-1)))</f>
        <v/>
      </c>
    </row>
    <row r="68" spans="1:35" ht="108" x14ac:dyDescent="0.2">
      <c r="A68" s="20">
        <v>56</v>
      </c>
      <c r="B68" s="165" t="s">
        <v>885</v>
      </c>
      <c r="C68" s="21" t="s">
        <v>826</v>
      </c>
      <c r="D68" s="38"/>
      <c r="E68" s="38"/>
      <c r="F68" s="159" t="s">
        <v>60</v>
      </c>
      <c r="G68" s="160" cm="1">
        <f t="array" ref="G68">_xlfn.IFS(F68="","",F68="No interest",0,F68="Nice to have",1,F68="Useful",2,F68="Important",3,F68="Very important",4,F68="Critical",5,F68="Show stopper",6)</f>
        <v>6</v>
      </c>
      <c r="H68" s="161">
        <f t="shared" si="2"/>
        <v>4.7656870532168391E-3</v>
      </c>
      <c r="I68" s="157" t="s">
        <v>827</v>
      </c>
      <c r="J68" s="35" t="str" cm="1">
        <f t="array" ref="J68">_xlfn.TEXTJOIN(","&amp;CHAR(10),,TEXT(Table21215[[#This Row],[12]:[22]],"0,00%"))</f>
        <v>0,00%,
0,00%,
0,00%,
0,00%</v>
      </c>
      <c r="K68" s="36"/>
      <c r="L68" s="37" t="e">
        <f>H68-(H68*((MATCH(Table21215[[#This Row],[Evaluators Response (SELECT)]],Table21215[[#This Row],[1]:[11]],0)-1)/(COUNTA(Table21215[[#This Row],[1]:[11]])-COUNTBLANK(Table21215[[#This Row],[1]:[11]])-1)))</f>
        <v>#N/A</v>
      </c>
      <c r="M68" s="38"/>
      <c r="N68" s="29" t="s">
        <v>828</v>
      </c>
      <c r="O68" s="29" t="s">
        <v>829</v>
      </c>
      <c r="P68" s="29" t="s">
        <v>830</v>
      </c>
      <c r="Q68" s="29" t="str" cm="1">
        <f t="array" ref="Q68">IFERROR(INDEX(_xlfn.UNIQUE(TRIM(_xlfn.TEXTSPLIT(Table21215[[#This Row],[Selection Options]:[Selection Options]],","))),,Q$11),"")</f>
        <v xml:space="preserve">
 0%: Not currently supported</v>
      </c>
      <c r="R68" s="29" t="str" cm="1">
        <f t="array" ref="R68">IFERROR(INDEX(_xlfn.UNIQUE(TRIM(_xlfn.TEXTSPLIT(Table21215[[#This Row],[Selection Options]:[Selection Options]],","))),,R$11),"")</f>
        <v/>
      </c>
      <c r="S68" s="29" t="str" cm="1">
        <f t="array" ref="S68">IFERROR(INDEX(_xlfn.UNIQUE(TRIM(_xlfn.TEXTSPLIT(Table21215[[#This Row],[Selection Options]:[Selection Options]],","))),,S$11),"")</f>
        <v/>
      </c>
      <c r="T68" s="29" t="str" cm="1">
        <f t="array" ref="T68">IFERROR(INDEX(_xlfn.UNIQUE(TRIM(_xlfn.TEXTSPLIT(Table21215[[#This Row],[Selection Options]:[Selection Options]],","))),,T$11),"")</f>
        <v/>
      </c>
      <c r="U68" s="29" t="str" cm="1">
        <f t="array" ref="U68">IFERROR(INDEX(_xlfn.UNIQUE(TRIM(_xlfn.TEXTSPLIT(Table21215[[#This Row],[Selection Options]:[Selection Options]],","))),,U$11),"")</f>
        <v/>
      </c>
      <c r="V68" s="29" t="str" cm="1">
        <f t="array" ref="V68">IFERROR(INDEX(_xlfn.UNIQUE(TRIM(_xlfn.TEXTSPLIT(Table21215[[#This Row],[Selection Options]:[Selection Options]],","))),,V$11),"")</f>
        <v/>
      </c>
      <c r="W68" s="29" t="str" cm="1">
        <f t="array" ref="W68">IFERROR(INDEX(_xlfn.UNIQUE(TRIM(_xlfn.TEXTSPLIT(Table21215[[#This Row],[Selection Options]:[Selection Options]],","))),,W$11),"")</f>
        <v/>
      </c>
      <c r="X68" s="29" t="str" cm="1">
        <f t="array" ref="X68">IFERROR(INDEX(_xlfn.UNIQUE(TRIM(_xlfn.TEXTSPLIT(Table21215[[#This Row],[Selection Options]:[Selection Options]],","))),,X$11),"")</f>
        <v/>
      </c>
      <c r="Y68" s="30" cm="1">
        <f t="array" ref="Y68">IF(Table21215[[#This Row],[1]]="","",Table21215[[#This Row],[Weight]:[Weight]]-(Table21215[[#This Row],[Weight]:[Weight]]*((_xlfn.XMATCH(Table21215[[#This Row],[1]],Table21215[[#This Row],[1]:[11]],0))-1)/(COUNTA(Table21215[[#This Row],[1]:[11]])-COUNTBLANK(Table21215[[#This Row],[1]:[11]])-1)))</f>
        <v>4.7656870532168391E-3</v>
      </c>
      <c r="Z68" s="30" cm="1">
        <f t="array" ref="Z68">IF(Table21215[[#This Row],[2]]="","",Table21215[[#This Row],[Weight]:[Weight]]-(Table21215[[#This Row],[Weight]:[Weight]]*((_xlfn.XMATCH(Table21215[[#This Row],[2]],Table21215[[#This Row],[1]:[11]],0))-1)/(COUNTA(Table21215[[#This Row],[1]:[11]])-COUNTBLANK(Table21215[[#This Row],[1]:[11]])-1)))</f>
        <v>3.1771247021445594E-3</v>
      </c>
      <c r="AA68" s="30" cm="1">
        <f t="array" ref="AA68">IF(Table21215[[#This Row],[3]]="","",Table21215[[#This Row],[Weight]:[Weight]]-(Table21215[[#This Row],[Weight]:[Weight]]*((_xlfn.XMATCH(Table21215[[#This Row],[3]],Table21215[[#This Row],[1]:[11]],0))-1)/(COUNTA(Table21215[[#This Row],[1]:[11]])-COUNTBLANK(Table21215[[#This Row],[1]:[11]])-1)))</f>
        <v>1.5885623510722797E-3</v>
      </c>
      <c r="AB68" s="30" cm="1">
        <f t="array" ref="AB68">IF(Table21215[[#This Row],[4]]="","",Table21215[[#This Row],[Weight]:[Weight]]-(Table21215[[#This Row],[Weight]:[Weight]]*((_xlfn.XMATCH(Table21215[[#This Row],[4]],Table21215[[#This Row],[1]:[11]],0))-1)/(COUNTA(Table21215[[#This Row],[1]:[11]])-COUNTBLANK(Table21215[[#This Row],[1]:[11]])-1)))</f>
        <v>0</v>
      </c>
      <c r="AC68" s="30" t="str" cm="1">
        <f t="array" ref="AC68">IF(Table21215[[#This Row],[5]]="","",Table21215[[#This Row],[Weight]:[Weight]]-(Table21215[[#This Row],[Weight]:[Weight]]*((_xlfn.XMATCH(Table21215[[#This Row],[5]],Table21215[[#This Row],[1]:[11]],0))-1)/(COUNTA(Table21215[[#This Row],[1]:[11]])-COUNTBLANK(Table21215[[#This Row],[1]:[11]])-1)))</f>
        <v/>
      </c>
      <c r="AD68" s="30" t="str" cm="1">
        <f t="array" ref="AD68">IF(Table21215[[#This Row],[6]]="","",Table21215[[#This Row],[Weight]:[Weight]]-(Table21215[[#This Row],[Weight]:[Weight]]*((_xlfn.XMATCH(Table21215[[#This Row],[6]],Table21215[[#This Row],[1]:[11]],0))-1)/(COUNTA(Table21215[[#This Row],[1]:[11]])-COUNTBLANK(Table21215[[#This Row],[1]:[11]])-1)))</f>
        <v/>
      </c>
      <c r="AE68" s="30" t="str" cm="1">
        <f t="array" ref="AE68">IF(Table21215[[#This Row],[7]]="","",Table21215[[#This Row],[Weight]:[Weight]]-(Table21215[[#This Row],[Weight]:[Weight]]*((_xlfn.XMATCH(Table21215[[#This Row],[7]],Table21215[[#This Row],[1]:[11]],0))-1)/(COUNTA(Table21215[[#This Row],[1]:[11]])-COUNTBLANK(Table21215[[#This Row],[1]:[11]])-1)))</f>
        <v/>
      </c>
      <c r="AF68" s="30" t="str" cm="1">
        <f t="array" ref="AF68">IF(Table21215[[#This Row],[8]]="","",Table21215[[#This Row],[Weight]:[Weight]]-(Table21215[[#This Row],[Weight]:[Weight]]*((_xlfn.XMATCH(Table21215[[#This Row],[8]],Table21215[[#This Row],[1]:[11]],0))-1)/(COUNTA(Table21215[[#This Row],[1]:[11]])-COUNTBLANK(Table21215[[#This Row],[1]:[11]])-1)))</f>
        <v/>
      </c>
      <c r="AG68" s="30" t="str" cm="1">
        <f t="array" ref="AG68">IF(Table21215[[#This Row],[9]]="","",Table21215[[#This Row],[Weight]:[Weight]]-(Table21215[[#This Row],[Weight]:[Weight]]*((_xlfn.XMATCH(Table21215[[#This Row],[9]],Table21215[[#This Row],[1]:[11]],0))-1)/(COUNTA(Table21215[[#This Row],[1]:[11]])-COUNTBLANK(Table21215[[#This Row],[1]:[11]])-1)))</f>
        <v/>
      </c>
      <c r="AH68" s="30" t="str" cm="1">
        <f t="array" ref="AH68">IF(Table21215[[#This Row],[10]]="","",Table21215[[#This Row],[Weight]:[Weight]]-(Table21215[[#This Row],[Weight]:[Weight]]*((_xlfn.XMATCH(Table21215[[#This Row],[10]],Table21215[[#This Row],[1]:[11]],0))-1)/(COUNTA(Table21215[[#This Row],[1]:[11]])-COUNTBLANK(Table21215[[#This Row],[1]:[11]])-1)))</f>
        <v/>
      </c>
      <c r="AI68" s="30" t="str" cm="1">
        <f t="array" ref="AI68">IF(Table21215[[#This Row],[11]]="","",Table21215[[#This Row],[Weight]:[Weight]]-(Table21215[[#This Row],[Weight]:[Weight]]*((_xlfn.XMATCH(Table21215[[#This Row],[11]],Table21215[[#This Row],[1]:[11]],0))-1)/(COUNTA(Table21215[[#This Row],[1]:[11]])-COUNTBLANK(Table21215[[#This Row],[1]:[11]])-1)))</f>
        <v/>
      </c>
    </row>
    <row r="69" spans="1:35" ht="108" x14ac:dyDescent="0.2">
      <c r="A69" s="20">
        <v>57</v>
      </c>
      <c r="B69" s="165" t="s">
        <v>886</v>
      </c>
      <c r="C69" s="21" t="s">
        <v>826</v>
      </c>
      <c r="D69" s="38"/>
      <c r="E69" s="38"/>
      <c r="F69" s="159" t="s">
        <v>60</v>
      </c>
      <c r="G69" s="160" cm="1">
        <f t="array" ref="G69">_xlfn.IFS(F69="","",F69="No interest",0,F69="Nice to have",1,F69="Useful",2,F69="Important",3,F69="Very important",4,F69="Critical",5,F69="Show stopper",6)</f>
        <v>6</v>
      </c>
      <c r="H69" s="161">
        <f t="shared" si="2"/>
        <v>4.7656870532168391E-3</v>
      </c>
      <c r="I69" s="157" t="s">
        <v>827</v>
      </c>
      <c r="J69" s="35" t="str" cm="1">
        <f t="array" ref="J69">_xlfn.TEXTJOIN(","&amp;CHAR(10),,TEXT(Table21215[[#This Row],[12]:[22]],"0,00%"))</f>
        <v>0,00%,
0,00%,
0,00%,
0,00%</v>
      </c>
      <c r="K69" s="36"/>
      <c r="L69" s="37" t="e">
        <f>H69-(H69*((MATCH(Table21215[[#This Row],[Evaluators Response (SELECT)]],Table21215[[#This Row],[1]:[11]],0)-1)/(COUNTA(Table21215[[#This Row],[1]:[11]])-COUNTBLANK(Table21215[[#This Row],[1]:[11]])-1)))</f>
        <v>#N/A</v>
      </c>
      <c r="M69" s="38"/>
      <c r="N69" s="29" t="s">
        <v>828</v>
      </c>
      <c r="O69" s="29" t="s">
        <v>829</v>
      </c>
      <c r="P69" s="29" t="s">
        <v>830</v>
      </c>
      <c r="Q69" s="29" t="str" cm="1">
        <f t="array" ref="Q69">IFERROR(INDEX(_xlfn.UNIQUE(TRIM(_xlfn.TEXTSPLIT(Table21215[[#This Row],[Selection Options]:[Selection Options]],","))),,Q$11),"")</f>
        <v xml:space="preserve">
 0%: Not currently supported</v>
      </c>
      <c r="R69" s="29" t="str" cm="1">
        <f t="array" ref="R69">IFERROR(INDEX(_xlfn.UNIQUE(TRIM(_xlfn.TEXTSPLIT(Table21215[[#This Row],[Selection Options]:[Selection Options]],","))),,R$11),"")</f>
        <v/>
      </c>
      <c r="S69" s="29" t="str" cm="1">
        <f t="array" ref="S69">IFERROR(INDEX(_xlfn.UNIQUE(TRIM(_xlfn.TEXTSPLIT(Table21215[[#This Row],[Selection Options]:[Selection Options]],","))),,S$11),"")</f>
        <v/>
      </c>
      <c r="T69" s="29" t="str" cm="1">
        <f t="array" ref="T69">IFERROR(INDEX(_xlfn.UNIQUE(TRIM(_xlfn.TEXTSPLIT(Table21215[[#This Row],[Selection Options]:[Selection Options]],","))),,T$11),"")</f>
        <v/>
      </c>
      <c r="U69" s="29" t="str" cm="1">
        <f t="array" ref="U69">IFERROR(INDEX(_xlfn.UNIQUE(TRIM(_xlfn.TEXTSPLIT(Table21215[[#This Row],[Selection Options]:[Selection Options]],","))),,U$11),"")</f>
        <v/>
      </c>
      <c r="V69" s="29" t="str" cm="1">
        <f t="array" ref="V69">IFERROR(INDEX(_xlfn.UNIQUE(TRIM(_xlfn.TEXTSPLIT(Table21215[[#This Row],[Selection Options]:[Selection Options]],","))),,V$11),"")</f>
        <v/>
      </c>
      <c r="W69" s="29" t="str" cm="1">
        <f t="array" ref="W69">IFERROR(INDEX(_xlfn.UNIQUE(TRIM(_xlfn.TEXTSPLIT(Table21215[[#This Row],[Selection Options]:[Selection Options]],","))),,W$11),"")</f>
        <v/>
      </c>
      <c r="X69" s="29" t="str" cm="1">
        <f t="array" ref="X69">IFERROR(INDEX(_xlfn.UNIQUE(TRIM(_xlfn.TEXTSPLIT(Table21215[[#This Row],[Selection Options]:[Selection Options]],","))),,X$11),"")</f>
        <v/>
      </c>
      <c r="Y69" s="30" cm="1">
        <f t="array" ref="Y69">IF(Table21215[[#This Row],[1]]="","",Table21215[[#This Row],[Weight]:[Weight]]-(Table21215[[#This Row],[Weight]:[Weight]]*((_xlfn.XMATCH(Table21215[[#This Row],[1]],Table21215[[#This Row],[1]:[11]],0))-1)/(COUNTA(Table21215[[#This Row],[1]:[11]])-COUNTBLANK(Table21215[[#This Row],[1]:[11]])-1)))</f>
        <v>4.7656870532168391E-3</v>
      </c>
      <c r="Z69" s="30" cm="1">
        <f t="array" ref="Z69">IF(Table21215[[#This Row],[2]]="","",Table21215[[#This Row],[Weight]:[Weight]]-(Table21215[[#This Row],[Weight]:[Weight]]*((_xlfn.XMATCH(Table21215[[#This Row],[2]],Table21215[[#This Row],[1]:[11]],0))-1)/(COUNTA(Table21215[[#This Row],[1]:[11]])-COUNTBLANK(Table21215[[#This Row],[1]:[11]])-1)))</f>
        <v>3.1771247021445594E-3</v>
      </c>
      <c r="AA69" s="30" cm="1">
        <f t="array" ref="AA69">IF(Table21215[[#This Row],[3]]="","",Table21215[[#This Row],[Weight]:[Weight]]-(Table21215[[#This Row],[Weight]:[Weight]]*((_xlfn.XMATCH(Table21215[[#This Row],[3]],Table21215[[#This Row],[1]:[11]],0))-1)/(COUNTA(Table21215[[#This Row],[1]:[11]])-COUNTBLANK(Table21215[[#This Row],[1]:[11]])-1)))</f>
        <v>1.5885623510722797E-3</v>
      </c>
      <c r="AB69" s="30" cm="1">
        <f t="array" ref="AB69">IF(Table21215[[#This Row],[4]]="","",Table21215[[#This Row],[Weight]:[Weight]]-(Table21215[[#This Row],[Weight]:[Weight]]*((_xlfn.XMATCH(Table21215[[#This Row],[4]],Table21215[[#This Row],[1]:[11]],0))-1)/(COUNTA(Table21215[[#This Row],[1]:[11]])-COUNTBLANK(Table21215[[#This Row],[1]:[11]])-1)))</f>
        <v>0</v>
      </c>
      <c r="AC69" s="30" t="str" cm="1">
        <f t="array" ref="AC69">IF(Table21215[[#This Row],[5]]="","",Table21215[[#This Row],[Weight]:[Weight]]-(Table21215[[#This Row],[Weight]:[Weight]]*((_xlfn.XMATCH(Table21215[[#This Row],[5]],Table21215[[#This Row],[1]:[11]],0))-1)/(COUNTA(Table21215[[#This Row],[1]:[11]])-COUNTBLANK(Table21215[[#This Row],[1]:[11]])-1)))</f>
        <v/>
      </c>
      <c r="AD69" s="30" t="str" cm="1">
        <f t="array" ref="AD69">IF(Table21215[[#This Row],[6]]="","",Table21215[[#This Row],[Weight]:[Weight]]-(Table21215[[#This Row],[Weight]:[Weight]]*((_xlfn.XMATCH(Table21215[[#This Row],[6]],Table21215[[#This Row],[1]:[11]],0))-1)/(COUNTA(Table21215[[#This Row],[1]:[11]])-COUNTBLANK(Table21215[[#This Row],[1]:[11]])-1)))</f>
        <v/>
      </c>
      <c r="AE69" s="30" t="str" cm="1">
        <f t="array" ref="AE69">IF(Table21215[[#This Row],[7]]="","",Table21215[[#This Row],[Weight]:[Weight]]-(Table21215[[#This Row],[Weight]:[Weight]]*((_xlfn.XMATCH(Table21215[[#This Row],[7]],Table21215[[#This Row],[1]:[11]],0))-1)/(COUNTA(Table21215[[#This Row],[1]:[11]])-COUNTBLANK(Table21215[[#This Row],[1]:[11]])-1)))</f>
        <v/>
      </c>
      <c r="AF69" s="30" t="str" cm="1">
        <f t="array" ref="AF69">IF(Table21215[[#This Row],[8]]="","",Table21215[[#This Row],[Weight]:[Weight]]-(Table21215[[#This Row],[Weight]:[Weight]]*((_xlfn.XMATCH(Table21215[[#This Row],[8]],Table21215[[#This Row],[1]:[11]],0))-1)/(COUNTA(Table21215[[#This Row],[1]:[11]])-COUNTBLANK(Table21215[[#This Row],[1]:[11]])-1)))</f>
        <v/>
      </c>
      <c r="AG69" s="30" t="str" cm="1">
        <f t="array" ref="AG69">IF(Table21215[[#This Row],[9]]="","",Table21215[[#This Row],[Weight]:[Weight]]-(Table21215[[#This Row],[Weight]:[Weight]]*((_xlfn.XMATCH(Table21215[[#This Row],[9]],Table21215[[#This Row],[1]:[11]],0))-1)/(COUNTA(Table21215[[#This Row],[1]:[11]])-COUNTBLANK(Table21215[[#This Row],[1]:[11]])-1)))</f>
        <v/>
      </c>
      <c r="AH69" s="30" t="str" cm="1">
        <f t="array" ref="AH69">IF(Table21215[[#This Row],[10]]="","",Table21215[[#This Row],[Weight]:[Weight]]-(Table21215[[#This Row],[Weight]:[Weight]]*((_xlfn.XMATCH(Table21215[[#This Row],[10]],Table21215[[#This Row],[1]:[11]],0))-1)/(COUNTA(Table21215[[#This Row],[1]:[11]])-COUNTBLANK(Table21215[[#This Row],[1]:[11]])-1)))</f>
        <v/>
      </c>
      <c r="AI69" s="30" t="str" cm="1">
        <f t="array" ref="AI69">IF(Table21215[[#This Row],[11]]="","",Table21215[[#This Row],[Weight]:[Weight]]-(Table21215[[#This Row],[Weight]:[Weight]]*((_xlfn.XMATCH(Table21215[[#This Row],[11]],Table21215[[#This Row],[1]:[11]],0))-1)/(COUNTA(Table21215[[#This Row],[1]:[11]])-COUNTBLANK(Table21215[[#This Row],[1]:[11]])-1)))</f>
        <v/>
      </c>
    </row>
    <row r="70" spans="1:35" ht="108" x14ac:dyDescent="0.2">
      <c r="A70" s="20">
        <v>58</v>
      </c>
      <c r="B70" s="165" t="s">
        <v>887</v>
      </c>
      <c r="C70" s="21" t="s">
        <v>826</v>
      </c>
      <c r="D70" s="38"/>
      <c r="E70" s="38"/>
      <c r="F70" s="159" t="s">
        <v>188</v>
      </c>
      <c r="G70" s="160" cm="1">
        <f t="array" ref="G70">_xlfn.IFS(F70="","",F70="No interest",0,F70="Nice to have",1,F70="Useful",2,F70="Important",3,F70="Very important",4,F70="Critical",5,F70="Show stopper",6)</f>
        <v>5</v>
      </c>
      <c r="H70" s="161">
        <f t="shared" si="2"/>
        <v>3.9714058776806989E-3</v>
      </c>
      <c r="I70" s="157" t="s">
        <v>827</v>
      </c>
      <c r="J70" s="35" t="str" cm="1">
        <f t="array" ref="J70">_xlfn.TEXTJOIN(","&amp;CHAR(10),,TEXT(Table21215[[#This Row],[12]:[22]],"0,00%"))</f>
        <v>0,00%,
0,00%,
0,00%,
0,00%</v>
      </c>
      <c r="K70" s="36"/>
      <c r="L70" s="37" t="e">
        <f>H70-(H70*((MATCH(Table21215[[#This Row],[Evaluators Response (SELECT)]],Table21215[[#This Row],[1]:[11]],0)-1)/(COUNTA(Table21215[[#This Row],[1]:[11]])-COUNTBLANK(Table21215[[#This Row],[1]:[11]])-1)))</f>
        <v>#N/A</v>
      </c>
      <c r="M70" s="38"/>
      <c r="N70" s="29" t="s">
        <v>828</v>
      </c>
      <c r="O70" s="29" t="s">
        <v>829</v>
      </c>
      <c r="P70" s="29" t="s">
        <v>830</v>
      </c>
      <c r="Q70" s="29" t="str" cm="1">
        <f t="array" ref="Q70">IFERROR(INDEX(_xlfn.UNIQUE(TRIM(_xlfn.TEXTSPLIT(Table21215[[#This Row],[Selection Options]:[Selection Options]],","))),,Q$11),"")</f>
        <v xml:space="preserve">
 0%: Not currently supported</v>
      </c>
      <c r="R70" s="29" t="str" cm="1">
        <f t="array" ref="R70">IFERROR(INDEX(_xlfn.UNIQUE(TRIM(_xlfn.TEXTSPLIT(Table21215[[#This Row],[Selection Options]:[Selection Options]],","))),,R$11),"")</f>
        <v/>
      </c>
      <c r="S70" s="29" t="str" cm="1">
        <f t="array" ref="S70">IFERROR(INDEX(_xlfn.UNIQUE(TRIM(_xlfn.TEXTSPLIT(Table21215[[#This Row],[Selection Options]:[Selection Options]],","))),,S$11),"")</f>
        <v/>
      </c>
      <c r="T70" s="29" t="str" cm="1">
        <f t="array" ref="T70">IFERROR(INDEX(_xlfn.UNIQUE(TRIM(_xlfn.TEXTSPLIT(Table21215[[#This Row],[Selection Options]:[Selection Options]],","))),,T$11),"")</f>
        <v/>
      </c>
      <c r="U70" s="29" t="str" cm="1">
        <f t="array" ref="U70">IFERROR(INDEX(_xlfn.UNIQUE(TRIM(_xlfn.TEXTSPLIT(Table21215[[#This Row],[Selection Options]:[Selection Options]],","))),,U$11),"")</f>
        <v/>
      </c>
      <c r="V70" s="29" t="str" cm="1">
        <f t="array" ref="V70">IFERROR(INDEX(_xlfn.UNIQUE(TRIM(_xlfn.TEXTSPLIT(Table21215[[#This Row],[Selection Options]:[Selection Options]],","))),,V$11),"")</f>
        <v/>
      </c>
      <c r="W70" s="29" t="str" cm="1">
        <f t="array" ref="W70">IFERROR(INDEX(_xlfn.UNIQUE(TRIM(_xlfn.TEXTSPLIT(Table21215[[#This Row],[Selection Options]:[Selection Options]],","))),,W$11),"")</f>
        <v/>
      </c>
      <c r="X70" s="29" t="str" cm="1">
        <f t="array" ref="X70">IFERROR(INDEX(_xlfn.UNIQUE(TRIM(_xlfn.TEXTSPLIT(Table21215[[#This Row],[Selection Options]:[Selection Options]],","))),,X$11),"")</f>
        <v/>
      </c>
      <c r="Y70" s="30" cm="1">
        <f t="array" ref="Y70">IF(Table21215[[#This Row],[1]]="","",Table21215[[#This Row],[Weight]:[Weight]]-(Table21215[[#This Row],[Weight]:[Weight]]*((_xlfn.XMATCH(Table21215[[#This Row],[1]],Table21215[[#This Row],[1]:[11]],0))-1)/(COUNTA(Table21215[[#This Row],[1]:[11]])-COUNTBLANK(Table21215[[#This Row],[1]:[11]])-1)))</f>
        <v>3.9714058776806989E-3</v>
      </c>
      <c r="Z70" s="30" cm="1">
        <f t="array" ref="Z70">IF(Table21215[[#This Row],[2]]="","",Table21215[[#This Row],[Weight]:[Weight]]-(Table21215[[#This Row],[Weight]:[Weight]]*((_xlfn.XMATCH(Table21215[[#This Row],[2]],Table21215[[#This Row],[1]:[11]],0))-1)/(COUNTA(Table21215[[#This Row],[1]:[11]])-COUNTBLANK(Table21215[[#This Row],[1]:[11]])-1)))</f>
        <v>2.6476039184537992E-3</v>
      </c>
      <c r="AA70" s="30" cm="1">
        <f t="array" ref="AA70">IF(Table21215[[#This Row],[3]]="","",Table21215[[#This Row],[Weight]:[Weight]]-(Table21215[[#This Row],[Weight]:[Weight]]*((_xlfn.XMATCH(Table21215[[#This Row],[3]],Table21215[[#This Row],[1]:[11]],0))-1)/(COUNTA(Table21215[[#This Row],[1]:[11]])-COUNTBLANK(Table21215[[#This Row],[1]:[11]])-1)))</f>
        <v>1.3238019592268996E-3</v>
      </c>
      <c r="AB70" s="30" cm="1">
        <f t="array" ref="AB70">IF(Table21215[[#This Row],[4]]="","",Table21215[[#This Row],[Weight]:[Weight]]-(Table21215[[#This Row],[Weight]:[Weight]]*((_xlfn.XMATCH(Table21215[[#This Row],[4]],Table21215[[#This Row],[1]:[11]],0))-1)/(COUNTA(Table21215[[#This Row],[1]:[11]])-COUNTBLANK(Table21215[[#This Row],[1]:[11]])-1)))</f>
        <v>0</v>
      </c>
      <c r="AC70" s="30" t="str" cm="1">
        <f t="array" ref="AC70">IF(Table21215[[#This Row],[5]]="","",Table21215[[#This Row],[Weight]:[Weight]]-(Table21215[[#This Row],[Weight]:[Weight]]*((_xlfn.XMATCH(Table21215[[#This Row],[5]],Table21215[[#This Row],[1]:[11]],0))-1)/(COUNTA(Table21215[[#This Row],[1]:[11]])-COUNTBLANK(Table21215[[#This Row],[1]:[11]])-1)))</f>
        <v/>
      </c>
      <c r="AD70" s="30" t="str" cm="1">
        <f t="array" ref="AD70">IF(Table21215[[#This Row],[6]]="","",Table21215[[#This Row],[Weight]:[Weight]]-(Table21215[[#This Row],[Weight]:[Weight]]*((_xlfn.XMATCH(Table21215[[#This Row],[6]],Table21215[[#This Row],[1]:[11]],0))-1)/(COUNTA(Table21215[[#This Row],[1]:[11]])-COUNTBLANK(Table21215[[#This Row],[1]:[11]])-1)))</f>
        <v/>
      </c>
      <c r="AE70" s="30" t="str" cm="1">
        <f t="array" ref="AE70">IF(Table21215[[#This Row],[7]]="","",Table21215[[#This Row],[Weight]:[Weight]]-(Table21215[[#This Row],[Weight]:[Weight]]*((_xlfn.XMATCH(Table21215[[#This Row],[7]],Table21215[[#This Row],[1]:[11]],0))-1)/(COUNTA(Table21215[[#This Row],[1]:[11]])-COUNTBLANK(Table21215[[#This Row],[1]:[11]])-1)))</f>
        <v/>
      </c>
      <c r="AF70" s="30" t="str" cm="1">
        <f t="array" ref="AF70">IF(Table21215[[#This Row],[8]]="","",Table21215[[#This Row],[Weight]:[Weight]]-(Table21215[[#This Row],[Weight]:[Weight]]*((_xlfn.XMATCH(Table21215[[#This Row],[8]],Table21215[[#This Row],[1]:[11]],0))-1)/(COUNTA(Table21215[[#This Row],[1]:[11]])-COUNTBLANK(Table21215[[#This Row],[1]:[11]])-1)))</f>
        <v/>
      </c>
      <c r="AG70" s="30" t="str" cm="1">
        <f t="array" ref="AG70">IF(Table21215[[#This Row],[9]]="","",Table21215[[#This Row],[Weight]:[Weight]]-(Table21215[[#This Row],[Weight]:[Weight]]*((_xlfn.XMATCH(Table21215[[#This Row],[9]],Table21215[[#This Row],[1]:[11]],0))-1)/(COUNTA(Table21215[[#This Row],[1]:[11]])-COUNTBLANK(Table21215[[#This Row],[1]:[11]])-1)))</f>
        <v/>
      </c>
      <c r="AH70" s="30" t="str" cm="1">
        <f t="array" ref="AH70">IF(Table21215[[#This Row],[10]]="","",Table21215[[#This Row],[Weight]:[Weight]]-(Table21215[[#This Row],[Weight]:[Weight]]*((_xlfn.XMATCH(Table21215[[#This Row],[10]],Table21215[[#This Row],[1]:[11]],0))-1)/(COUNTA(Table21215[[#This Row],[1]:[11]])-COUNTBLANK(Table21215[[#This Row],[1]:[11]])-1)))</f>
        <v/>
      </c>
      <c r="AI70" s="30" t="str" cm="1">
        <f t="array" ref="AI70">IF(Table21215[[#This Row],[11]]="","",Table21215[[#This Row],[Weight]:[Weight]]-(Table21215[[#This Row],[Weight]:[Weight]]*((_xlfn.XMATCH(Table21215[[#This Row],[11]],Table21215[[#This Row],[1]:[11]],0))-1)/(COUNTA(Table21215[[#This Row],[1]:[11]])-COUNTBLANK(Table21215[[#This Row],[1]:[11]])-1)))</f>
        <v/>
      </c>
    </row>
    <row r="71" spans="1:35" ht="108" x14ac:dyDescent="0.2">
      <c r="A71" s="20">
        <v>59</v>
      </c>
      <c r="B71" s="165" t="s">
        <v>888</v>
      </c>
      <c r="C71" s="21" t="s">
        <v>826</v>
      </c>
      <c r="D71" s="38"/>
      <c r="E71" s="38"/>
      <c r="F71" s="159" t="s">
        <v>60</v>
      </c>
      <c r="G71" s="160" cm="1">
        <f t="array" ref="G71">_xlfn.IFS(F71="","",F71="No interest",0,F71="Nice to have",1,F71="Useful",2,F71="Important",3,F71="Very important",4,F71="Critical",5,F71="Show stopper",6)</f>
        <v>6</v>
      </c>
      <c r="H71" s="161">
        <f t="shared" si="2"/>
        <v>4.7656870532168391E-3</v>
      </c>
      <c r="I71" s="157" t="s">
        <v>827</v>
      </c>
      <c r="J71" s="35" t="str" cm="1">
        <f t="array" ref="J71">_xlfn.TEXTJOIN(","&amp;CHAR(10),,TEXT(Table21215[[#This Row],[12]:[22]],"0,00%"))</f>
        <v>0,00%,
0,00%,
0,00%,
0,00%</v>
      </c>
      <c r="K71" s="36"/>
      <c r="L71" s="37" t="e">
        <f>H71-(H71*((MATCH(Table21215[[#This Row],[Evaluators Response (SELECT)]],Table21215[[#This Row],[1]:[11]],0)-1)/(COUNTA(Table21215[[#This Row],[1]:[11]])-COUNTBLANK(Table21215[[#This Row],[1]:[11]])-1)))</f>
        <v>#N/A</v>
      </c>
      <c r="M71" s="38"/>
      <c r="N71" s="29" t="s">
        <v>828</v>
      </c>
      <c r="O71" s="29" t="s">
        <v>829</v>
      </c>
      <c r="P71" s="29" t="s">
        <v>830</v>
      </c>
      <c r="Q71" s="29" t="str" cm="1">
        <f t="array" ref="Q71">IFERROR(INDEX(_xlfn.UNIQUE(TRIM(_xlfn.TEXTSPLIT(Table21215[[#This Row],[Selection Options]:[Selection Options]],","))),,Q$11),"")</f>
        <v xml:space="preserve">
 0%: Not currently supported</v>
      </c>
      <c r="R71" s="29" t="str" cm="1">
        <f t="array" ref="R71">IFERROR(INDEX(_xlfn.UNIQUE(TRIM(_xlfn.TEXTSPLIT(Table21215[[#This Row],[Selection Options]:[Selection Options]],","))),,R$11),"")</f>
        <v/>
      </c>
      <c r="S71" s="29" t="str" cm="1">
        <f t="array" ref="S71">IFERROR(INDEX(_xlfn.UNIQUE(TRIM(_xlfn.TEXTSPLIT(Table21215[[#This Row],[Selection Options]:[Selection Options]],","))),,S$11),"")</f>
        <v/>
      </c>
      <c r="T71" s="29" t="str" cm="1">
        <f t="array" ref="T71">IFERROR(INDEX(_xlfn.UNIQUE(TRIM(_xlfn.TEXTSPLIT(Table21215[[#This Row],[Selection Options]:[Selection Options]],","))),,T$11),"")</f>
        <v/>
      </c>
      <c r="U71" s="29" t="str" cm="1">
        <f t="array" ref="U71">IFERROR(INDEX(_xlfn.UNIQUE(TRIM(_xlfn.TEXTSPLIT(Table21215[[#This Row],[Selection Options]:[Selection Options]],","))),,U$11),"")</f>
        <v/>
      </c>
      <c r="V71" s="29" t="str" cm="1">
        <f t="array" ref="V71">IFERROR(INDEX(_xlfn.UNIQUE(TRIM(_xlfn.TEXTSPLIT(Table21215[[#This Row],[Selection Options]:[Selection Options]],","))),,V$11),"")</f>
        <v/>
      </c>
      <c r="W71" s="29" t="str" cm="1">
        <f t="array" ref="W71">IFERROR(INDEX(_xlfn.UNIQUE(TRIM(_xlfn.TEXTSPLIT(Table21215[[#This Row],[Selection Options]:[Selection Options]],","))),,W$11),"")</f>
        <v/>
      </c>
      <c r="X71" s="29" t="str" cm="1">
        <f t="array" ref="X71">IFERROR(INDEX(_xlfn.UNIQUE(TRIM(_xlfn.TEXTSPLIT(Table21215[[#This Row],[Selection Options]:[Selection Options]],","))),,X$11),"")</f>
        <v/>
      </c>
      <c r="Y71" s="30" cm="1">
        <f t="array" ref="Y71">IF(Table21215[[#This Row],[1]]="","",Table21215[[#This Row],[Weight]:[Weight]]-(Table21215[[#This Row],[Weight]:[Weight]]*((_xlfn.XMATCH(Table21215[[#This Row],[1]],Table21215[[#This Row],[1]:[11]],0))-1)/(COUNTA(Table21215[[#This Row],[1]:[11]])-COUNTBLANK(Table21215[[#This Row],[1]:[11]])-1)))</f>
        <v>4.7656870532168391E-3</v>
      </c>
      <c r="Z71" s="30" cm="1">
        <f t="array" ref="Z71">IF(Table21215[[#This Row],[2]]="","",Table21215[[#This Row],[Weight]:[Weight]]-(Table21215[[#This Row],[Weight]:[Weight]]*((_xlfn.XMATCH(Table21215[[#This Row],[2]],Table21215[[#This Row],[1]:[11]],0))-1)/(COUNTA(Table21215[[#This Row],[1]:[11]])-COUNTBLANK(Table21215[[#This Row],[1]:[11]])-1)))</f>
        <v>3.1771247021445594E-3</v>
      </c>
      <c r="AA71" s="30" cm="1">
        <f t="array" ref="AA71">IF(Table21215[[#This Row],[3]]="","",Table21215[[#This Row],[Weight]:[Weight]]-(Table21215[[#This Row],[Weight]:[Weight]]*((_xlfn.XMATCH(Table21215[[#This Row],[3]],Table21215[[#This Row],[1]:[11]],0))-1)/(COUNTA(Table21215[[#This Row],[1]:[11]])-COUNTBLANK(Table21215[[#This Row],[1]:[11]])-1)))</f>
        <v>1.5885623510722797E-3</v>
      </c>
      <c r="AB71" s="30" cm="1">
        <f t="array" ref="AB71">IF(Table21215[[#This Row],[4]]="","",Table21215[[#This Row],[Weight]:[Weight]]-(Table21215[[#This Row],[Weight]:[Weight]]*((_xlfn.XMATCH(Table21215[[#This Row],[4]],Table21215[[#This Row],[1]:[11]],0))-1)/(COUNTA(Table21215[[#This Row],[1]:[11]])-COUNTBLANK(Table21215[[#This Row],[1]:[11]])-1)))</f>
        <v>0</v>
      </c>
      <c r="AC71" s="30" t="str" cm="1">
        <f t="array" ref="AC71">IF(Table21215[[#This Row],[5]]="","",Table21215[[#This Row],[Weight]:[Weight]]-(Table21215[[#This Row],[Weight]:[Weight]]*((_xlfn.XMATCH(Table21215[[#This Row],[5]],Table21215[[#This Row],[1]:[11]],0))-1)/(COUNTA(Table21215[[#This Row],[1]:[11]])-COUNTBLANK(Table21215[[#This Row],[1]:[11]])-1)))</f>
        <v/>
      </c>
      <c r="AD71" s="30" t="str" cm="1">
        <f t="array" ref="AD71">IF(Table21215[[#This Row],[6]]="","",Table21215[[#This Row],[Weight]:[Weight]]-(Table21215[[#This Row],[Weight]:[Weight]]*((_xlfn.XMATCH(Table21215[[#This Row],[6]],Table21215[[#This Row],[1]:[11]],0))-1)/(COUNTA(Table21215[[#This Row],[1]:[11]])-COUNTBLANK(Table21215[[#This Row],[1]:[11]])-1)))</f>
        <v/>
      </c>
      <c r="AE71" s="30" t="str" cm="1">
        <f t="array" ref="AE71">IF(Table21215[[#This Row],[7]]="","",Table21215[[#This Row],[Weight]:[Weight]]-(Table21215[[#This Row],[Weight]:[Weight]]*((_xlfn.XMATCH(Table21215[[#This Row],[7]],Table21215[[#This Row],[1]:[11]],0))-1)/(COUNTA(Table21215[[#This Row],[1]:[11]])-COUNTBLANK(Table21215[[#This Row],[1]:[11]])-1)))</f>
        <v/>
      </c>
      <c r="AF71" s="30" t="str" cm="1">
        <f t="array" ref="AF71">IF(Table21215[[#This Row],[8]]="","",Table21215[[#This Row],[Weight]:[Weight]]-(Table21215[[#This Row],[Weight]:[Weight]]*((_xlfn.XMATCH(Table21215[[#This Row],[8]],Table21215[[#This Row],[1]:[11]],0))-1)/(COUNTA(Table21215[[#This Row],[1]:[11]])-COUNTBLANK(Table21215[[#This Row],[1]:[11]])-1)))</f>
        <v/>
      </c>
      <c r="AG71" s="30" t="str" cm="1">
        <f t="array" ref="AG71">IF(Table21215[[#This Row],[9]]="","",Table21215[[#This Row],[Weight]:[Weight]]-(Table21215[[#This Row],[Weight]:[Weight]]*((_xlfn.XMATCH(Table21215[[#This Row],[9]],Table21215[[#This Row],[1]:[11]],0))-1)/(COUNTA(Table21215[[#This Row],[1]:[11]])-COUNTBLANK(Table21215[[#This Row],[1]:[11]])-1)))</f>
        <v/>
      </c>
      <c r="AH71" s="30" t="str" cm="1">
        <f t="array" ref="AH71">IF(Table21215[[#This Row],[10]]="","",Table21215[[#This Row],[Weight]:[Weight]]-(Table21215[[#This Row],[Weight]:[Weight]]*((_xlfn.XMATCH(Table21215[[#This Row],[10]],Table21215[[#This Row],[1]:[11]],0))-1)/(COUNTA(Table21215[[#This Row],[1]:[11]])-COUNTBLANK(Table21215[[#This Row],[1]:[11]])-1)))</f>
        <v/>
      </c>
      <c r="AI71" s="30" t="str" cm="1">
        <f t="array" ref="AI71">IF(Table21215[[#This Row],[11]]="","",Table21215[[#This Row],[Weight]:[Weight]]-(Table21215[[#This Row],[Weight]:[Weight]]*((_xlfn.XMATCH(Table21215[[#This Row],[11]],Table21215[[#This Row],[1]:[11]],0))-1)/(COUNTA(Table21215[[#This Row],[1]:[11]])-COUNTBLANK(Table21215[[#This Row],[1]:[11]])-1)))</f>
        <v/>
      </c>
    </row>
    <row r="72" spans="1:35" ht="108" x14ac:dyDescent="0.2">
      <c r="A72" s="20">
        <v>60</v>
      </c>
      <c r="B72" s="165" t="s">
        <v>889</v>
      </c>
      <c r="C72" s="21" t="s">
        <v>826</v>
      </c>
      <c r="D72" s="38"/>
      <c r="E72" s="38"/>
      <c r="F72" s="159" t="s">
        <v>60</v>
      </c>
      <c r="G72" s="160" cm="1">
        <f t="array" ref="G72">_xlfn.IFS(F72="","",F72="No interest",0,F72="Nice to have",1,F72="Useful",2,F72="Important",3,F72="Very important",4,F72="Critical",5,F72="Show stopper",6)</f>
        <v>6</v>
      </c>
      <c r="H72" s="161">
        <f t="shared" si="2"/>
        <v>4.7656870532168391E-3</v>
      </c>
      <c r="I72" s="157" t="s">
        <v>827</v>
      </c>
      <c r="J72" s="35" t="str" cm="1">
        <f t="array" ref="J72">_xlfn.TEXTJOIN(","&amp;CHAR(10),,TEXT(Table21215[[#This Row],[12]:[22]],"0,00%"))</f>
        <v>0,00%,
0,00%,
0,00%,
0,00%</v>
      </c>
      <c r="K72" s="36"/>
      <c r="L72" s="37" t="e">
        <f>H72-(H72*((MATCH(Table21215[[#This Row],[Evaluators Response (SELECT)]],Table21215[[#This Row],[1]:[11]],0)-1)/(COUNTA(Table21215[[#This Row],[1]:[11]])-COUNTBLANK(Table21215[[#This Row],[1]:[11]])-1)))</f>
        <v>#N/A</v>
      </c>
      <c r="M72" s="38"/>
      <c r="N72" s="29" t="s">
        <v>828</v>
      </c>
      <c r="O72" s="29" t="s">
        <v>829</v>
      </c>
      <c r="P72" s="29" t="s">
        <v>830</v>
      </c>
      <c r="Q72" s="29" t="str" cm="1">
        <f t="array" ref="Q72">IFERROR(INDEX(_xlfn.UNIQUE(TRIM(_xlfn.TEXTSPLIT(Table21215[[#This Row],[Selection Options]:[Selection Options]],","))),,Q$11),"")</f>
        <v xml:space="preserve">
 0%: Not currently supported</v>
      </c>
      <c r="R72" s="29" t="str" cm="1">
        <f t="array" ref="R72">IFERROR(INDEX(_xlfn.UNIQUE(TRIM(_xlfn.TEXTSPLIT(Table21215[[#This Row],[Selection Options]:[Selection Options]],","))),,R$11),"")</f>
        <v/>
      </c>
      <c r="S72" s="29" t="str" cm="1">
        <f t="array" ref="S72">IFERROR(INDEX(_xlfn.UNIQUE(TRIM(_xlfn.TEXTSPLIT(Table21215[[#This Row],[Selection Options]:[Selection Options]],","))),,S$11),"")</f>
        <v/>
      </c>
      <c r="T72" s="29" t="str" cm="1">
        <f t="array" ref="T72">IFERROR(INDEX(_xlfn.UNIQUE(TRIM(_xlfn.TEXTSPLIT(Table21215[[#This Row],[Selection Options]:[Selection Options]],","))),,T$11),"")</f>
        <v/>
      </c>
      <c r="U72" s="29" t="str" cm="1">
        <f t="array" ref="U72">IFERROR(INDEX(_xlfn.UNIQUE(TRIM(_xlfn.TEXTSPLIT(Table21215[[#This Row],[Selection Options]:[Selection Options]],","))),,U$11),"")</f>
        <v/>
      </c>
      <c r="V72" s="29" t="str" cm="1">
        <f t="array" ref="V72">IFERROR(INDEX(_xlfn.UNIQUE(TRIM(_xlfn.TEXTSPLIT(Table21215[[#This Row],[Selection Options]:[Selection Options]],","))),,V$11),"")</f>
        <v/>
      </c>
      <c r="W72" s="29" t="str" cm="1">
        <f t="array" ref="W72">IFERROR(INDEX(_xlfn.UNIQUE(TRIM(_xlfn.TEXTSPLIT(Table21215[[#This Row],[Selection Options]:[Selection Options]],","))),,W$11),"")</f>
        <v/>
      </c>
      <c r="X72" s="29" t="str" cm="1">
        <f t="array" ref="X72">IFERROR(INDEX(_xlfn.UNIQUE(TRIM(_xlfn.TEXTSPLIT(Table21215[[#This Row],[Selection Options]:[Selection Options]],","))),,X$11),"")</f>
        <v/>
      </c>
      <c r="Y72" s="30" cm="1">
        <f t="array" ref="Y72">IF(Table21215[[#This Row],[1]]="","",Table21215[[#This Row],[Weight]:[Weight]]-(Table21215[[#This Row],[Weight]:[Weight]]*((_xlfn.XMATCH(Table21215[[#This Row],[1]],Table21215[[#This Row],[1]:[11]],0))-1)/(COUNTA(Table21215[[#This Row],[1]:[11]])-COUNTBLANK(Table21215[[#This Row],[1]:[11]])-1)))</f>
        <v>4.7656870532168391E-3</v>
      </c>
      <c r="Z72" s="30" cm="1">
        <f t="array" ref="Z72">IF(Table21215[[#This Row],[2]]="","",Table21215[[#This Row],[Weight]:[Weight]]-(Table21215[[#This Row],[Weight]:[Weight]]*((_xlfn.XMATCH(Table21215[[#This Row],[2]],Table21215[[#This Row],[1]:[11]],0))-1)/(COUNTA(Table21215[[#This Row],[1]:[11]])-COUNTBLANK(Table21215[[#This Row],[1]:[11]])-1)))</f>
        <v>3.1771247021445594E-3</v>
      </c>
      <c r="AA72" s="30" cm="1">
        <f t="array" ref="AA72">IF(Table21215[[#This Row],[3]]="","",Table21215[[#This Row],[Weight]:[Weight]]-(Table21215[[#This Row],[Weight]:[Weight]]*((_xlfn.XMATCH(Table21215[[#This Row],[3]],Table21215[[#This Row],[1]:[11]],0))-1)/(COUNTA(Table21215[[#This Row],[1]:[11]])-COUNTBLANK(Table21215[[#This Row],[1]:[11]])-1)))</f>
        <v>1.5885623510722797E-3</v>
      </c>
      <c r="AB72" s="30" cm="1">
        <f t="array" ref="AB72">IF(Table21215[[#This Row],[4]]="","",Table21215[[#This Row],[Weight]:[Weight]]-(Table21215[[#This Row],[Weight]:[Weight]]*((_xlfn.XMATCH(Table21215[[#This Row],[4]],Table21215[[#This Row],[1]:[11]],0))-1)/(COUNTA(Table21215[[#This Row],[1]:[11]])-COUNTBLANK(Table21215[[#This Row],[1]:[11]])-1)))</f>
        <v>0</v>
      </c>
      <c r="AC72" s="30" t="str" cm="1">
        <f t="array" ref="AC72">IF(Table21215[[#This Row],[5]]="","",Table21215[[#This Row],[Weight]:[Weight]]-(Table21215[[#This Row],[Weight]:[Weight]]*((_xlfn.XMATCH(Table21215[[#This Row],[5]],Table21215[[#This Row],[1]:[11]],0))-1)/(COUNTA(Table21215[[#This Row],[1]:[11]])-COUNTBLANK(Table21215[[#This Row],[1]:[11]])-1)))</f>
        <v/>
      </c>
      <c r="AD72" s="30" t="str" cm="1">
        <f t="array" ref="AD72">IF(Table21215[[#This Row],[6]]="","",Table21215[[#This Row],[Weight]:[Weight]]-(Table21215[[#This Row],[Weight]:[Weight]]*((_xlfn.XMATCH(Table21215[[#This Row],[6]],Table21215[[#This Row],[1]:[11]],0))-1)/(COUNTA(Table21215[[#This Row],[1]:[11]])-COUNTBLANK(Table21215[[#This Row],[1]:[11]])-1)))</f>
        <v/>
      </c>
      <c r="AE72" s="30" t="str" cm="1">
        <f t="array" ref="AE72">IF(Table21215[[#This Row],[7]]="","",Table21215[[#This Row],[Weight]:[Weight]]-(Table21215[[#This Row],[Weight]:[Weight]]*((_xlfn.XMATCH(Table21215[[#This Row],[7]],Table21215[[#This Row],[1]:[11]],0))-1)/(COUNTA(Table21215[[#This Row],[1]:[11]])-COUNTBLANK(Table21215[[#This Row],[1]:[11]])-1)))</f>
        <v/>
      </c>
      <c r="AF72" s="30" t="str" cm="1">
        <f t="array" ref="AF72">IF(Table21215[[#This Row],[8]]="","",Table21215[[#This Row],[Weight]:[Weight]]-(Table21215[[#This Row],[Weight]:[Weight]]*((_xlfn.XMATCH(Table21215[[#This Row],[8]],Table21215[[#This Row],[1]:[11]],0))-1)/(COUNTA(Table21215[[#This Row],[1]:[11]])-COUNTBLANK(Table21215[[#This Row],[1]:[11]])-1)))</f>
        <v/>
      </c>
      <c r="AG72" s="30" t="str" cm="1">
        <f t="array" ref="AG72">IF(Table21215[[#This Row],[9]]="","",Table21215[[#This Row],[Weight]:[Weight]]-(Table21215[[#This Row],[Weight]:[Weight]]*((_xlfn.XMATCH(Table21215[[#This Row],[9]],Table21215[[#This Row],[1]:[11]],0))-1)/(COUNTA(Table21215[[#This Row],[1]:[11]])-COUNTBLANK(Table21215[[#This Row],[1]:[11]])-1)))</f>
        <v/>
      </c>
      <c r="AH72" s="30" t="str" cm="1">
        <f t="array" ref="AH72">IF(Table21215[[#This Row],[10]]="","",Table21215[[#This Row],[Weight]:[Weight]]-(Table21215[[#This Row],[Weight]:[Weight]]*((_xlfn.XMATCH(Table21215[[#This Row],[10]],Table21215[[#This Row],[1]:[11]],0))-1)/(COUNTA(Table21215[[#This Row],[1]:[11]])-COUNTBLANK(Table21215[[#This Row],[1]:[11]])-1)))</f>
        <v/>
      </c>
      <c r="AI72" s="30" t="str" cm="1">
        <f t="array" ref="AI72">IF(Table21215[[#This Row],[11]]="","",Table21215[[#This Row],[Weight]:[Weight]]-(Table21215[[#This Row],[Weight]:[Weight]]*((_xlfn.XMATCH(Table21215[[#This Row],[11]],Table21215[[#This Row],[1]:[11]],0))-1)/(COUNTA(Table21215[[#This Row],[1]:[11]])-COUNTBLANK(Table21215[[#This Row],[1]:[11]])-1)))</f>
        <v/>
      </c>
    </row>
    <row r="73" spans="1:35" ht="108" x14ac:dyDescent="0.2">
      <c r="A73" s="20">
        <v>61</v>
      </c>
      <c r="B73" s="165" t="s">
        <v>890</v>
      </c>
      <c r="C73" s="21" t="s">
        <v>826</v>
      </c>
      <c r="D73" s="38"/>
      <c r="E73" s="38"/>
      <c r="F73" s="159" t="s">
        <v>60</v>
      </c>
      <c r="G73" s="160" cm="1">
        <f t="array" ref="G73">_xlfn.IFS(F73="","",F73="No interest",0,F73="Nice to have",1,F73="Useful",2,F73="Important",3,F73="Very important",4,F73="Critical",5,F73="Show stopper",6)</f>
        <v>6</v>
      </c>
      <c r="H73" s="161">
        <f t="shared" si="2"/>
        <v>4.7656870532168391E-3</v>
      </c>
      <c r="I73" s="157" t="s">
        <v>827</v>
      </c>
      <c r="J73" s="35" t="str" cm="1">
        <f t="array" ref="J73">_xlfn.TEXTJOIN(","&amp;CHAR(10),,TEXT(Table21215[[#This Row],[12]:[22]],"0,00%"))</f>
        <v>0,00%,
0,00%,
0,00%,
0,00%</v>
      </c>
      <c r="K73" s="36"/>
      <c r="L73" s="37" t="e">
        <f>H73-(H73*((MATCH(Table21215[[#This Row],[Evaluators Response (SELECT)]],Table21215[[#This Row],[1]:[11]],0)-1)/(COUNTA(Table21215[[#This Row],[1]:[11]])-COUNTBLANK(Table21215[[#This Row],[1]:[11]])-1)))</f>
        <v>#N/A</v>
      </c>
      <c r="M73" s="38"/>
      <c r="N73" s="29" t="s">
        <v>828</v>
      </c>
      <c r="O73" s="29" t="s">
        <v>829</v>
      </c>
      <c r="P73" s="29" t="s">
        <v>830</v>
      </c>
      <c r="Q73" s="29" t="str" cm="1">
        <f t="array" ref="Q73">IFERROR(INDEX(_xlfn.UNIQUE(TRIM(_xlfn.TEXTSPLIT(Table21215[[#This Row],[Selection Options]:[Selection Options]],","))),,Q$11),"")</f>
        <v xml:space="preserve">
 0%: Not currently supported</v>
      </c>
      <c r="R73" s="29" t="str" cm="1">
        <f t="array" ref="R73">IFERROR(INDEX(_xlfn.UNIQUE(TRIM(_xlfn.TEXTSPLIT(Table21215[[#This Row],[Selection Options]:[Selection Options]],","))),,R$11),"")</f>
        <v/>
      </c>
      <c r="S73" s="29" t="str" cm="1">
        <f t="array" ref="S73">IFERROR(INDEX(_xlfn.UNIQUE(TRIM(_xlfn.TEXTSPLIT(Table21215[[#This Row],[Selection Options]:[Selection Options]],","))),,S$11),"")</f>
        <v/>
      </c>
      <c r="T73" s="29" t="str" cm="1">
        <f t="array" ref="T73">IFERROR(INDEX(_xlfn.UNIQUE(TRIM(_xlfn.TEXTSPLIT(Table21215[[#This Row],[Selection Options]:[Selection Options]],","))),,T$11),"")</f>
        <v/>
      </c>
      <c r="U73" s="29" t="str" cm="1">
        <f t="array" ref="U73">IFERROR(INDEX(_xlfn.UNIQUE(TRIM(_xlfn.TEXTSPLIT(Table21215[[#This Row],[Selection Options]:[Selection Options]],","))),,U$11),"")</f>
        <v/>
      </c>
      <c r="V73" s="29" t="str" cm="1">
        <f t="array" ref="V73">IFERROR(INDEX(_xlfn.UNIQUE(TRIM(_xlfn.TEXTSPLIT(Table21215[[#This Row],[Selection Options]:[Selection Options]],","))),,V$11),"")</f>
        <v/>
      </c>
      <c r="W73" s="29" t="str" cm="1">
        <f t="array" ref="W73">IFERROR(INDEX(_xlfn.UNIQUE(TRIM(_xlfn.TEXTSPLIT(Table21215[[#This Row],[Selection Options]:[Selection Options]],","))),,W$11),"")</f>
        <v/>
      </c>
      <c r="X73" s="29" t="str" cm="1">
        <f t="array" ref="X73">IFERROR(INDEX(_xlfn.UNIQUE(TRIM(_xlfn.TEXTSPLIT(Table21215[[#This Row],[Selection Options]:[Selection Options]],","))),,X$11),"")</f>
        <v/>
      </c>
      <c r="Y73" s="30" cm="1">
        <f t="array" ref="Y73">IF(Table21215[[#This Row],[1]]="","",Table21215[[#This Row],[Weight]:[Weight]]-(Table21215[[#This Row],[Weight]:[Weight]]*((_xlfn.XMATCH(Table21215[[#This Row],[1]],Table21215[[#This Row],[1]:[11]],0))-1)/(COUNTA(Table21215[[#This Row],[1]:[11]])-COUNTBLANK(Table21215[[#This Row],[1]:[11]])-1)))</f>
        <v>4.7656870532168391E-3</v>
      </c>
      <c r="Z73" s="30" cm="1">
        <f t="array" ref="Z73">IF(Table21215[[#This Row],[2]]="","",Table21215[[#This Row],[Weight]:[Weight]]-(Table21215[[#This Row],[Weight]:[Weight]]*((_xlfn.XMATCH(Table21215[[#This Row],[2]],Table21215[[#This Row],[1]:[11]],0))-1)/(COUNTA(Table21215[[#This Row],[1]:[11]])-COUNTBLANK(Table21215[[#This Row],[1]:[11]])-1)))</f>
        <v>3.1771247021445594E-3</v>
      </c>
      <c r="AA73" s="30" cm="1">
        <f t="array" ref="AA73">IF(Table21215[[#This Row],[3]]="","",Table21215[[#This Row],[Weight]:[Weight]]-(Table21215[[#This Row],[Weight]:[Weight]]*((_xlfn.XMATCH(Table21215[[#This Row],[3]],Table21215[[#This Row],[1]:[11]],0))-1)/(COUNTA(Table21215[[#This Row],[1]:[11]])-COUNTBLANK(Table21215[[#This Row],[1]:[11]])-1)))</f>
        <v>1.5885623510722797E-3</v>
      </c>
      <c r="AB73" s="30" cm="1">
        <f t="array" ref="AB73">IF(Table21215[[#This Row],[4]]="","",Table21215[[#This Row],[Weight]:[Weight]]-(Table21215[[#This Row],[Weight]:[Weight]]*((_xlfn.XMATCH(Table21215[[#This Row],[4]],Table21215[[#This Row],[1]:[11]],0))-1)/(COUNTA(Table21215[[#This Row],[1]:[11]])-COUNTBLANK(Table21215[[#This Row],[1]:[11]])-1)))</f>
        <v>0</v>
      </c>
      <c r="AC73" s="30" t="str" cm="1">
        <f t="array" ref="AC73">IF(Table21215[[#This Row],[5]]="","",Table21215[[#This Row],[Weight]:[Weight]]-(Table21215[[#This Row],[Weight]:[Weight]]*((_xlfn.XMATCH(Table21215[[#This Row],[5]],Table21215[[#This Row],[1]:[11]],0))-1)/(COUNTA(Table21215[[#This Row],[1]:[11]])-COUNTBLANK(Table21215[[#This Row],[1]:[11]])-1)))</f>
        <v/>
      </c>
      <c r="AD73" s="30" t="str" cm="1">
        <f t="array" ref="AD73">IF(Table21215[[#This Row],[6]]="","",Table21215[[#This Row],[Weight]:[Weight]]-(Table21215[[#This Row],[Weight]:[Weight]]*((_xlfn.XMATCH(Table21215[[#This Row],[6]],Table21215[[#This Row],[1]:[11]],0))-1)/(COUNTA(Table21215[[#This Row],[1]:[11]])-COUNTBLANK(Table21215[[#This Row],[1]:[11]])-1)))</f>
        <v/>
      </c>
      <c r="AE73" s="30" t="str" cm="1">
        <f t="array" ref="AE73">IF(Table21215[[#This Row],[7]]="","",Table21215[[#This Row],[Weight]:[Weight]]-(Table21215[[#This Row],[Weight]:[Weight]]*((_xlfn.XMATCH(Table21215[[#This Row],[7]],Table21215[[#This Row],[1]:[11]],0))-1)/(COUNTA(Table21215[[#This Row],[1]:[11]])-COUNTBLANK(Table21215[[#This Row],[1]:[11]])-1)))</f>
        <v/>
      </c>
      <c r="AF73" s="30" t="str" cm="1">
        <f t="array" ref="AF73">IF(Table21215[[#This Row],[8]]="","",Table21215[[#This Row],[Weight]:[Weight]]-(Table21215[[#This Row],[Weight]:[Weight]]*((_xlfn.XMATCH(Table21215[[#This Row],[8]],Table21215[[#This Row],[1]:[11]],0))-1)/(COUNTA(Table21215[[#This Row],[1]:[11]])-COUNTBLANK(Table21215[[#This Row],[1]:[11]])-1)))</f>
        <v/>
      </c>
      <c r="AG73" s="30" t="str" cm="1">
        <f t="array" ref="AG73">IF(Table21215[[#This Row],[9]]="","",Table21215[[#This Row],[Weight]:[Weight]]-(Table21215[[#This Row],[Weight]:[Weight]]*((_xlfn.XMATCH(Table21215[[#This Row],[9]],Table21215[[#This Row],[1]:[11]],0))-1)/(COUNTA(Table21215[[#This Row],[1]:[11]])-COUNTBLANK(Table21215[[#This Row],[1]:[11]])-1)))</f>
        <v/>
      </c>
      <c r="AH73" s="30" t="str" cm="1">
        <f t="array" ref="AH73">IF(Table21215[[#This Row],[10]]="","",Table21215[[#This Row],[Weight]:[Weight]]-(Table21215[[#This Row],[Weight]:[Weight]]*((_xlfn.XMATCH(Table21215[[#This Row],[10]],Table21215[[#This Row],[1]:[11]],0))-1)/(COUNTA(Table21215[[#This Row],[1]:[11]])-COUNTBLANK(Table21215[[#This Row],[1]:[11]])-1)))</f>
        <v/>
      </c>
      <c r="AI73" s="30" t="str" cm="1">
        <f t="array" ref="AI73">IF(Table21215[[#This Row],[11]]="","",Table21215[[#This Row],[Weight]:[Weight]]-(Table21215[[#This Row],[Weight]:[Weight]]*((_xlfn.XMATCH(Table21215[[#This Row],[11]],Table21215[[#This Row],[1]:[11]],0))-1)/(COUNTA(Table21215[[#This Row],[1]:[11]])-COUNTBLANK(Table21215[[#This Row],[1]:[11]])-1)))</f>
        <v/>
      </c>
    </row>
    <row r="74" spans="1:35" ht="108" x14ac:dyDescent="0.2">
      <c r="A74" s="20">
        <v>62</v>
      </c>
      <c r="B74" s="165" t="s">
        <v>891</v>
      </c>
      <c r="C74" s="21" t="s">
        <v>826</v>
      </c>
      <c r="D74" s="38"/>
      <c r="E74" s="38"/>
      <c r="F74" s="159" t="s">
        <v>60</v>
      </c>
      <c r="G74" s="160" cm="1">
        <f t="array" ref="G74">_xlfn.IFS(F74="","",F74="No interest",0,F74="Nice to have",1,F74="Useful",2,F74="Important",3,F74="Very important",4,F74="Critical",5,F74="Show stopper",6)</f>
        <v>6</v>
      </c>
      <c r="H74" s="161">
        <f t="shared" si="2"/>
        <v>4.7656870532168391E-3</v>
      </c>
      <c r="I74" s="157" t="s">
        <v>827</v>
      </c>
      <c r="J74" s="35" t="str" cm="1">
        <f t="array" ref="J74">_xlfn.TEXTJOIN(","&amp;CHAR(10),,TEXT(Table21215[[#This Row],[12]:[22]],"0,00%"))</f>
        <v>0,00%,
0,00%,
0,00%,
0,00%</v>
      </c>
      <c r="K74" s="36"/>
      <c r="L74" s="37" t="e">
        <f>H74-(H74*((MATCH(Table21215[[#This Row],[Evaluators Response (SELECT)]],Table21215[[#This Row],[1]:[11]],0)-1)/(COUNTA(Table21215[[#This Row],[1]:[11]])-COUNTBLANK(Table21215[[#This Row],[1]:[11]])-1)))</f>
        <v>#N/A</v>
      </c>
      <c r="M74" s="38"/>
      <c r="N74" s="29" t="s">
        <v>828</v>
      </c>
      <c r="O74" s="29" t="s">
        <v>829</v>
      </c>
      <c r="P74" s="29" t="s">
        <v>830</v>
      </c>
      <c r="Q74" s="29" t="str" cm="1">
        <f t="array" ref="Q74">IFERROR(INDEX(_xlfn.UNIQUE(TRIM(_xlfn.TEXTSPLIT(Table21215[[#This Row],[Selection Options]:[Selection Options]],","))),,Q$11),"")</f>
        <v xml:space="preserve">
 0%: Not currently supported</v>
      </c>
      <c r="R74" s="29" t="str" cm="1">
        <f t="array" ref="R74">IFERROR(INDEX(_xlfn.UNIQUE(TRIM(_xlfn.TEXTSPLIT(Table21215[[#This Row],[Selection Options]:[Selection Options]],","))),,R$11),"")</f>
        <v/>
      </c>
      <c r="S74" s="29" t="str" cm="1">
        <f t="array" ref="S74">IFERROR(INDEX(_xlfn.UNIQUE(TRIM(_xlfn.TEXTSPLIT(Table21215[[#This Row],[Selection Options]:[Selection Options]],","))),,S$11),"")</f>
        <v/>
      </c>
      <c r="T74" s="29" t="str" cm="1">
        <f t="array" ref="T74">IFERROR(INDEX(_xlfn.UNIQUE(TRIM(_xlfn.TEXTSPLIT(Table21215[[#This Row],[Selection Options]:[Selection Options]],","))),,T$11),"")</f>
        <v/>
      </c>
      <c r="U74" s="29" t="str" cm="1">
        <f t="array" ref="U74">IFERROR(INDEX(_xlfn.UNIQUE(TRIM(_xlfn.TEXTSPLIT(Table21215[[#This Row],[Selection Options]:[Selection Options]],","))),,U$11),"")</f>
        <v/>
      </c>
      <c r="V74" s="29" t="str" cm="1">
        <f t="array" ref="V74">IFERROR(INDEX(_xlfn.UNIQUE(TRIM(_xlfn.TEXTSPLIT(Table21215[[#This Row],[Selection Options]:[Selection Options]],","))),,V$11),"")</f>
        <v/>
      </c>
      <c r="W74" s="29" t="str" cm="1">
        <f t="array" ref="W74">IFERROR(INDEX(_xlfn.UNIQUE(TRIM(_xlfn.TEXTSPLIT(Table21215[[#This Row],[Selection Options]:[Selection Options]],","))),,W$11),"")</f>
        <v/>
      </c>
      <c r="X74" s="29" t="str" cm="1">
        <f t="array" ref="X74">IFERROR(INDEX(_xlfn.UNIQUE(TRIM(_xlfn.TEXTSPLIT(Table21215[[#This Row],[Selection Options]:[Selection Options]],","))),,X$11),"")</f>
        <v/>
      </c>
      <c r="Y74" s="30" cm="1">
        <f t="array" ref="Y74">IF(Table21215[[#This Row],[1]]="","",Table21215[[#This Row],[Weight]:[Weight]]-(Table21215[[#This Row],[Weight]:[Weight]]*((_xlfn.XMATCH(Table21215[[#This Row],[1]],Table21215[[#This Row],[1]:[11]],0))-1)/(COUNTA(Table21215[[#This Row],[1]:[11]])-COUNTBLANK(Table21215[[#This Row],[1]:[11]])-1)))</f>
        <v>4.7656870532168391E-3</v>
      </c>
      <c r="Z74" s="30" cm="1">
        <f t="array" ref="Z74">IF(Table21215[[#This Row],[2]]="","",Table21215[[#This Row],[Weight]:[Weight]]-(Table21215[[#This Row],[Weight]:[Weight]]*((_xlfn.XMATCH(Table21215[[#This Row],[2]],Table21215[[#This Row],[1]:[11]],0))-1)/(COUNTA(Table21215[[#This Row],[1]:[11]])-COUNTBLANK(Table21215[[#This Row],[1]:[11]])-1)))</f>
        <v>3.1771247021445594E-3</v>
      </c>
      <c r="AA74" s="30" cm="1">
        <f t="array" ref="AA74">IF(Table21215[[#This Row],[3]]="","",Table21215[[#This Row],[Weight]:[Weight]]-(Table21215[[#This Row],[Weight]:[Weight]]*((_xlfn.XMATCH(Table21215[[#This Row],[3]],Table21215[[#This Row],[1]:[11]],0))-1)/(COUNTA(Table21215[[#This Row],[1]:[11]])-COUNTBLANK(Table21215[[#This Row],[1]:[11]])-1)))</f>
        <v>1.5885623510722797E-3</v>
      </c>
      <c r="AB74" s="30" cm="1">
        <f t="array" ref="AB74">IF(Table21215[[#This Row],[4]]="","",Table21215[[#This Row],[Weight]:[Weight]]-(Table21215[[#This Row],[Weight]:[Weight]]*((_xlfn.XMATCH(Table21215[[#This Row],[4]],Table21215[[#This Row],[1]:[11]],0))-1)/(COUNTA(Table21215[[#This Row],[1]:[11]])-COUNTBLANK(Table21215[[#This Row],[1]:[11]])-1)))</f>
        <v>0</v>
      </c>
      <c r="AC74" s="30" t="str" cm="1">
        <f t="array" ref="AC74">IF(Table21215[[#This Row],[5]]="","",Table21215[[#This Row],[Weight]:[Weight]]-(Table21215[[#This Row],[Weight]:[Weight]]*((_xlfn.XMATCH(Table21215[[#This Row],[5]],Table21215[[#This Row],[1]:[11]],0))-1)/(COUNTA(Table21215[[#This Row],[1]:[11]])-COUNTBLANK(Table21215[[#This Row],[1]:[11]])-1)))</f>
        <v/>
      </c>
      <c r="AD74" s="30" t="str" cm="1">
        <f t="array" ref="AD74">IF(Table21215[[#This Row],[6]]="","",Table21215[[#This Row],[Weight]:[Weight]]-(Table21215[[#This Row],[Weight]:[Weight]]*((_xlfn.XMATCH(Table21215[[#This Row],[6]],Table21215[[#This Row],[1]:[11]],0))-1)/(COUNTA(Table21215[[#This Row],[1]:[11]])-COUNTBLANK(Table21215[[#This Row],[1]:[11]])-1)))</f>
        <v/>
      </c>
      <c r="AE74" s="30" t="str" cm="1">
        <f t="array" ref="AE74">IF(Table21215[[#This Row],[7]]="","",Table21215[[#This Row],[Weight]:[Weight]]-(Table21215[[#This Row],[Weight]:[Weight]]*((_xlfn.XMATCH(Table21215[[#This Row],[7]],Table21215[[#This Row],[1]:[11]],0))-1)/(COUNTA(Table21215[[#This Row],[1]:[11]])-COUNTBLANK(Table21215[[#This Row],[1]:[11]])-1)))</f>
        <v/>
      </c>
      <c r="AF74" s="30" t="str" cm="1">
        <f t="array" ref="AF74">IF(Table21215[[#This Row],[8]]="","",Table21215[[#This Row],[Weight]:[Weight]]-(Table21215[[#This Row],[Weight]:[Weight]]*((_xlfn.XMATCH(Table21215[[#This Row],[8]],Table21215[[#This Row],[1]:[11]],0))-1)/(COUNTA(Table21215[[#This Row],[1]:[11]])-COUNTBLANK(Table21215[[#This Row],[1]:[11]])-1)))</f>
        <v/>
      </c>
      <c r="AG74" s="30" t="str" cm="1">
        <f t="array" ref="AG74">IF(Table21215[[#This Row],[9]]="","",Table21215[[#This Row],[Weight]:[Weight]]-(Table21215[[#This Row],[Weight]:[Weight]]*((_xlfn.XMATCH(Table21215[[#This Row],[9]],Table21215[[#This Row],[1]:[11]],0))-1)/(COUNTA(Table21215[[#This Row],[1]:[11]])-COUNTBLANK(Table21215[[#This Row],[1]:[11]])-1)))</f>
        <v/>
      </c>
      <c r="AH74" s="30" t="str" cm="1">
        <f t="array" ref="AH74">IF(Table21215[[#This Row],[10]]="","",Table21215[[#This Row],[Weight]:[Weight]]-(Table21215[[#This Row],[Weight]:[Weight]]*((_xlfn.XMATCH(Table21215[[#This Row],[10]],Table21215[[#This Row],[1]:[11]],0))-1)/(COUNTA(Table21215[[#This Row],[1]:[11]])-COUNTBLANK(Table21215[[#This Row],[1]:[11]])-1)))</f>
        <v/>
      </c>
      <c r="AI74" s="30" t="str" cm="1">
        <f t="array" ref="AI74">IF(Table21215[[#This Row],[11]]="","",Table21215[[#This Row],[Weight]:[Weight]]-(Table21215[[#This Row],[Weight]:[Weight]]*((_xlfn.XMATCH(Table21215[[#This Row],[11]],Table21215[[#This Row],[1]:[11]],0))-1)/(COUNTA(Table21215[[#This Row],[1]:[11]])-COUNTBLANK(Table21215[[#This Row],[1]:[11]])-1)))</f>
        <v/>
      </c>
    </row>
    <row r="75" spans="1:35" ht="108" x14ac:dyDescent="0.2">
      <c r="A75" s="20">
        <v>63</v>
      </c>
      <c r="B75" s="165" t="s">
        <v>892</v>
      </c>
      <c r="C75" s="21" t="s">
        <v>826</v>
      </c>
      <c r="D75" s="38"/>
      <c r="E75" s="38"/>
      <c r="F75" s="159" t="s">
        <v>60</v>
      </c>
      <c r="G75" s="160" cm="1">
        <f t="array" ref="G75">_xlfn.IFS(F75="","",F75="No interest",0,F75="Nice to have",1,F75="Useful",2,F75="Important",3,F75="Very important",4,F75="Critical",5,F75="Show stopper",6)</f>
        <v>6</v>
      </c>
      <c r="H75" s="161">
        <f t="shared" si="2"/>
        <v>4.7656870532168391E-3</v>
      </c>
      <c r="I75" s="157" t="s">
        <v>827</v>
      </c>
      <c r="J75" s="35" t="str" cm="1">
        <f t="array" ref="J75">_xlfn.TEXTJOIN(","&amp;CHAR(10),,TEXT(Table21215[[#This Row],[12]:[22]],"0,00%"))</f>
        <v>0,00%,
0,00%,
0,00%,
0,00%</v>
      </c>
      <c r="K75" s="36"/>
      <c r="L75" s="37" t="e">
        <f>H75-(H75*((MATCH(Table21215[[#This Row],[Evaluators Response (SELECT)]],Table21215[[#This Row],[1]:[11]],0)-1)/(COUNTA(Table21215[[#This Row],[1]:[11]])-COUNTBLANK(Table21215[[#This Row],[1]:[11]])-1)))</f>
        <v>#N/A</v>
      </c>
      <c r="M75" s="38"/>
      <c r="N75" s="29" t="s">
        <v>828</v>
      </c>
      <c r="O75" s="29" t="s">
        <v>829</v>
      </c>
      <c r="P75" s="29" t="s">
        <v>830</v>
      </c>
      <c r="Q75" s="29" t="str" cm="1">
        <f t="array" ref="Q75">IFERROR(INDEX(_xlfn.UNIQUE(TRIM(_xlfn.TEXTSPLIT(Table21215[[#This Row],[Selection Options]:[Selection Options]],","))),,Q$11),"")</f>
        <v xml:space="preserve">
 0%: Not currently supported</v>
      </c>
      <c r="R75" s="29" t="str" cm="1">
        <f t="array" ref="R75">IFERROR(INDEX(_xlfn.UNIQUE(TRIM(_xlfn.TEXTSPLIT(Table21215[[#This Row],[Selection Options]:[Selection Options]],","))),,R$11),"")</f>
        <v/>
      </c>
      <c r="S75" s="29" t="str" cm="1">
        <f t="array" ref="S75">IFERROR(INDEX(_xlfn.UNIQUE(TRIM(_xlfn.TEXTSPLIT(Table21215[[#This Row],[Selection Options]:[Selection Options]],","))),,S$11),"")</f>
        <v/>
      </c>
      <c r="T75" s="29" t="str" cm="1">
        <f t="array" ref="T75">IFERROR(INDEX(_xlfn.UNIQUE(TRIM(_xlfn.TEXTSPLIT(Table21215[[#This Row],[Selection Options]:[Selection Options]],","))),,T$11),"")</f>
        <v/>
      </c>
      <c r="U75" s="29" t="str" cm="1">
        <f t="array" ref="U75">IFERROR(INDEX(_xlfn.UNIQUE(TRIM(_xlfn.TEXTSPLIT(Table21215[[#This Row],[Selection Options]:[Selection Options]],","))),,U$11),"")</f>
        <v/>
      </c>
      <c r="V75" s="29" t="str" cm="1">
        <f t="array" ref="V75">IFERROR(INDEX(_xlfn.UNIQUE(TRIM(_xlfn.TEXTSPLIT(Table21215[[#This Row],[Selection Options]:[Selection Options]],","))),,V$11),"")</f>
        <v/>
      </c>
      <c r="W75" s="29" t="str" cm="1">
        <f t="array" ref="W75">IFERROR(INDEX(_xlfn.UNIQUE(TRIM(_xlfn.TEXTSPLIT(Table21215[[#This Row],[Selection Options]:[Selection Options]],","))),,W$11),"")</f>
        <v/>
      </c>
      <c r="X75" s="29" t="str" cm="1">
        <f t="array" ref="X75">IFERROR(INDEX(_xlfn.UNIQUE(TRIM(_xlfn.TEXTSPLIT(Table21215[[#This Row],[Selection Options]:[Selection Options]],","))),,X$11),"")</f>
        <v/>
      </c>
      <c r="Y75" s="30" cm="1">
        <f t="array" ref="Y75">IF(Table21215[[#This Row],[1]]="","",Table21215[[#This Row],[Weight]:[Weight]]-(Table21215[[#This Row],[Weight]:[Weight]]*((_xlfn.XMATCH(Table21215[[#This Row],[1]],Table21215[[#This Row],[1]:[11]],0))-1)/(COUNTA(Table21215[[#This Row],[1]:[11]])-COUNTBLANK(Table21215[[#This Row],[1]:[11]])-1)))</f>
        <v>4.7656870532168391E-3</v>
      </c>
      <c r="Z75" s="30" cm="1">
        <f t="array" ref="Z75">IF(Table21215[[#This Row],[2]]="","",Table21215[[#This Row],[Weight]:[Weight]]-(Table21215[[#This Row],[Weight]:[Weight]]*((_xlfn.XMATCH(Table21215[[#This Row],[2]],Table21215[[#This Row],[1]:[11]],0))-1)/(COUNTA(Table21215[[#This Row],[1]:[11]])-COUNTBLANK(Table21215[[#This Row],[1]:[11]])-1)))</f>
        <v>3.1771247021445594E-3</v>
      </c>
      <c r="AA75" s="30" cm="1">
        <f t="array" ref="AA75">IF(Table21215[[#This Row],[3]]="","",Table21215[[#This Row],[Weight]:[Weight]]-(Table21215[[#This Row],[Weight]:[Weight]]*((_xlfn.XMATCH(Table21215[[#This Row],[3]],Table21215[[#This Row],[1]:[11]],0))-1)/(COUNTA(Table21215[[#This Row],[1]:[11]])-COUNTBLANK(Table21215[[#This Row],[1]:[11]])-1)))</f>
        <v>1.5885623510722797E-3</v>
      </c>
      <c r="AB75" s="30" cm="1">
        <f t="array" ref="AB75">IF(Table21215[[#This Row],[4]]="","",Table21215[[#This Row],[Weight]:[Weight]]-(Table21215[[#This Row],[Weight]:[Weight]]*((_xlfn.XMATCH(Table21215[[#This Row],[4]],Table21215[[#This Row],[1]:[11]],0))-1)/(COUNTA(Table21215[[#This Row],[1]:[11]])-COUNTBLANK(Table21215[[#This Row],[1]:[11]])-1)))</f>
        <v>0</v>
      </c>
      <c r="AC75" s="30" t="str" cm="1">
        <f t="array" ref="AC75">IF(Table21215[[#This Row],[5]]="","",Table21215[[#This Row],[Weight]:[Weight]]-(Table21215[[#This Row],[Weight]:[Weight]]*((_xlfn.XMATCH(Table21215[[#This Row],[5]],Table21215[[#This Row],[1]:[11]],0))-1)/(COUNTA(Table21215[[#This Row],[1]:[11]])-COUNTBLANK(Table21215[[#This Row],[1]:[11]])-1)))</f>
        <v/>
      </c>
      <c r="AD75" s="30" t="str" cm="1">
        <f t="array" ref="AD75">IF(Table21215[[#This Row],[6]]="","",Table21215[[#This Row],[Weight]:[Weight]]-(Table21215[[#This Row],[Weight]:[Weight]]*((_xlfn.XMATCH(Table21215[[#This Row],[6]],Table21215[[#This Row],[1]:[11]],0))-1)/(COUNTA(Table21215[[#This Row],[1]:[11]])-COUNTBLANK(Table21215[[#This Row],[1]:[11]])-1)))</f>
        <v/>
      </c>
      <c r="AE75" s="30" t="str" cm="1">
        <f t="array" ref="AE75">IF(Table21215[[#This Row],[7]]="","",Table21215[[#This Row],[Weight]:[Weight]]-(Table21215[[#This Row],[Weight]:[Weight]]*((_xlfn.XMATCH(Table21215[[#This Row],[7]],Table21215[[#This Row],[1]:[11]],0))-1)/(COUNTA(Table21215[[#This Row],[1]:[11]])-COUNTBLANK(Table21215[[#This Row],[1]:[11]])-1)))</f>
        <v/>
      </c>
      <c r="AF75" s="30" t="str" cm="1">
        <f t="array" ref="AF75">IF(Table21215[[#This Row],[8]]="","",Table21215[[#This Row],[Weight]:[Weight]]-(Table21215[[#This Row],[Weight]:[Weight]]*((_xlfn.XMATCH(Table21215[[#This Row],[8]],Table21215[[#This Row],[1]:[11]],0))-1)/(COUNTA(Table21215[[#This Row],[1]:[11]])-COUNTBLANK(Table21215[[#This Row],[1]:[11]])-1)))</f>
        <v/>
      </c>
      <c r="AG75" s="30" t="str" cm="1">
        <f t="array" ref="AG75">IF(Table21215[[#This Row],[9]]="","",Table21215[[#This Row],[Weight]:[Weight]]-(Table21215[[#This Row],[Weight]:[Weight]]*((_xlfn.XMATCH(Table21215[[#This Row],[9]],Table21215[[#This Row],[1]:[11]],0))-1)/(COUNTA(Table21215[[#This Row],[1]:[11]])-COUNTBLANK(Table21215[[#This Row],[1]:[11]])-1)))</f>
        <v/>
      </c>
      <c r="AH75" s="30" t="str" cm="1">
        <f t="array" ref="AH75">IF(Table21215[[#This Row],[10]]="","",Table21215[[#This Row],[Weight]:[Weight]]-(Table21215[[#This Row],[Weight]:[Weight]]*((_xlfn.XMATCH(Table21215[[#This Row],[10]],Table21215[[#This Row],[1]:[11]],0))-1)/(COUNTA(Table21215[[#This Row],[1]:[11]])-COUNTBLANK(Table21215[[#This Row],[1]:[11]])-1)))</f>
        <v/>
      </c>
      <c r="AI75" s="30" t="str" cm="1">
        <f t="array" ref="AI75">IF(Table21215[[#This Row],[11]]="","",Table21215[[#This Row],[Weight]:[Weight]]-(Table21215[[#This Row],[Weight]:[Weight]]*((_xlfn.XMATCH(Table21215[[#This Row],[11]],Table21215[[#This Row],[1]:[11]],0))-1)/(COUNTA(Table21215[[#This Row],[1]:[11]])-COUNTBLANK(Table21215[[#This Row],[1]:[11]])-1)))</f>
        <v/>
      </c>
    </row>
    <row r="76" spans="1:35" ht="108" x14ac:dyDescent="0.2">
      <c r="A76" s="20">
        <v>64</v>
      </c>
      <c r="B76" s="165" t="s">
        <v>893</v>
      </c>
      <c r="C76" s="21" t="s">
        <v>826</v>
      </c>
      <c r="D76" s="38"/>
      <c r="E76" s="38"/>
      <c r="F76" s="159" t="s">
        <v>188</v>
      </c>
      <c r="G76" s="160" cm="1">
        <f t="array" ref="G76">_xlfn.IFS(F76="","",F76="No interest",0,F76="Nice to have",1,F76="Useful",2,F76="Important",3,F76="Very important",4,F76="Critical",5,F76="Show stopper",6)</f>
        <v>5</v>
      </c>
      <c r="H76" s="161">
        <f t="shared" si="2"/>
        <v>3.9714058776806989E-3</v>
      </c>
      <c r="I76" s="157" t="s">
        <v>827</v>
      </c>
      <c r="J76" s="35" t="str" cm="1">
        <f t="array" ref="J76">_xlfn.TEXTJOIN(","&amp;CHAR(10),,TEXT(Table21215[[#This Row],[12]:[22]],"0,00%"))</f>
        <v>0,00%,
0,00%,
0,00%,
0,00%</v>
      </c>
      <c r="K76" s="36"/>
      <c r="L76" s="37" t="e">
        <f>H76-(H76*((MATCH(Table21215[[#This Row],[Evaluators Response (SELECT)]],Table21215[[#This Row],[1]:[11]],0)-1)/(COUNTA(Table21215[[#This Row],[1]:[11]])-COUNTBLANK(Table21215[[#This Row],[1]:[11]])-1)))</f>
        <v>#N/A</v>
      </c>
      <c r="M76" s="38"/>
      <c r="N76" s="29" t="s">
        <v>828</v>
      </c>
      <c r="O76" s="29" t="s">
        <v>829</v>
      </c>
      <c r="P76" s="29" t="s">
        <v>830</v>
      </c>
      <c r="Q76" s="29" t="str" cm="1">
        <f t="array" ref="Q76">IFERROR(INDEX(_xlfn.UNIQUE(TRIM(_xlfn.TEXTSPLIT(Table21215[[#This Row],[Selection Options]:[Selection Options]],","))),,Q$11),"")</f>
        <v xml:space="preserve">
 0%: Not currently supported</v>
      </c>
      <c r="R76" s="29" t="str" cm="1">
        <f t="array" ref="R76">IFERROR(INDEX(_xlfn.UNIQUE(TRIM(_xlfn.TEXTSPLIT(Table21215[[#This Row],[Selection Options]:[Selection Options]],","))),,R$11),"")</f>
        <v/>
      </c>
      <c r="S76" s="29" t="str" cm="1">
        <f t="array" ref="S76">IFERROR(INDEX(_xlfn.UNIQUE(TRIM(_xlfn.TEXTSPLIT(Table21215[[#This Row],[Selection Options]:[Selection Options]],","))),,S$11),"")</f>
        <v/>
      </c>
      <c r="T76" s="29" t="str" cm="1">
        <f t="array" ref="T76">IFERROR(INDEX(_xlfn.UNIQUE(TRIM(_xlfn.TEXTSPLIT(Table21215[[#This Row],[Selection Options]:[Selection Options]],","))),,T$11),"")</f>
        <v/>
      </c>
      <c r="U76" s="29" t="str" cm="1">
        <f t="array" ref="U76">IFERROR(INDEX(_xlfn.UNIQUE(TRIM(_xlfn.TEXTSPLIT(Table21215[[#This Row],[Selection Options]:[Selection Options]],","))),,U$11),"")</f>
        <v/>
      </c>
      <c r="V76" s="29" t="str" cm="1">
        <f t="array" ref="V76">IFERROR(INDEX(_xlfn.UNIQUE(TRIM(_xlfn.TEXTSPLIT(Table21215[[#This Row],[Selection Options]:[Selection Options]],","))),,V$11),"")</f>
        <v/>
      </c>
      <c r="W76" s="29" t="str" cm="1">
        <f t="array" ref="W76">IFERROR(INDEX(_xlfn.UNIQUE(TRIM(_xlfn.TEXTSPLIT(Table21215[[#This Row],[Selection Options]:[Selection Options]],","))),,W$11),"")</f>
        <v/>
      </c>
      <c r="X76" s="29" t="str" cm="1">
        <f t="array" ref="X76">IFERROR(INDEX(_xlfn.UNIQUE(TRIM(_xlfn.TEXTSPLIT(Table21215[[#This Row],[Selection Options]:[Selection Options]],","))),,X$11),"")</f>
        <v/>
      </c>
      <c r="Y76" s="30" cm="1">
        <f t="array" ref="Y76">IF(Table21215[[#This Row],[1]]="","",Table21215[[#This Row],[Weight]:[Weight]]-(Table21215[[#This Row],[Weight]:[Weight]]*((_xlfn.XMATCH(Table21215[[#This Row],[1]],Table21215[[#This Row],[1]:[11]],0))-1)/(COUNTA(Table21215[[#This Row],[1]:[11]])-COUNTBLANK(Table21215[[#This Row],[1]:[11]])-1)))</f>
        <v>3.9714058776806989E-3</v>
      </c>
      <c r="Z76" s="30" cm="1">
        <f t="array" ref="Z76">IF(Table21215[[#This Row],[2]]="","",Table21215[[#This Row],[Weight]:[Weight]]-(Table21215[[#This Row],[Weight]:[Weight]]*((_xlfn.XMATCH(Table21215[[#This Row],[2]],Table21215[[#This Row],[1]:[11]],0))-1)/(COUNTA(Table21215[[#This Row],[1]:[11]])-COUNTBLANK(Table21215[[#This Row],[1]:[11]])-1)))</f>
        <v>2.6476039184537992E-3</v>
      </c>
      <c r="AA76" s="30" cm="1">
        <f t="array" ref="AA76">IF(Table21215[[#This Row],[3]]="","",Table21215[[#This Row],[Weight]:[Weight]]-(Table21215[[#This Row],[Weight]:[Weight]]*((_xlfn.XMATCH(Table21215[[#This Row],[3]],Table21215[[#This Row],[1]:[11]],0))-1)/(COUNTA(Table21215[[#This Row],[1]:[11]])-COUNTBLANK(Table21215[[#This Row],[1]:[11]])-1)))</f>
        <v>1.3238019592268996E-3</v>
      </c>
      <c r="AB76" s="30" cm="1">
        <f t="array" ref="AB76">IF(Table21215[[#This Row],[4]]="","",Table21215[[#This Row],[Weight]:[Weight]]-(Table21215[[#This Row],[Weight]:[Weight]]*((_xlfn.XMATCH(Table21215[[#This Row],[4]],Table21215[[#This Row],[1]:[11]],0))-1)/(COUNTA(Table21215[[#This Row],[1]:[11]])-COUNTBLANK(Table21215[[#This Row],[1]:[11]])-1)))</f>
        <v>0</v>
      </c>
      <c r="AC76" s="30" t="str" cm="1">
        <f t="array" ref="AC76">IF(Table21215[[#This Row],[5]]="","",Table21215[[#This Row],[Weight]:[Weight]]-(Table21215[[#This Row],[Weight]:[Weight]]*((_xlfn.XMATCH(Table21215[[#This Row],[5]],Table21215[[#This Row],[1]:[11]],0))-1)/(COUNTA(Table21215[[#This Row],[1]:[11]])-COUNTBLANK(Table21215[[#This Row],[1]:[11]])-1)))</f>
        <v/>
      </c>
      <c r="AD76" s="30" t="str" cm="1">
        <f t="array" ref="AD76">IF(Table21215[[#This Row],[6]]="","",Table21215[[#This Row],[Weight]:[Weight]]-(Table21215[[#This Row],[Weight]:[Weight]]*((_xlfn.XMATCH(Table21215[[#This Row],[6]],Table21215[[#This Row],[1]:[11]],0))-1)/(COUNTA(Table21215[[#This Row],[1]:[11]])-COUNTBLANK(Table21215[[#This Row],[1]:[11]])-1)))</f>
        <v/>
      </c>
      <c r="AE76" s="30" t="str" cm="1">
        <f t="array" ref="AE76">IF(Table21215[[#This Row],[7]]="","",Table21215[[#This Row],[Weight]:[Weight]]-(Table21215[[#This Row],[Weight]:[Weight]]*((_xlfn.XMATCH(Table21215[[#This Row],[7]],Table21215[[#This Row],[1]:[11]],0))-1)/(COUNTA(Table21215[[#This Row],[1]:[11]])-COUNTBLANK(Table21215[[#This Row],[1]:[11]])-1)))</f>
        <v/>
      </c>
      <c r="AF76" s="30" t="str" cm="1">
        <f t="array" ref="AF76">IF(Table21215[[#This Row],[8]]="","",Table21215[[#This Row],[Weight]:[Weight]]-(Table21215[[#This Row],[Weight]:[Weight]]*((_xlfn.XMATCH(Table21215[[#This Row],[8]],Table21215[[#This Row],[1]:[11]],0))-1)/(COUNTA(Table21215[[#This Row],[1]:[11]])-COUNTBLANK(Table21215[[#This Row],[1]:[11]])-1)))</f>
        <v/>
      </c>
      <c r="AG76" s="30" t="str" cm="1">
        <f t="array" ref="AG76">IF(Table21215[[#This Row],[9]]="","",Table21215[[#This Row],[Weight]:[Weight]]-(Table21215[[#This Row],[Weight]:[Weight]]*((_xlfn.XMATCH(Table21215[[#This Row],[9]],Table21215[[#This Row],[1]:[11]],0))-1)/(COUNTA(Table21215[[#This Row],[1]:[11]])-COUNTBLANK(Table21215[[#This Row],[1]:[11]])-1)))</f>
        <v/>
      </c>
      <c r="AH76" s="30" t="str" cm="1">
        <f t="array" ref="AH76">IF(Table21215[[#This Row],[10]]="","",Table21215[[#This Row],[Weight]:[Weight]]-(Table21215[[#This Row],[Weight]:[Weight]]*((_xlfn.XMATCH(Table21215[[#This Row],[10]],Table21215[[#This Row],[1]:[11]],0))-1)/(COUNTA(Table21215[[#This Row],[1]:[11]])-COUNTBLANK(Table21215[[#This Row],[1]:[11]])-1)))</f>
        <v/>
      </c>
      <c r="AI76" s="30" t="str" cm="1">
        <f t="array" ref="AI76">IF(Table21215[[#This Row],[11]]="","",Table21215[[#This Row],[Weight]:[Weight]]-(Table21215[[#This Row],[Weight]:[Weight]]*((_xlfn.XMATCH(Table21215[[#This Row],[11]],Table21215[[#This Row],[1]:[11]],0))-1)/(COUNTA(Table21215[[#This Row],[1]:[11]])-COUNTBLANK(Table21215[[#This Row],[1]:[11]])-1)))</f>
        <v/>
      </c>
    </row>
    <row r="77" spans="1:35" ht="108" x14ac:dyDescent="0.2">
      <c r="A77" s="20">
        <v>65</v>
      </c>
      <c r="B77" s="165" t="s">
        <v>894</v>
      </c>
      <c r="C77" s="21" t="s">
        <v>826</v>
      </c>
      <c r="D77" s="38"/>
      <c r="E77" s="38"/>
      <c r="F77" s="159" t="s">
        <v>60</v>
      </c>
      <c r="G77" s="160" cm="1">
        <f t="array" ref="G77">_xlfn.IFS(F77="","",F77="No interest",0,F77="Nice to have",1,F77="Useful",2,F77="Important",3,F77="Very important",4,F77="Critical",5,F77="Show stopper",6)</f>
        <v>6</v>
      </c>
      <c r="H77" s="161">
        <f t="shared" si="2"/>
        <v>4.7656870532168391E-3</v>
      </c>
      <c r="I77" s="157" t="s">
        <v>827</v>
      </c>
      <c r="J77" s="35" t="str" cm="1">
        <f t="array" ref="J77">_xlfn.TEXTJOIN(","&amp;CHAR(10),,TEXT(Table21215[[#This Row],[12]:[22]],"0,00%"))</f>
        <v>0,00%,
0,00%,
0,00%,
0,00%</v>
      </c>
      <c r="K77" s="36"/>
      <c r="L77" s="37" t="e">
        <f>H77-(H77*((MATCH(Table21215[[#This Row],[Evaluators Response (SELECT)]],Table21215[[#This Row],[1]:[11]],0)-1)/(COUNTA(Table21215[[#This Row],[1]:[11]])-COUNTBLANK(Table21215[[#This Row],[1]:[11]])-1)))</f>
        <v>#N/A</v>
      </c>
      <c r="M77" s="38"/>
      <c r="N77" s="29" t="s">
        <v>828</v>
      </c>
      <c r="O77" s="29" t="s">
        <v>829</v>
      </c>
      <c r="P77" s="29" t="s">
        <v>830</v>
      </c>
      <c r="Q77" s="29" t="str" cm="1">
        <f t="array" ref="Q77">IFERROR(INDEX(_xlfn.UNIQUE(TRIM(_xlfn.TEXTSPLIT(Table21215[[#This Row],[Selection Options]:[Selection Options]],","))),,Q$11),"")</f>
        <v xml:space="preserve">
 0%: Not currently supported</v>
      </c>
      <c r="R77" s="29" t="str" cm="1">
        <f t="array" ref="R77">IFERROR(INDEX(_xlfn.UNIQUE(TRIM(_xlfn.TEXTSPLIT(Table21215[[#This Row],[Selection Options]:[Selection Options]],","))),,R$11),"")</f>
        <v/>
      </c>
      <c r="S77" s="29" t="str" cm="1">
        <f t="array" ref="S77">IFERROR(INDEX(_xlfn.UNIQUE(TRIM(_xlfn.TEXTSPLIT(Table21215[[#This Row],[Selection Options]:[Selection Options]],","))),,S$11),"")</f>
        <v/>
      </c>
      <c r="T77" s="29" t="str" cm="1">
        <f t="array" ref="T77">IFERROR(INDEX(_xlfn.UNIQUE(TRIM(_xlfn.TEXTSPLIT(Table21215[[#This Row],[Selection Options]:[Selection Options]],","))),,T$11),"")</f>
        <v/>
      </c>
      <c r="U77" s="29" t="str" cm="1">
        <f t="array" ref="U77">IFERROR(INDEX(_xlfn.UNIQUE(TRIM(_xlfn.TEXTSPLIT(Table21215[[#This Row],[Selection Options]:[Selection Options]],","))),,U$11),"")</f>
        <v/>
      </c>
      <c r="V77" s="29" t="str" cm="1">
        <f t="array" ref="V77">IFERROR(INDEX(_xlfn.UNIQUE(TRIM(_xlfn.TEXTSPLIT(Table21215[[#This Row],[Selection Options]:[Selection Options]],","))),,V$11),"")</f>
        <v/>
      </c>
      <c r="W77" s="29" t="str" cm="1">
        <f t="array" ref="W77">IFERROR(INDEX(_xlfn.UNIQUE(TRIM(_xlfn.TEXTSPLIT(Table21215[[#This Row],[Selection Options]:[Selection Options]],","))),,W$11),"")</f>
        <v/>
      </c>
      <c r="X77" s="29" t="str" cm="1">
        <f t="array" ref="X77">IFERROR(INDEX(_xlfn.UNIQUE(TRIM(_xlfn.TEXTSPLIT(Table21215[[#This Row],[Selection Options]:[Selection Options]],","))),,X$11),"")</f>
        <v/>
      </c>
      <c r="Y77" s="30" cm="1">
        <f t="array" ref="Y77">IF(Table21215[[#This Row],[1]]="","",Table21215[[#This Row],[Weight]:[Weight]]-(Table21215[[#This Row],[Weight]:[Weight]]*((_xlfn.XMATCH(Table21215[[#This Row],[1]],Table21215[[#This Row],[1]:[11]],0))-1)/(COUNTA(Table21215[[#This Row],[1]:[11]])-COUNTBLANK(Table21215[[#This Row],[1]:[11]])-1)))</f>
        <v>4.7656870532168391E-3</v>
      </c>
      <c r="Z77" s="30" cm="1">
        <f t="array" ref="Z77">IF(Table21215[[#This Row],[2]]="","",Table21215[[#This Row],[Weight]:[Weight]]-(Table21215[[#This Row],[Weight]:[Weight]]*((_xlfn.XMATCH(Table21215[[#This Row],[2]],Table21215[[#This Row],[1]:[11]],0))-1)/(COUNTA(Table21215[[#This Row],[1]:[11]])-COUNTBLANK(Table21215[[#This Row],[1]:[11]])-1)))</f>
        <v>3.1771247021445594E-3</v>
      </c>
      <c r="AA77" s="30" cm="1">
        <f t="array" ref="AA77">IF(Table21215[[#This Row],[3]]="","",Table21215[[#This Row],[Weight]:[Weight]]-(Table21215[[#This Row],[Weight]:[Weight]]*((_xlfn.XMATCH(Table21215[[#This Row],[3]],Table21215[[#This Row],[1]:[11]],0))-1)/(COUNTA(Table21215[[#This Row],[1]:[11]])-COUNTBLANK(Table21215[[#This Row],[1]:[11]])-1)))</f>
        <v>1.5885623510722797E-3</v>
      </c>
      <c r="AB77" s="30" cm="1">
        <f t="array" ref="AB77">IF(Table21215[[#This Row],[4]]="","",Table21215[[#This Row],[Weight]:[Weight]]-(Table21215[[#This Row],[Weight]:[Weight]]*((_xlfn.XMATCH(Table21215[[#This Row],[4]],Table21215[[#This Row],[1]:[11]],0))-1)/(COUNTA(Table21215[[#This Row],[1]:[11]])-COUNTBLANK(Table21215[[#This Row],[1]:[11]])-1)))</f>
        <v>0</v>
      </c>
      <c r="AC77" s="30" t="str" cm="1">
        <f t="array" ref="AC77">IF(Table21215[[#This Row],[5]]="","",Table21215[[#This Row],[Weight]:[Weight]]-(Table21215[[#This Row],[Weight]:[Weight]]*((_xlfn.XMATCH(Table21215[[#This Row],[5]],Table21215[[#This Row],[1]:[11]],0))-1)/(COUNTA(Table21215[[#This Row],[1]:[11]])-COUNTBLANK(Table21215[[#This Row],[1]:[11]])-1)))</f>
        <v/>
      </c>
      <c r="AD77" s="30" t="str" cm="1">
        <f t="array" ref="AD77">IF(Table21215[[#This Row],[6]]="","",Table21215[[#This Row],[Weight]:[Weight]]-(Table21215[[#This Row],[Weight]:[Weight]]*((_xlfn.XMATCH(Table21215[[#This Row],[6]],Table21215[[#This Row],[1]:[11]],0))-1)/(COUNTA(Table21215[[#This Row],[1]:[11]])-COUNTBLANK(Table21215[[#This Row],[1]:[11]])-1)))</f>
        <v/>
      </c>
      <c r="AE77" s="30" t="str" cm="1">
        <f t="array" ref="AE77">IF(Table21215[[#This Row],[7]]="","",Table21215[[#This Row],[Weight]:[Weight]]-(Table21215[[#This Row],[Weight]:[Weight]]*((_xlfn.XMATCH(Table21215[[#This Row],[7]],Table21215[[#This Row],[1]:[11]],0))-1)/(COUNTA(Table21215[[#This Row],[1]:[11]])-COUNTBLANK(Table21215[[#This Row],[1]:[11]])-1)))</f>
        <v/>
      </c>
      <c r="AF77" s="30" t="str" cm="1">
        <f t="array" ref="AF77">IF(Table21215[[#This Row],[8]]="","",Table21215[[#This Row],[Weight]:[Weight]]-(Table21215[[#This Row],[Weight]:[Weight]]*((_xlfn.XMATCH(Table21215[[#This Row],[8]],Table21215[[#This Row],[1]:[11]],0))-1)/(COUNTA(Table21215[[#This Row],[1]:[11]])-COUNTBLANK(Table21215[[#This Row],[1]:[11]])-1)))</f>
        <v/>
      </c>
      <c r="AG77" s="30" t="str" cm="1">
        <f t="array" ref="AG77">IF(Table21215[[#This Row],[9]]="","",Table21215[[#This Row],[Weight]:[Weight]]-(Table21215[[#This Row],[Weight]:[Weight]]*((_xlfn.XMATCH(Table21215[[#This Row],[9]],Table21215[[#This Row],[1]:[11]],0))-1)/(COUNTA(Table21215[[#This Row],[1]:[11]])-COUNTBLANK(Table21215[[#This Row],[1]:[11]])-1)))</f>
        <v/>
      </c>
      <c r="AH77" s="30" t="str" cm="1">
        <f t="array" ref="AH77">IF(Table21215[[#This Row],[10]]="","",Table21215[[#This Row],[Weight]:[Weight]]-(Table21215[[#This Row],[Weight]:[Weight]]*((_xlfn.XMATCH(Table21215[[#This Row],[10]],Table21215[[#This Row],[1]:[11]],0))-1)/(COUNTA(Table21215[[#This Row],[1]:[11]])-COUNTBLANK(Table21215[[#This Row],[1]:[11]])-1)))</f>
        <v/>
      </c>
      <c r="AI77" s="30" t="str" cm="1">
        <f t="array" ref="AI77">IF(Table21215[[#This Row],[11]]="","",Table21215[[#This Row],[Weight]:[Weight]]-(Table21215[[#This Row],[Weight]:[Weight]]*((_xlfn.XMATCH(Table21215[[#This Row],[11]],Table21215[[#This Row],[1]:[11]],0))-1)/(COUNTA(Table21215[[#This Row],[1]:[11]])-COUNTBLANK(Table21215[[#This Row],[1]:[11]])-1)))</f>
        <v/>
      </c>
    </row>
    <row r="78" spans="1:35" ht="108" x14ac:dyDescent="0.2">
      <c r="A78" s="20">
        <v>66</v>
      </c>
      <c r="B78" s="165" t="s">
        <v>895</v>
      </c>
      <c r="C78" s="21" t="s">
        <v>826</v>
      </c>
      <c r="D78" s="38"/>
      <c r="E78" s="38"/>
      <c r="F78" s="159" t="s">
        <v>60</v>
      </c>
      <c r="G78" s="160" cm="1">
        <f t="array" ref="G78">_xlfn.IFS(F78="","",F78="No interest",0,F78="Nice to have",1,F78="Useful",2,F78="Important",3,F78="Very important",4,F78="Critical",5,F78="Show stopper",6)</f>
        <v>6</v>
      </c>
      <c r="H78" s="161">
        <f t="shared" si="2"/>
        <v>4.7656870532168391E-3</v>
      </c>
      <c r="I78" s="157" t="s">
        <v>827</v>
      </c>
      <c r="J78" s="35" t="str" cm="1">
        <f t="array" ref="J78">_xlfn.TEXTJOIN(","&amp;CHAR(10),,TEXT(Table21215[[#This Row],[12]:[22]],"0,00%"))</f>
        <v>0,00%,
0,00%,
0,00%,
0,00%</v>
      </c>
      <c r="K78" s="36"/>
      <c r="L78" s="37" t="e">
        <f>H78-(H78*((MATCH(Table21215[[#This Row],[Evaluators Response (SELECT)]],Table21215[[#This Row],[1]:[11]],0)-1)/(COUNTA(Table21215[[#This Row],[1]:[11]])-COUNTBLANK(Table21215[[#This Row],[1]:[11]])-1)))</f>
        <v>#N/A</v>
      </c>
      <c r="M78" s="38"/>
      <c r="N78" s="29" t="s">
        <v>828</v>
      </c>
      <c r="O78" s="29" t="s">
        <v>829</v>
      </c>
      <c r="P78" s="29" t="s">
        <v>830</v>
      </c>
      <c r="Q78" s="29" t="str" cm="1">
        <f t="array" ref="Q78">IFERROR(INDEX(_xlfn.UNIQUE(TRIM(_xlfn.TEXTSPLIT(Table21215[[#This Row],[Selection Options]:[Selection Options]],","))),,Q$11),"")</f>
        <v xml:space="preserve">
 0%: Not currently supported</v>
      </c>
      <c r="R78" s="29" t="str" cm="1">
        <f t="array" ref="R78">IFERROR(INDEX(_xlfn.UNIQUE(TRIM(_xlfn.TEXTSPLIT(Table21215[[#This Row],[Selection Options]:[Selection Options]],","))),,R$11),"")</f>
        <v/>
      </c>
      <c r="S78" s="29" t="str" cm="1">
        <f t="array" ref="S78">IFERROR(INDEX(_xlfn.UNIQUE(TRIM(_xlfn.TEXTSPLIT(Table21215[[#This Row],[Selection Options]:[Selection Options]],","))),,S$11),"")</f>
        <v/>
      </c>
      <c r="T78" s="29" t="str" cm="1">
        <f t="array" ref="T78">IFERROR(INDEX(_xlfn.UNIQUE(TRIM(_xlfn.TEXTSPLIT(Table21215[[#This Row],[Selection Options]:[Selection Options]],","))),,T$11),"")</f>
        <v/>
      </c>
      <c r="U78" s="29" t="str" cm="1">
        <f t="array" ref="U78">IFERROR(INDEX(_xlfn.UNIQUE(TRIM(_xlfn.TEXTSPLIT(Table21215[[#This Row],[Selection Options]:[Selection Options]],","))),,U$11),"")</f>
        <v/>
      </c>
      <c r="V78" s="29" t="str" cm="1">
        <f t="array" ref="V78">IFERROR(INDEX(_xlfn.UNIQUE(TRIM(_xlfn.TEXTSPLIT(Table21215[[#This Row],[Selection Options]:[Selection Options]],","))),,V$11),"")</f>
        <v/>
      </c>
      <c r="W78" s="29" t="str" cm="1">
        <f t="array" ref="W78">IFERROR(INDEX(_xlfn.UNIQUE(TRIM(_xlfn.TEXTSPLIT(Table21215[[#This Row],[Selection Options]:[Selection Options]],","))),,W$11),"")</f>
        <v/>
      </c>
      <c r="X78" s="29" t="str" cm="1">
        <f t="array" ref="X78">IFERROR(INDEX(_xlfn.UNIQUE(TRIM(_xlfn.TEXTSPLIT(Table21215[[#This Row],[Selection Options]:[Selection Options]],","))),,X$11),"")</f>
        <v/>
      </c>
      <c r="Y78" s="30" cm="1">
        <f t="array" ref="Y78">IF(Table21215[[#This Row],[1]]="","",Table21215[[#This Row],[Weight]:[Weight]]-(Table21215[[#This Row],[Weight]:[Weight]]*((_xlfn.XMATCH(Table21215[[#This Row],[1]],Table21215[[#This Row],[1]:[11]],0))-1)/(COUNTA(Table21215[[#This Row],[1]:[11]])-COUNTBLANK(Table21215[[#This Row],[1]:[11]])-1)))</f>
        <v>4.7656870532168391E-3</v>
      </c>
      <c r="Z78" s="30" cm="1">
        <f t="array" ref="Z78">IF(Table21215[[#This Row],[2]]="","",Table21215[[#This Row],[Weight]:[Weight]]-(Table21215[[#This Row],[Weight]:[Weight]]*((_xlfn.XMATCH(Table21215[[#This Row],[2]],Table21215[[#This Row],[1]:[11]],0))-1)/(COUNTA(Table21215[[#This Row],[1]:[11]])-COUNTBLANK(Table21215[[#This Row],[1]:[11]])-1)))</f>
        <v>3.1771247021445594E-3</v>
      </c>
      <c r="AA78" s="30" cm="1">
        <f t="array" ref="AA78">IF(Table21215[[#This Row],[3]]="","",Table21215[[#This Row],[Weight]:[Weight]]-(Table21215[[#This Row],[Weight]:[Weight]]*((_xlfn.XMATCH(Table21215[[#This Row],[3]],Table21215[[#This Row],[1]:[11]],0))-1)/(COUNTA(Table21215[[#This Row],[1]:[11]])-COUNTBLANK(Table21215[[#This Row],[1]:[11]])-1)))</f>
        <v>1.5885623510722797E-3</v>
      </c>
      <c r="AB78" s="30" cm="1">
        <f t="array" ref="AB78">IF(Table21215[[#This Row],[4]]="","",Table21215[[#This Row],[Weight]:[Weight]]-(Table21215[[#This Row],[Weight]:[Weight]]*((_xlfn.XMATCH(Table21215[[#This Row],[4]],Table21215[[#This Row],[1]:[11]],0))-1)/(COUNTA(Table21215[[#This Row],[1]:[11]])-COUNTBLANK(Table21215[[#This Row],[1]:[11]])-1)))</f>
        <v>0</v>
      </c>
      <c r="AC78" s="30" t="str" cm="1">
        <f t="array" ref="AC78">IF(Table21215[[#This Row],[5]]="","",Table21215[[#This Row],[Weight]:[Weight]]-(Table21215[[#This Row],[Weight]:[Weight]]*((_xlfn.XMATCH(Table21215[[#This Row],[5]],Table21215[[#This Row],[1]:[11]],0))-1)/(COUNTA(Table21215[[#This Row],[1]:[11]])-COUNTBLANK(Table21215[[#This Row],[1]:[11]])-1)))</f>
        <v/>
      </c>
      <c r="AD78" s="30" t="str" cm="1">
        <f t="array" ref="AD78">IF(Table21215[[#This Row],[6]]="","",Table21215[[#This Row],[Weight]:[Weight]]-(Table21215[[#This Row],[Weight]:[Weight]]*((_xlfn.XMATCH(Table21215[[#This Row],[6]],Table21215[[#This Row],[1]:[11]],0))-1)/(COUNTA(Table21215[[#This Row],[1]:[11]])-COUNTBLANK(Table21215[[#This Row],[1]:[11]])-1)))</f>
        <v/>
      </c>
      <c r="AE78" s="30" t="str" cm="1">
        <f t="array" ref="AE78">IF(Table21215[[#This Row],[7]]="","",Table21215[[#This Row],[Weight]:[Weight]]-(Table21215[[#This Row],[Weight]:[Weight]]*((_xlfn.XMATCH(Table21215[[#This Row],[7]],Table21215[[#This Row],[1]:[11]],0))-1)/(COUNTA(Table21215[[#This Row],[1]:[11]])-COUNTBLANK(Table21215[[#This Row],[1]:[11]])-1)))</f>
        <v/>
      </c>
      <c r="AF78" s="30" t="str" cm="1">
        <f t="array" ref="AF78">IF(Table21215[[#This Row],[8]]="","",Table21215[[#This Row],[Weight]:[Weight]]-(Table21215[[#This Row],[Weight]:[Weight]]*((_xlfn.XMATCH(Table21215[[#This Row],[8]],Table21215[[#This Row],[1]:[11]],0))-1)/(COUNTA(Table21215[[#This Row],[1]:[11]])-COUNTBLANK(Table21215[[#This Row],[1]:[11]])-1)))</f>
        <v/>
      </c>
      <c r="AG78" s="30" t="str" cm="1">
        <f t="array" ref="AG78">IF(Table21215[[#This Row],[9]]="","",Table21215[[#This Row],[Weight]:[Weight]]-(Table21215[[#This Row],[Weight]:[Weight]]*((_xlfn.XMATCH(Table21215[[#This Row],[9]],Table21215[[#This Row],[1]:[11]],0))-1)/(COUNTA(Table21215[[#This Row],[1]:[11]])-COUNTBLANK(Table21215[[#This Row],[1]:[11]])-1)))</f>
        <v/>
      </c>
      <c r="AH78" s="30" t="str" cm="1">
        <f t="array" ref="AH78">IF(Table21215[[#This Row],[10]]="","",Table21215[[#This Row],[Weight]:[Weight]]-(Table21215[[#This Row],[Weight]:[Weight]]*((_xlfn.XMATCH(Table21215[[#This Row],[10]],Table21215[[#This Row],[1]:[11]],0))-1)/(COUNTA(Table21215[[#This Row],[1]:[11]])-COUNTBLANK(Table21215[[#This Row],[1]:[11]])-1)))</f>
        <v/>
      </c>
      <c r="AI78" s="30" t="str" cm="1">
        <f t="array" ref="AI78">IF(Table21215[[#This Row],[11]]="","",Table21215[[#This Row],[Weight]:[Weight]]-(Table21215[[#This Row],[Weight]:[Weight]]*((_xlfn.XMATCH(Table21215[[#This Row],[11]],Table21215[[#This Row],[1]:[11]],0))-1)/(COUNTA(Table21215[[#This Row],[1]:[11]])-COUNTBLANK(Table21215[[#This Row],[1]:[11]])-1)))</f>
        <v/>
      </c>
    </row>
    <row r="79" spans="1:35" ht="108" x14ac:dyDescent="0.2">
      <c r="A79" s="20">
        <v>67</v>
      </c>
      <c r="B79" s="165" t="s">
        <v>896</v>
      </c>
      <c r="C79" s="21" t="s">
        <v>826</v>
      </c>
      <c r="D79" s="38"/>
      <c r="E79" s="38"/>
      <c r="F79" s="159" t="s">
        <v>60</v>
      </c>
      <c r="G79" s="160" cm="1">
        <f t="array" ref="G79">_xlfn.IFS(F79="","",F79="No interest",0,F79="Nice to have",1,F79="Useful",2,F79="Important",3,F79="Very important",4,F79="Critical",5,F79="Show stopper",6)</f>
        <v>6</v>
      </c>
      <c r="H79" s="161">
        <f t="shared" si="2"/>
        <v>4.7656870532168391E-3</v>
      </c>
      <c r="I79" s="157" t="s">
        <v>827</v>
      </c>
      <c r="J79" s="35" t="str" cm="1">
        <f t="array" ref="J79">_xlfn.TEXTJOIN(","&amp;CHAR(10),,TEXT(Table21215[[#This Row],[12]:[22]],"0,00%"))</f>
        <v>0,00%,
0,00%,
0,00%,
0,00%</v>
      </c>
      <c r="K79" s="36"/>
      <c r="L79" s="37" t="e">
        <f>H79-(H79*((MATCH(Table21215[[#This Row],[Evaluators Response (SELECT)]],Table21215[[#This Row],[1]:[11]],0)-1)/(COUNTA(Table21215[[#This Row],[1]:[11]])-COUNTBLANK(Table21215[[#This Row],[1]:[11]])-1)))</f>
        <v>#N/A</v>
      </c>
      <c r="M79" s="38"/>
      <c r="N79" s="29" t="s">
        <v>828</v>
      </c>
      <c r="O79" s="29" t="s">
        <v>829</v>
      </c>
      <c r="P79" s="29" t="s">
        <v>830</v>
      </c>
      <c r="Q79" s="29" t="str" cm="1">
        <f t="array" ref="Q79">IFERROR(INDEX(_xlfn.UNIQUE(TRIM(_xlfn.TEXTSPLIT(Table21215[[#This Row],[Selection Options]:[Selection Options]],","))),,Q$11),"")</f>
        <v xml:space="preserve">
 0%: Not currently supported</v>
      </c>
      <c r="R79" s="29" t="str" cm="1">
        <f t="array" ref="R79">IFERROR(INDEX(_xlfn.UNIQUE(TRIM(_xlfn.TEXTSPLIT(Table21215[[#This Row],[Selection Options]:[Selection Options]],","))),,R$11),"")</f>
        <v/>
      </c>
      <c r="S79" s="29" t="str" cm="1">
        <f t="array" ref="S79">IFERROR(INDEX(_xlfn.UNIQUE(TRIM(_xlfn.TEXTSPLIT(Table21215[[#This Row],[Selection Options]:[Selection Options]],","))),,S$11),"")</f>
        <v/>
      </c>
      <c r="T79" s="29" t="str" cm="1">
        <f t="array" ref="T79">IFERROR(INDEX(_xlfn.UNIQUE(TRIM(_xlfn.TEXTSPLIT(Table21215[[#This Row],[Selection Options]:[Selection Options]],","))),,T$11),"")</f>
        <v/>
      </c>
      <c r="U79" s="29" t="str" cm="1">
        <f t="array" ref="U79">IFERROR(INDEX(_xlfn.UNIQUE(TRIM(_xlfn.TEXTSPLIT(Table21215[[#This Row],[Selection Options]:[Selection Options]],","))),,U$11),"")</f>
        <v/>
      </c>
      <c r="V79" s="29" t="str" cm="1">
        <f t="array" ref="V79">IFERROR(INDEX(_xlfn.UNIQUE(TRIM(_xlfn.TEXTSPLIT(Table21215[[#This Row],[Selection Options]:[Selection Options]],","))),,V$11),"")</f>
        <v/>
      </c>
      <c r="W79" s="29" t="str" cm="1">
        <f t="array" ref="W79">IFERROR(INDEX(_xlfn.UNIQUE(TRIM(_xlfn.TEXTSPLIT(Table21215[[#This Row],[Selection Options]:[Selection Options]],","))),,W$11),"")</f>
        <v/>
      </c>
      <c r="X79" s="29" t="str" cm="1">
        <f t="array" ref="X79">IFERROR(INDEX(_xlfn.UNIQUE(TRIM(_xlfn.TEXTSPLIT(Table21215[[#This Row],[Selection Options]:[Selection Options]],","))),,X$11),"")</f>
        <v/>
      </c>
      <c r="Y79" s="30" cm="1">
        <f t="array" ref="Y79">IF(Table21215[[#This Row],[1]]="","",Table21215[[#This Row],[Weight]:[Weight]]-(Table21215[[#This Row],[Weight]:[Weight]]*((_xlfn.XMATCH(Table21215[[#This Row],[1]],Table21215[[#This Row],[1]:[11]],0))-1)/(COUNTA(Table21215[[#This Row],[1]:[11]])-COUNTBLANK(Table21215[[#This Row],[1]:[11]])-1)))</f>
        <v>4.7656870532168391E-3</v>
      </c>
      <c r="Z79" s="30" cm="1">
        <f t="array" ref="Z79">IF(Table21215[[#This Row],[2]]="","",Table21215[[#This Row],[Weight]:[Weight]]-(Table21215[[#This Row],[Weight]:[Weight]]*((_xlfn.XMATCH(Table21215[[#This Row],[2]],Table21215[[#This Row],[1]:[11]],0))-1)/(COUNTA(Table21215[[#This Row],[1]:[11]])-COUNTBLANK(Table21215[[#This Row],[1]:[11]])-1)))</f>
        <v>3.1771247021445594E-3</v>
      </c>
      <c r="AA79" s="30" cm="1">
        <f t="array" ref="AA79">IF(Table21215[[#This Row],[3]]="","",Table21215[[#This Row],[Weight]:[Weight]]-(Table21215[[#This Row],[Weight]:[Weight]]*((_xlfn.XMATCH(Table21215[[#This Row],[3]],Table21215[[#This Row],[1]:[11]],0))-1)/(COUNTA(Table21215[[#This Row],[1]:[11]])-COUNTBLANK(Table21215[[#This Row],[1]:[11]])-1)))</f>
        <v>1.5885623510722797E-3</v>
      </c>
      <c r="AB79" s="30" cm="1">
        <f t="array" ref="AB79">IF(Table21215[[#This Row],[4]]="","",Table21215[[#This Row],[Weight]:[Weight]]-(Table21215[[#This Row],[Weight]:[Weight]]*((_xlfn.XMATCH(Table21215[[#This Row],[4]],Table21215[[#This Row],[1]:[11]],0))-1)/(COUNTA(Table21215[[#This Row],[1]:[11]])-COUNTBLANK(Table21215[[#This Row],[1]:[11]])-1)))</f>
        <v>0</v>
      </c>
      <c r="AC79" s="30" t="str" cm="1">
        <f t="array" ref="AC79">IF(Table21215[[#This Row],[5]]="","",Table21215[[#This Row],[Weight]:[Weight]]-(Table21215[[#This Row],[Weight]:[Weight]]*((_xlfn.XMATCH(Table21215[[#This Row],[5]],Table21215[[#This Row],[1]:[11]],0))-1)/(COUNTA(Table21215[[#This Row],[1]:[11]])-COUNTBLANK(Table21215[[#This Row],[1]:[11]])-1)))</f>
        <v/>
      </c>
      <c r="AD79" s="30" t="str" cm="1">
        <f t="array" ref="AD79">IF(Table21215[[#This Row],[6]]="","",Table21215[[#This Row],[Weight]:[Weight]]-(Table21215[[#This Row],[Weight]:[Weight]]*((_xlfn.XMATCH(Table21215[[#This Row],[6]],Table21215[[#This Row],[1]:[11]],0))-1)/(COUNTA(Table21215[[#This Row],[1]:[11]])-COUNTBLANK(Table21215[[#This Row],[1]:[11]])-1)))</f>
        <v/>
      </c>
      <c r="AE79" s="30" t="str" cm="1">
        <f t="array" ref="AE79">IF(Table21215[[#This Row],[7]]="","",Table21215[[#This Row],[Weight]:[Weight]]-(Table21215[[#This Row],[Weight]:[Weight]]*((_xlfn.XMATCH(Table21215[[#This Row],[7]],Table21215[[#This Row],[1]:[11]],0))-1)/(COUNTA(Table21215[[#This Row],[1]:[11]])-COUNTBLANK(Table21215[[#This Row],[1]:[11]])-1)))</f>
        <v/>
      </c>
      <c r="AF79" s="30" t="str" cm="1">
        <f t="array" ref="AF79">IF(Table21215[[#This Row],[8]]="","",Table21215[[#This Row],[Weight]:[Weight]]-(Table21215[[#This Row],[Weight]:[Weight]]*((_xlfn.XMATCH(Table21215[[#This Row],[8]],Table21215[[#This Row],[1]:[11]],0))-1)/(COUNTA(Table21215[[#This Row],[1]:[11]])-COUNTBLANK(Table21215[[#This Row],[1]:[11]])-1)))</f>
        <v/>
      </c>
      <c r="AG79" s="30" t="str" cm="1">
        <f t="array" ref="AG79">IF(Table21215[[#This Row],[9]]="","",Table21215[[#This Row],[Weight]:[Weight]]-(Table21215[[#This Row],[Weight]:[Weight]]*((_xlfn.XMATCH(Table21215[[#This Row],[9]],Table21215[[#This Row],[1]:[11]],0))-1)/(COUNTA(Table21215[[#This Row],[1]:[11]])-COUNTBLANK(Table21215[[#This Row],[1]:[11]])-1)))</f>
        <v/>
      </c>
      <c r="AH79" s="30" t="str" cm="1">
        <f t="array" ref="AH79">IF(Table21215[[#This Row],[10]]="","",Table21215[[#This Row],[Weight]:[Weight]]-(Table21215[[#This Row],[Weight]:[Weight]]*((_xlfn.XMATCH(Table21215[[#This Row],[10]],Table21215[[#This Row],[1]:[11]],0))-1)/(COUNTA(Table21215[[#This Row],[1]:[11]])-COUNTBLANK(Table21215[[#This Row],[1]:[11]])-1)))</f>
        <v/>
      </c>
      <c r="AI79" s="30" t="str" cm="1">
        <f t="array" ref="AI79">IF(Table21215[[#This Row],[11]]="","",Table21215[[#This Row],[Weight]:[Weight]]-(Table21215[[#This Row],[Weight]:[Weight]]*((_xlfn.XMATCH(Table21215[[#This Row],[11]],Table21215[[#This Row],[1]:[11]],0))-1)/(COUNTA(Table21215[[#This Row],[1]:[11]])-COUNTBLANK(Table21215[[#This Row],[1]:[11]])-1)))</f>
        <v/>
      </c>
    </row>
    <row r="80" spans="1:35" ht="108" x14ac:dyDescent="0.2">
      <c r="A80" s="20">
        <v>68</v>
      </c>
      <c r="B80" s="165" t="s">
        <v>897</v>
      </c>
      <c r="C80" s="21" t="s">
        <v>826</v>
      </c>
      <c r="D80" s="38"/>
      <c r="E80" s="38"/>
      <c r="F80" s="159" t="s">
        <v>188</v>
      </c>
      <c r="G80" s="160" cm="1">
        <f t="array" ref="G80">_xlfn.IFS(F80="","",F80="No interest",0,F80="Nice to have",1,F80="Useful",2,F80="Important",3,F80="Very important",4,F80="Critical",5,F80="Show stopper",6)</f>
        <v>5</v>
      </c>
      <c r="H80" s="161">
        <f t="shared" si="2"/>
        <v>3.9714058776806989E-3</v>
      </c>
      <c r="I80" s="157" t="s">
        <v>827</v>
      </c>
      <c r="J80" s="35" t="str" cm="1">
        <f t="array" ref="J80">_xlfn.TEXTJOIN(","&amp;CHAR(10),,TEXT(Table21215[[#This Row],[12]:[22]],"0,00%"))</f>
        <v>0,00%,
0,00%,
0,00%,
0,00%</v>
      </c>
      <c r="K80" s="36"/>
      <c r="L80" s="37" t="e">
        <f>H80-(H80*((MATCH(Table21215[[#This Row],[Evaluators Response (SELECT)]],Table21215[[#This Row],[1]:[11]],0)-1)/(COUNTA(Table21215[[#This Row],[1]:[11]])-COUNTBLANK(Table21215[[#This Row],[1]:[11]])-1)))</f>
        <v>#N/A</v>
      </c>
      <c r="M80" s="38"/>
      <c r="N80" s="29" t="s">
        <v>828</v>
      </c>
      <c r="O80" s="29" t="s">
        <v>829</v>
      </c>
      <c r="P80" s="29" t="s">
        <v>830</v>
      </c>
      <c r="Q80" s="29" t="str" cm="1">
        <f t="array" ref="Q80">IFERROR(INDEX(_xlfn.UNIQUE(TRIM(_xlfn.TEXTSPLIT(Table21215[[#This Row],[Selection Options]:[Selection Options]],","))),,Q$11),"")</f>
        <v xml:space="preserve">
 0%: Not currently supported</v>
      </c>
      <c r="R80" s="29" t="str" cm="1">
        <f t="array" ref="R80">IFERROR(INDEX(_xlfn.UNIQUE(TRIM(_xlfn.TEXTSPLIT(Table21215[[#This Row],[Selection Options]:[Selection Options]],","))),,R$11),"")</f>
        <v/>
      </c>
      <c r="S80" s="29" t="str" cm="1">
        <f t="array" ref="S80">IFERROR(INDEX(_xlfn.UNIQUE(TRIM(_xlfn.TEXTSPLIT(Table21215[[#This Row],[Selection Options]:[Selection Options]],","))),,S$11),"")</f>
        <v/>
      </c>
      <c r="T80" s="29" t="str" cm="1">
        <f t="array" ref="T80">IFERROR(INDEX(_xlfn.UNIQUE(TRIM(_xlfn.TEXTSPLIT(Table21215[[#This Row],[Selection Options]:[Selection Options]],","))),,T$11),"")</f>
        <v/>
      </c>
      <c r="U80" s="29" t="str" cm="1">
        <f t="array" ref="U80">IFERROR(INDEX(_xlfn.UNIQUE(TRIM(_xlfn.TEXTSPLIT(Table21215[[#This Row],[Selection Options]:[Selection Options]],","))),,U$11),"")</f>
        <v/>
      </c>
      <c r="V80" s="29" t="str" cm="1">
        <f t="array" ref="V80">IFERROR(INDEX(_xlfn.UNIQUE(TRIM(_xlfn.TEXTSPLIT(Table21215[[#This Row],[Selection Options]:[Selection Options]],","))),,V$11),"")</f>
        <v/>
      </c>
      <c r="W80" s="29" t="str" cm="1">
        <f t="array" ref="W80">IFERROR(INDEX(_xlfn.UNIQUE(TRIM(_xlfn.TEXTSPLIT(Table21215[[#This Row],[Selection Options]:[Selection Options]],","))),,W$11),"")</f>
        <v/>
      </c>
      <c r="X80" s="29" t="str" cm="1">
        <f t="array" ref="X80">IFERROR(INDEX(_xlfn.UNIQUE(TRIM(_xlfn.TEXTSPLIT(Table21215[[#This Row],[Selection Options]:[Selection Options]],","))),,X$11),"")</f>
        <v/>
      </c>
      <c r="Y80" s="30" cm="1">
        <f t="array" ref="Y80">IF(Table21215[[#This Row],[1]]="","",Table21215[[#This Row],[Weight]:[Weight]]-(Table21215[[#This Row],[Weight]:[Weight]]*((_xlfn.XMATCH(Table21215[[#This Row],[1]],Table21215[[#This Row],[1]:[11]],0))-1)/(COUNTA(Table21215[[#This Row],[1]:[11]])-COUNTBLANK(Table21215[[#This Row],[1]:[11]])-1)))</f>
        <v>3.9714058776806989E-3</v>
      </c>
      <c r="Z80" s="30" cm="1">
        <f t="array" ref="Z80">IF(Table21215[[#This Row],[2]]="","",Table21215[[#This Row],[Weight]:[Weight]]-(Table21215[[#This Row],[Weight]:[Weight]]*((_xlfn.XMATCH(Table21215[[#This Row],[2]],Table21215[[#This Row],[1]:[11]],0))-1)/(COUNTA(Table21215[[#This Row],[1]:[11]])-COUNTBLANK(Table21215[[#This Row],[1]:[11]])-1)))</f>
        <v>2.6476039184537992E-3</v>
      </c>
      <c r="AA80" s="30" cm="1">
        <f t="array" ref="AA80">IF(Table21215[[#This Row],[3]]="","",Table21215[[#This Row],[Weight]:[Weight]]-(Table21215[[#This Row],[Weight]:[Weight]]*((_xlfn.XMATCH(Table21215[[#This Row],[3]],Table21215[[#This Row],[1]:[11]],0))-1)/(COUNTA(Table21215[[#This Row],[1]:[11]])-COUNTBLANK(Table21215[[#This Row],[1]:[11]])-1)))</f>
        <v>1.3238019592268996E-3</v>
      </c>
      <c r="AB80" s="30" cm="1">
        <f t="array" ref="AB80">IF(Table21215[[#This Row],[4]]="","",Table21215[[#This Row],[Weight]:[Weight]]-(Table21215[[#This Row],[Weight]:[Weight]]*((_xlfn.XMATCH(Table21215[[#This Row],[4]],Table21215[[#This Row],[1]:[11]],0))-1)/(COUNTA(Table21215[[#This Row],[1]:[11]])-COUNTBLANK(Table21215[[#This Row],[1]:[11]])-1)))</f>
        <v>0</v>
      </c>
      <c r="AC80" s="30" t="str" cm="1">
        <f t="array" ref="AC80">IF(Table21215[[#This Row],[5]]="","",Table21215[[#This Row],[Weight]:[Weight]]-(Table21215[[#This Row],[Weight]:[Weight]]*((_xlfn.XMATCH(Table21215[[#This Row],[5]],Table21215[[#This Row],[1]:[11]],0))-1)/(COUNTA(Table21215[[#This Row],[1]:[11]])-COUNTBLANK(Table21215[[#This Row],[1]:[11]])-1)))</f>
        <v/>
      </c>
      <c r="AD80" s="30" t="str" cm="1">
        <f t="array" ref="AD80">IF(Table21215[[#This Row],[6]]="","",Table21215[[#This Row],[Weight]:[Weight]]-(Table21215[[#This Row],[Weight]:[Weight]]*((_xlfn.XMATCH(Table21215[[#This Row],[6]],Table21215[[#This Row],[1]:[11]],0))-1)/(COUNTA(Table21215[[#This Row],[1]:[11]])-COUNTBLANK(Table21215[[#This Row],[1]:[11]])-1)))</f>
        <v/>
      </c>
      <c r="AE80" s="30" t="str" cm="1">
        <f t="array" ref="AE80">IF(Table21215[[#This Row],[7]]="","",Table21215[[#This Row],[Weight]:[Weight]]-(Table21215[[#This Row],[Weight]:[Weight]]*((_xlfn.XMATCH(Table21215[[#This Row],[7]],Table21215[[#This Row],[1]:[11]],0))-1)/(COUNTA(Table21215[[#This Row],[1]:[11]])-COUNTBLANK(Table21215[[#This Row],[1]:[11]])-1)))</f>
        <v/>
      </c>
      <c r="AF80" s="30" t="str" cm="1">
        <f t="array" ref="AF80">IF(Table21215[[#This Row],[8]]="","",Table21215[[#This Row],[Weight]:[Weight]]-(Table21215[[#This Row],[Weight]:[Weight]]*((_xlfn.XMATCH(Table21215[[#This Row],[8]],Table21215[[#This Row],[1]:[11]],0))-1)/(COUNTA(Table21215[[#This Row],[1]:[11]])-COUNTBLANK(Table21215[[#This Row],[1]:[11]])-1)))</f>
        <v/>
      </c>
      <c r="AG80" s="30" t="str" cm="1">
        <f t="array" ref="AG80">IF(Table21215[[#This Row],[9]]="","",Table21215[[#This Row],[Weight]:[Weight]]-(Table21215[[#This Row],[Weight]:[Weight]]*((_xlfn.XMATCH(Table21215[[#This Row],[9]],Table21215[[#This Row],[1]:[11]],0))-1)/(COUNTA(Table21215[[#This Row],[1]:[11]])-COUNTBLANK(Table21215[[#This Row],[1]:[11]])-1)))</f>
        <v/>
      </c>
      <c r="AH80" s="30" t="str" cm="1">
        <f t="array" ref="AH80">IF(Table21215[[#This Row],[10]]="","",Table21215[[#This Row],[Weight]:[Weight]]-(Table21215[[#This Row],[Weight]:[Weight]]*((_xlfn.XMATCH(Table21215[[#This Row],[10]],Table21215[[#This Row],[1]:[11]],0))-1)/(COUNTA(Table21215[[#This Row],[1]:[11]])-COUNTBLANK(Table21215[[#This Row],[1]:[11]])-1)))</f>
        <v/>
      </c>
      <c r="AI80" s="30" t="str" cm="1">
        <f t="array" ref="AI80">IF(Table21215[[#This Row],[11]]="","",Table21215[[#This Row],[Weight]:[Weight]]-(Table21215[[#This Row],[Weight]:[Weight]]*((_xlfn.XMATCH(Table21215[[#This Row],[11]],Table21215[[#This Row],[1]:[11]],0))-1)/(COUNTA(Table21215[[#This Row],[1]:[11]])-COUNTBLANK(Table21215[[#This Row],[1]:[11]])-1)))</f>
        <v/>
      </c>
    </row>
    <row r="81" spans="1:35" ht="108" x14ac:dyDescent="0.2">
      <c r="A81" s="20">
        <v>69</v>
      </c>
      <c r="B81" s="165" t="s">
        <v>898</v>
      </c>
      <c r="C81" s="21" t="s">
        <v>826</v>
      </c>
      <c r="D81" s="38"/>
      <c r="E81" s="38"/>
      <c r="F81" s="159" t="s">
        <v>60</v>
      </c>
      <c r="G81" s="160" cm="1">
        <f t="array" ref="G81">_xlfn.IFS(F81="","",F81="No interest",0,F81="Nice to have",1,F81="Useful",2,F81="Important",3,F81="Very important",4,F81="Critical",5,F81="Show stopper",6)</f>
        <v>6</v>
      </c>
      <c r="H81" s="161">
        <f t="shared" si="2"/>
        <v>4.7656870532168391E-3</v>
      </c>
      <c r="I81" s="157" t="s">
        <v>827</v>
      </c>
      <c r="J81" s="35" t="str" cm="1">
        <f t="array" ref="J81">_xlfn.TEXTJOIN(","&amp;CHAR(10),,TEXT(Table21215[[#This Row],[12]:[22]],"0,00%"))</f>
        <v>0,00%,
0,00%,
0,00%,
0,00%</v>
      </c>
      <c r="K81" s="36"/>
      <c r="L81" s="37" t="e">
        <f>H81-(H81*((MATCH(Table21215[[#This Row],[Evaluators Response (SELECT)]],Table21215[[#This Row],[1]:[11]],0)-1)/(COUNTA(Table21215[[#This Row],[1]:[11]])-COUNTBLANK(Table21215[[#This Row],[1]:[11]])-1)))</f>
        <v>#N/A</v>
      </c>
      <c r="M81" s="38"/>
      <c r="N81" s="29" t="s">
        <v>828</v>
      </c>
      <c r="O81" s="29" t="s">
        <v>829</v>
      </c>
      <c r="P81" s="29" t="s">
        <v>830</v>
      </c>
      <c r="Q81" s="29" t="str" cm="1">
        <f t="array" ref="Q81">IFERROR(INDEX(_xlfn.UNIQUE(TRIM(_xlfn.TEXTSPLIT(Table21215[[#This Row],[Selection Options]:[Selection Options]],","))),,Q$11),"")</f>
        <v xml:space="preserve">
 0%: Not currently supported</v>
      </c>
      <c r="R81" s="29" t="str" cm="1">
        <f t="array" ref="R81">IFERROR(INDEX(_xlfn.UNIQUE(TRIM(_xlfn.TEXTSPLIT(Table21215[[#This Row],[Selection Options]:[Selection Options]],","))),,R$11),"")</f>
        <v/>
      </c>
      <c r="S81" s="29" t="str" cm="1">
        <f t="array" ref="S81">IFERROR(INDEX(_xlfn.UNIQUE(TRIM(_xlfn.TEXTSPLIT(Table21215[[#This Row],[Selection Options]:[Selection Options]],","))),,S$11),"")</f>
        <v/>
      </c>
      <c r="T81" s="29" t="str" cm="1">
        <f t="array" ref="T81">IFERROR(INDEX(_xlfn.UNIQUE(TRIM(_xlfn.TEXTSPLIT(Table21215[[#This Row],[Selection Options]:[Selection Options]],","))),,T$11),"")</f>
        <v/>
      </c>
      <c r="U81" s="29" t="str" cm="1">
        <f t="array" ref="U81">IFERROR(INDEX(_xlfn.UNIQUE(TRIM(_xlfn.TEXTSPLIT(Table21215[[#This Row],[Selection Options]:[Selection Options]],","))),,U$11),"")</f>
        <v/>
      </c>
      <c r="V81" s="29" t="str" cm="1">
        <f t="array" ref="V81">IFERROR(INDEX(_xlfn.UNIQUE(TRIM(_xlfn.TEXTSPLIT(Table21215[[#This Row],[Selection Options]:[Selection Options]],","))),,V$11),"")</f>
        <v/>
      </c>
      <c r="W81" s="29" t="str" cm="1">
        <f t="array" ref="W81">IFERROR(INDEX(_xlfn.UNIQUE(TRIM(_xlfn.TEXTSPLIT(Table21215[[#This Row],[Selection Options]:[Selection Options]],","))),,W$11),"")</f>
        <v/>
      </c>
      <c r="X81" s="29" t="str" cm="1">
        <f t="array" ref="X81">IFERROR(INDEX(_xlfn.UNIQUE(TRIM(_xlfn.TEXTSPLIT(Table21215[[#This Row],[Selection Options]:[Selection Options]],","))),,X$11),"")</f>
        <v/>
      </c>
      <c r="Y81" s="30" cm="1">
        <f t="array" ref="Y81">IF(Table21215[[#This Row],[1]]="","",Table21215[[#This Row],[Weight]:[Weight]]-(Table21215[[#This Row],[Weight]:[Weight]]*((_xlfn.XMATCH(Table21215[[#This Row],[1]],Table21215[[#This Row],[1]:[11]],0))-1)/(COUNTA(Table21215[[#This Row],[1]:[11]])-COUNTBLANK(Table21215[[#This Row],[1]:[11]])-1)))</f>
        <v>4.7656870532168391E-3</v>
      </c>
      <c r="Z81" s="30" cm="1">
        <f t="array" ref="Z81">IF(Table21215[[#This Row],[2]]="","",Table21215[[#This Row],[Weight]:[Weight]]-(Table21215[[#This Row],[Weight]:[Weight]]*((_xlfn.XMATCH(Table21215[[#This Row],[2]],Table21215[[#This Row],[1]:[11]],0))-1)/(COUNTA(Table21215[[#This Row],[1]:[11]])-COUNTBLANK(Table21215[[#This Row],[1]:[11]])-1)))</f>
        <v>3.1771247021445594E-3</v>
      </c>
      <c r="AA81" s="30" cm="1">
        <f t="array" ref="AA81">IF(Table21215[[#This Row],[3]]="","",Table21215[[#This Row],[Weight]:[Weight]]-(Table21215[[#This Row],[Weight]:[Weight]]*((_xlfn.XMATCH(Table21215[[#This Row],[3]],Table21215[[#This Row],[1]:[11]],0))-1)/(COUNTA(Table21215[[#This Row],[1]:[11]])-COUNTBLANK(Table21215[[#This Row],[1]:[11]])-1)))</f>
        <v>1.5885623510722797E-3</v>
      </c>
      <c r="AB81" s="30" cm="1">
        <f t="array" ref="AB81">IF(Table21215[[#This Row],[4]]="","",Table21215[[#This Row],[Weight]:[Weight]]-(Table21215[[#This Row],[Weight]:[Weight]]*((_xlfn.XMATCH(Table21215[[#This Row],[4]],Table21215[[#This Row],[1]:[11]],0))-1)/(COUNTA(Table21215[[#This Row],[1]:[11]])-COUNTBLANK(Table21215[[#This Row],[1]:[11]])-1)))</f>
        <v>0</v>
      </c>
      <c r="AC81" s="30" t="str" cm="1">
        <f t="array" ref="AC81">IF(Table21215[[#This Row],[5]]="","",Table21215[[#This Row],[Weight]:[Weight]]-(Table21215[[#This Row],[Weight]:[Weight]]*((_xlfn.XMATCH(Table21215[[#This Row],[5]],Table21215[[#This Row],[1]:[11]],0))-1)/(COUNTA(Table21215[[#This Row],[1]:[11]])-COUNTBLANK(Table21215[[#This Row],[1]:[11]])-1)))</f>
        <v/>
      </c>
      <c r="AD81" s="30" t="str" cm="1">
        <f t="array" ref="AD81">IF(Table21215[[#This Row],[6]]="","",Table21215[[#This Row],[Weight]:[Weight]]-(Table21215[[#This Row],[Weight]:[Weight]]*((_xlfn.XMATCH(Table21215[[#This Row],[6]],Table21215[[#This Row],[1]:[11]],0))-1)/(COUNTA(Table21215[[#This Row],[1]:[11]])-COUNTBLANK(Table21215[[#This Row],[1]:[11]])-1)))</f>
        <v/>
      </c>
      <c r="AE81" s="30" t="str" cm="1">
        <f t="array" ref="AE81">IF(Table21215[[#This Row],[7]]="","",Table21215[[#This Row],[Weight]:[Weight]]-(Table21215[[#This Row],[Weight]:[Weight]]*((_xlfn.XMATCH(Table21215[[#This Row],[7]],Table21215[[#This Row],[1]:[11]],0))-1)/(COUNTA(Table21215[[#This Row],[1]:[11]])-COUNTBLANK(Table21215[[#This Row],[1]:[11]])-1)))</f>
        <v/>
      </c>
      <c r="AF81" s="30" t="str" cm="1">
        <f t="array" ref="AF81">IF(Table21215[[#This Row],[8]]="","",Table21215[[#This Row],[Weight]:[Weight]]-(Table21215[[#This Row],[Weight]:[Weight]]*((_xlfn.XMATCH(Table21215[[#This Row],[8]],Table21215[[#This Row],[1]:[11]],0))-1)/(COUNTA(Table21215[[#This Row],[1]:[11]])-COUNTBLANK(Table21215[[#This Row],[1]:[11]])-1)))</f>
        <v/>
      </c>
      <c r="AG81" s="30" t="str" cm="1">
        <f t="array" ref="AG81">IF(Table21215[[#This Row],[9]]="","",Table21215[[#This Row],[Weight]:[Weight]]-(Table21215[[#This Row],[Weight]:[Weight]]*((_xlfn.XMATCH(Table21215[[#This Row],[9]],Table21215[[#This Row],[1]:[11]],0))-1)/(COUNTA(Table21215[[#This Row],[1]:[11]])-COUNTBLANK(Table21215[[#This Row],[1]:[11]])-1)))</f>
        <v/>
      </c>
      <c r="AH81" s="30" t="str" cm="1">
        <f t="array" ref="AH81">IF(Table21215[[#This Row],[10]]="","",Table21215[[#This Row],[Weight]:[Weight]]-(Table21215[[#This Row],[Weight]:[Weight]]*((_xlfn.XMATCH(Table21215[[#This Row],[10]],Table21215[[#This Row],[1]:[11]],0))-1)/(COUNTA(Table21215[[#This Row],[1]:[11]])-COUNTBLANK(Table21215[[#This Row],[1]:[11]])-1)))</f>
        <v/>
      </c>
      <c r="AI81" s="30" t="str" cm="1">
        <f t="array" ref="AI81">IF(Table21215[[#This Row],[11]]="","",Table21215[[#This Row],[Weight]:[Weight]]-(Table21215[[#This Row],[Weight]:[Weight]]*((_xlfn.XMATCH(Table21215[[#This Row],[11]],Table21215[[#This Row],[1]:[11]],0))-1)/(COUNTA(Table21215[[#This Row],[1]:[11]])-COUNTBLANK(Table21215[[#This Row],[1]:[11]])-1)))</f>
        <v/>
      </c>
    </row>
    <row r="82" spans="1:35" ht="108" x14ac:dyDescent="0.2">
      <c r="A82" s="20">
        <v>70</v>
      </c>
      <c r="B82" s="165" t="s">
        <v>899</v>
      </c>
      <c r="C82" s="21" t="s">
        <v>826</v>
      </c>
      <c r="D82" s="38"/>
      <c r="E82" s="38"/>
      <c r="F82" s="159" t="s">
        <v>188</v>
      </c>
      <c r="G82" s="160" cm="1">
        <f t="array" ref="G82">_xlfn.IFS(F82="","",F82="No interest",0,F82="Nice to have",1,F82="Useful",2,F82="Important",3,F82="Very important",4,F82="Critical",5,F82="Show stopper",6)</f>
        <v>5</v>
      </c>
      <c r="H82" s="161">
        <f t="shared" si="2"/>
        <v>3.9714058776806989E-3</v>
      </c>
      <c r="I82" s="157" t="s">
        <v>827</v>
      </c>
      <c r="J82" s="35" t="str" cm="1">
        <f t="array" ref="J82">_xlfn.TEXTJOIN(","&amp;CHAR(10),,TEXT(Table21215[[#This Row],[12]:[22]],"0,00%"))</f>
        <v>0,00%,
0,00%,
0,00%,
0,00%</v>
      </c>
      <c r="K82" s="36"/>
      <c r="L82" s="37" t="e">
        <f>H82-(H82*((MATCH(Table21215[[#This Row],[Evaluators Response (SELECT)]],Table21215[[#This Row],[1]:[11]],0)-1)/(COUNTA(Table21215[[#This Row],[1]:[11]])-COUNTBLANK(Table21215[[#This Row],[1]:[11]])-1)))</f>
        <v>#N/A</v>
      </c>
      <c r="M82" s="38"/>
      <c r="N82" s="29" t="s">
        <v>828</v>
      </c>
      <c r="O82" s="29" t="s">
        <v>829</v>
      </c>
      <c r="P82" s="29" t="s">
        <v>830</v>
      </c>
      <c r="Q82" s="29" t="str" cm="1">
        <f t="array" ref="Q82">IFERROR(INDEX(_xlfn.UNIQUE(TRIM(_xlfn.TEXTSPLIT(Table21215[[#This Row],[Selection Options]:[Selection Options]],","))),,Q$11),"")</f>
        <v xml:space="preserve">
 0%: Not currently supported</v>
      </c>
      <c r="R82" s="29" t="str" cm="1">
        <f t="array" ref="R82">IFERROR(INDEX(_xlfn.UNIQUE(TRIM(_xlfn.TEXTSPLIT(Table21215[[#This Row],[Selection Options]:[Selection Options]],","))),,R$11),"")</f>
        <v/>
      </c>
      <c r="S82" s="29" t="str" cm="1">
        <f t="array" ref="S82">IFERROR(INDEX(_xlfn.UNIQUE(TRIM(_xlfn.TEXTSPLIT(Table21215[[#This Row],[Selection Options]:[Selection Options]],","))),,S$11),"")</f>
        <v/>
      </c>
      <c r="T82" s="29" t="str" cm="1">
        <f t="array" ref="T82">IFERROR(INDEX(_xlfn.UNIQUE(TRIM(_xlfn.TEXTSPLIT(Table21215[[#This Row],[Selection Options]:[Selection Options]],","))),,T$11),"")</f>
        <v/>
      </c>
      <c r="U82" s="29" t="str" cm="1">
        <f t="array" ref="U82">IFERROR(INDEX(_xlfn.UNIQUE(TRIM(_xlfn.TEXTSPLIT(Table21215[[#This Row],[Selection Options]:[Selection Options]],","))),,U$11),"")</f>
        <v/>
      </c>
      <c r="V82" s="29" t="str" cm="1">
        <f t="array" ref="V82">IFERROR(INDEX(_xlfn.UNIQUE(TRIM(_xlfn.TEXTSPLIT(Table21215[[#This Row],[Selection Options]:[Selection Options]],","))),,V$11),"")</f>
        <v/>
      </c>
      <c r="W82" s="29" t="str" cm="1">
        <f t="array" ref="W82">IFERROR(INDEX(_xlfn.UNIQUE(TRIM(_xlfn.TEXTSPLIT(Table21215[[#This Row],[Selection Options]:[Selection Options]],","))),,W$11),"")</f>
        <v/>
      </c>
      <c r="X82" s="29" t="str" cm="1">
        <f t="array" ref="X82">IFERROR(INDEX(_xlfn.UNIQUE(TRIM(_xlfn.TEXTSPLIT(Table21215[[#This Row],[Selection Options]:[Selection Options]],","))),,X$11),"")</f>
        <v/>
      </c>
      <c r="Y82" s="30" cm="1">
        <f t="array" ref="Y82">IF(Table21215[[#This Row],[1]]="","",Table21215[[#This Row],[Weight]:[Weight]]-(Table21215[[#This Row],[Weight]:[Weight]]*((_xlfn.XMATCH(Table21215[[#This Row],[1]],Table21215[[#This Row],[1]:[11]],0))-1)/(COUNTA(Table21215[[#This Row],[1]:[11]])-COUNTBLANK(Table21215[[#This Row],[1]:[11]])-1)))</f>
        <v>3.9714058776806989E-3</v>
      </c>
      <c r="Z82" s="30" cm="1">
        <f t="array" ref="Z82">IF(Table21215[[#This Row],[2]]="","",Table21215[[#This Row],[Weight]:[Weight]]-(Table21215[[#This Row],[Weight]:[Weight]]*((_xlfn.XMATCH(Table21215[[#This Row],[2]],Table21215[[#This Row],[1]:[11]],0))-1)/(COUNTA(Table21215[[#This Row],[1]:[11]])-COUNTBLANK(Table21215[[#This Row],[1]:[11]])-1)))</f>
        <v>2.6476039184537992E-3</v>
      </c>
      <c r="AA82" s="30" cm="1">
        <f t="array" ref="AA82">IF(Table21215[[#This Row],[3]]="","",Table21215[[#This Row],[Weight]:[Weight]]-(Table21215[[#This Row],[Weight]:[Weight]]*((_xlfn.XMATCH(Table21215[[#This Row],[3]],Table21215[[#This Row],[1]:[11]],0))-1)/(COUNTA(Table21215[[#This Row],[1]:[11]])-COUNTBLANK(Table21215[[#This Row],[1]:[11]])-1)))</f>
        <v>1.3238019592268996E-3</v>
      </c>
      <c r="AB82" s="30" cm="1">
        <f t="array" ref="AB82">IF(Table21215[[#This Row],[4]]="","",Table21215[[#This Row],[Weight]:[Weight]]-(Table21215[[#This Row],[Weight]:[Weight]]*((_xlfn.XMATCH(Table21215[[#This Row],[4]],Table21215[[#This Row],[1]:[11]],0))-1)/(COUNTA(Table21215[[#This Row],[1]:[11]])-COUNTBLANK(Table21215[[#This Row],[1]:[11]])-1)))</f>
        <v>0</v>
      </c>
      <c r="AC82" s="30" t="str" cm="1">
        <f t="array" ref="AC82">IF(Table21215[[#This Row],[5]]="","",Table21215[[#This Row],[Weight]:[Weight]]-(Table21215[[#This Row],[Weight]:[Weight]]*((_xlfn.XMATCH(Table21215[[#This Row],[5]],Table21215[[#This Row],[1]:[11]],0))-1)/(COUNTA(Table21215[[#This Row],[1]:[11]])-COUNTBLANK(Table21215[[#This Row],[1]:[11]])-1)))</f>
        <v/>
      </c>
      <c r="AD82" s="30" t="str" cm="1">
        <f t="array" ref="AD82">IF(Table21215[[#This Row],[6]]="","",Table21215[[#This Row],[Weight]:[Weight]]-(Table21215[[#This Row],[Weight]:[Weight]]*((_xlfn.XMATCH(Table21215[[#This Row],[6]],Table21215[[#This Row],[1]:[11]],0))-1)/(COUNTA(Table21215[[#This Row],[1]:[11]])-COUNTBLANK(Table21215[[#This Row],[1]:[11]])-1)))</f>
        <v/>
      </c>
      <c r="AE82" s="30" t="str" cm="1">
        <f t="array" ref="AE82">IF(Table21215[[#This Row],[7]]="","",Table21215[[#This Row],[Weight]:[Weight]]-(Table21215[[#This Row],[Weight]:[Weight]]*((_xlfn.XMATCH(Table21215[[#This Row],[7]],Table21215[[#This Row],[1]:[11]],0))-1)/(COUNTA(Table21215[[#This Row],[1]:[11]])-COUNTBLANK(Table21215[[#This Row],[1]:[11]])-1)))</f>
        <v/>
      </c>
      <c r="AF82" s="30" t="str" cm="1">
        <f t="array" ref="AF82">IF(Table21215[[#This Row],[8]]="","",Table21215[[#This Row],[Weight]:[Weight]]-(Table21215[[#This Row],[Weight]:[Weight]]*((_xlfn.XMATCH(Table21215[[#This Row],[8]],Table21215[[#This Row],[1]:[11]],0))-1)/(COUNTA(Table21215[[#This Row],[1]:[11]])-COUNTBLANK(Table21215[[#This Row],[1]:[11]])-1)))</f>
        <v/>
      </c>
      <c r="AG82" s="30" t="str" cm="1">
        <f t="array" ref="AG82">IF(Table21215[[#This Row],[9]]="","",Table21215[[#This Row],[Weight]:[Weight]]-(Table21215[[#This Row],[Weight]:[Weight]]*((_xlfn.XMATCH(Table21215[[#This Row],[9]],Table21215[[#This Row],[1]:[11]],0))-1)/(COUNTA(Table21215[[#This Row],[1]:[11]])-COUNTBLANK(Table21215[[#This Row],[1]:[11]])-1)))</f>
        <v/>
      </c>
      <c r="AH82" s="30" t="str" cm="1">
        <f t="array" ref="AH82">IF(Table21215[[#This Row],[10]]="","",Table21215[[#This Row],[Weight]:[Weight]]-(Table21215[[#This Row],[Weight]:[Weight]]*((_xlfn.XMATCH(Table21215[[#This Row],[10]],Table21215[[#This Row],[1]:[11]],0))-1)/(COUNTA(Table21215[[#This Row],[1]:[11]])-COUNTBLANK(Table21215[[#This Row],[1]:[11]])-1)))</f>
        <v/>
      </c>
      <c r="AI82" s="30" t="str" cm="1">
        <f t="array" ref="AI82">IF(Table21215[[#This Row],[11]]="","",Table21215[[#This Row],[Weight]:[Weight]]-(Table21215[[#This Row],[Weight]:[Weight]]*((_xlfn.XMATCH(Table21215[[#This Row],[11]],Table21215[[#This Row],[1]:[11]],0))-1)/(COUNTA(Table21215[[#This Row],[1]:[11]])-COUNTBLANK(Table21215[[#This Row],[1]:[11]])-1)))</f>
        <v/>
      </c>
    </row>
    <row r="83" spans="1:35" ht="108" x14ac:dyDescent="0.2">
      <c r="A83" s="20">
        <v>71</v>
      </c>
      <c r="B83" s="165" t="s">
        <v>900</v>
      </c>
      <c r="C83" s="21" t="s">
        <v>826</v>
      </c>
      <c r="D83" s="38"/>
      <c r="E83" s="38"/>
      <c r="F83" s="159" t="s">
        <v>60</v>
      </c>
      <c r="G83" s="160" cm="1">
        <f t="array" ref="G83">_xlfn.IFS(F83="","",F83="No interest",0,F83="Nice to have",1,F83="Useful",2,F83="Important",3,F83="Very important",4,F83="Critical",5,F83="Show stopper",6)</f>
        <v>6</v>
      </c>
      <c r="H83" s="161">
        <f t="shared" si="2"/>
        <v>4.7656870532168391E-3</v>
      </c>
      <c r="I83" s="157" t="s">
        <v>827</v>
      </c>
      <c r="J83" s="35" t="str" cm="1">
        <f t="array" ref="J83">_xlfn.TEXTJOIN(","&amp;CHAR(10),,TEXT(Table21215[[#This Row],[12]:[22]],"0,00%"))</f>
        <v>0,00%,
0,00%,
0,00%,
0,00%</v>
      </c>
      <c r="K83" s="36"/>
      <c r="L83" s="37" t="e">
        <f>H83-(H83*((MATCH(Table21215[[#This Row],[Evaluators Response (SELECT)]],Table21215[[#This Row],[1]:[11]],0)-1)/(COUNTA(Table21215[[#This Row],[1]:[11]])-COUNTBLANK(Table21215[[#This Row],[1]:[11]])-1)))</f>
        <v>#N/A</v>
      </c>
      <c r="M83" s="38"/>
      <c r="N83" s="29" t="s">
        <v>828</v>
      </c>
      <c r="O83" s="29" t="s">
        <v>829</v>
      </c>
      <c r="P83" s="29" t="s">
        <v>830</v>
      </c>
      <c r="Q83" s="29" t="str" cm="1">
        <f t="array" ref="Q83">IFERROR(INDEX(_xlfn.UNIQUE(TRIM(_xlfn.TEXTSPLIT(Table21215[[#This Row],[Selection Options]:[Selection Options]],","))),,Q$11),"")</f>
        <v xml:space="preserve">
 0%: Not currently supported</v>
      </c>
      <c r="R83" s="29" t="str" cm="1">
        <f t="array" ref="R83">IFERROR(INDEX(_xlfn.UNIQUE(TRIM(_xlfn.TEXTSPLIT(Table21215[[#This Row],[Selection Options]:[Selection Options]],","))),,R$11),"")</f>
        <v/>
      </c>
      <c r="S83" s="29" t="str" cm="1">
        <f t="array" ref="S83">IFERROR(INDEX(_xlfn.UNIQUE(TRIM(_xlfn.TEXTSPLIT(Table21215[[#This Row],[Selection Options]:[Selection Options]],","))),,S$11),"")</f>
        <v/>
      </c>
      <c r="T83" s="29" t="str" cm="1">
        <f t="array" ref="T83">IFERROR(INDEX(_xlfn.UNIQUE(TRIM(_xlfn.TEXTSPLIT(Table21215[[#This Row],[Selection Options]:[Selection Options]],","))),,T$11),"")</f>
        <v/>
      </c>
      <c r="U83" s="29" t="str" cm="1">
        <f t="array" ref="U83">IFERROR(INDEX(_xlfn.UNIQUE(TRIM(_xlfn.TEXTSPLIT(Table21215[[#This Row],[Selection Options]:[Selection Options]],","))),,U$11),"")</f>
        <v/>
      </c>
      <c r="V83" s="29" t="str" cm="1">
        <f t="array" ref="V83">IFERROR(INDEX(_xlfn.UNIQUE(TRIM(_xlfn.TEXTSPLIT(Table21215[[#This Row],[Selection Options]:[Selection Options]],","))),,V$11),"")</f>
        <v/>
      </c>
      <c r="W83" s="29" t="str" cm="1">
        <f t="array" ref="W83">IFERROR(INDEX(_xlfn.UNIQUE(TRIM(_xlfn.TEXTSPLIT(Table21215[[#This Row],[Selection Options]:[Selection Options]],","))),,W$11),"")</f>
        <v/>
      </c>
      <c r="X83" s="29" t="str" cm="1">
        <f t="array" ref="X83">IFERROR(INDEX(_xlfn.UNIQUE(TRIM(_xlfn.TEXTSPLIT(Table21215[[#This Row],[Selection Options]:[Selection Options]],","))),,X$11),"")</f>
        <v/>
      </c>
      <c r="Y83" s="30" cm="1">
        <f t="array" ref="Y83">IF(Table21215[[#This Row],[1]]="","",Table21215[[#This Row],[Weight]:[Weight]]-(Table21215[[#This Row],[Weight]:[Weight]]*((_xlfn.XMATCH(Table21215[[#This Row],[1]],Table21215[[#This Row],[1]:[11]],0))-1)/(COUNTA(Table21215[[#This Row],[1]:[11]])-COUNTBLANK(Table21215[[#This Row],[1]:[11]])-1)))</f>
        <v>4.7656870532168391E-3</v>
      </c>
      <c r="Z83" s="30" cm="1">
        <f t="array" ref="Z83">IF(Table21215[[#This Row],[2]]="","",Table21215[[#This Row],[Weight]:[Weight]]-(Table21215[[#This Row],[Weight]:[Weight]]*((_xlfn.XMATCH(Table21215[[#This Row],[2]],Table21215[[#This Row],[1]:[11]],0))-1)/(COUNTA(Table21215[[#This Row],[1]:[11]])-COUNTBLANK(Table21215[[#This Row],[1]:[11]])-1)))</f>
        <v>3.1771247021445594E-3</v>
      </c>
      <c r="AA83" s="30" cm="1">
        <f t="array" ref="AA83">IF(Table21215[[#This Row],[3]]="","",Table21215[[#This Row],[Weight]:[Weight]]-(Table21215[[#This Row],[Weight]:[Weight]]*((_xlfn.XMATCH(Table21215[[#This Row],[3]],Table21215[[#This Row],[1]:[11]],0))-1)/(COUNTA(Table21215[[#This Row],[1]:[11]])-COUNTBLANK(Table21215[[#This Row],[1]:[11]])-1)))</f>
        <v>1.5885623510722797E-3</v>
      </c>
      <c r="AB83" s="30" cm="1">
        <f t="array" ref="AB83">IF(Table21215[[#This Row],[4]]="","",Table21215[[#This Row],[Weight]:[Weight]]-(Table21215[[#This Row],[Weight]:[Weight]]*((_xlfn.XMATCH(Table21215[[#This Row],[4]],Table21215[[#This Row],[1]:[11]],0))-1)/(COUNTA(Table21215[[#This Row],[1]:[11]])-COUNTBLANK(Table21215[[#This Row],[1]:[11]])-1)))</f>
        <v>0</v>
      </c>
      <c r="AC83" s="30" t="str" cm="1">
        <f t="array" ref="AC83">IF(Table21215[[#This Row],[5]]="","",Table21215[[#This Row],[Weight]:[Weight]]-(Table21215[[#This Row],[Weight]:[Weight]]*((_xlfn.XMATCH(Table21215[[#This Row],[5]],Table21215[[#This Row],[1]:[11]],0))-1)/(COUNTA(Table21215[[#This Row],[1]:[11]])-COUNTBLANK(Table21215[[#This Row],[1]:[11]])-1)))</f>
        <v/>
      </c>
      <c r="AD83" s="30" t="str" cm="1">
        <f t="array" ref="AD83">IF(Table21215[[#This Row],[6]]="","",Table21215[[#This Row],[Weight]:[Weight]]-(Table21215[[#This Row],[Weight]:[Weight]]*((_xlfn.XMATCH(Table21215[[#This Row],[6]],Table21215[[#This Row],[1]:[11]],0))-1)/(COUNTA(Table21215[[#This Row],[1]:[11]])-COUNTBLANK(Table21215[[#This Row],[1]:[11]])-1)))</f>
        <v/>
      </c>
      <c r="AE83" s="30" t="str" cm="1">
        <f t="array" ref="AE83">IF(Table21215[[#This Row],[7]]="","",Table21215[[#This Row],[Weight]:[Weight]]-(Table21215[[#This Row],[Weight]:[Weight]]*((_xlfn.XMATCH(Table21215[[#This Row],[7]],Table21215[[#This Row],[1]:[11]],0))-1)/(COUNTA(Table21215[[#This Row],[1]:[11]])-COUNTBLANK(Table21215[[#This Row],[1]:[11]])-1)))</f>
        <v/>
      </c>
      <c r="AF83" s="30" t="str" cm="1">
        <f t="array" ref="AF83">IF(Table21215[[#This Row],[8]]="","",Table21215[[#This Row],[Weight]:[Weight]]-(Table21215[[#This Row],[Weight]:[Weight]]*((_xlfn.XMATCH(Table21215[[#This Row],[8]],Table21215[[#This Row],[1]:[11]],0))-1)/(COUNTA(Table21215[[#This Row],[1]:[11]])-COUNTBLANK(Table21215[[#This Row],[1]:[11]])-1)))</f>
        <v/>
      </c>
      <c r="AG83" s="30" t="str" cm="1">
        <f t="array" ref="AG83">IF(Table21215[[#This Row],[9]]="","",Table21215[[#This Row],[Weight]:[Weight]]-(Table21215[[#This Row],[Weight]:[Weight]]*((_xlfn.XMATCH(Table21215[[#This Row],[9]],Table21215[[#This Row],[1]:[11]],0))-1)/(COUNTA(Table21215[[#This Row],[1]:[11]])-COUNTBLANK(Table21215[[#This Row],[1]:[11]])-1)))</f>
        <v/>
      </c>
      <c r="AH83" s="30" t="str" cm="1">
        <f t="array" ref="AH83">IF(Table21215[[#This Row],[10]]="","",Table21215[[#This Row],[Weight]:[Weight]]-(Table21215[[#This Row],[Weight]:[Weight]]*((_xlfn.XMATCH(Table21215[[#This Row],[10]],Table21215[[#This Row],[1]:[11]],0))-1)/(COUNTA(Table21215[[#This Row],[1]:[11]])-COUNTBLANK(Table21215[[#This Row],[1]:[11]])-1)))</f>
        <v/>
      </c>
      <c r="AI83" s="30" t="str" cm="1">
        <f t="array" ref="AI83">IF(Table21215[[#This Row],[11]]="","",Table21215[[#This Row],[Weight]:[Weight]]-(Table21215[[#This Row],[Weight]:[Weight]]*((_xlfn.XMATCH(Table21215[[#This Row],[11]],Table21215[[#This Row],[1]:[11]],0))-1)/(COUNTA(Table21215[[#This Row],[1]:[11]])-COUNTBLANK(Table21215[[#This Row],[1]:[11]])-1)))</f>
        <v/>
      </c>
    </row>
    <row r="84" spans="1:35" ht="108" x14ac:dyDescent="0.2">
      <c r="A84" s="20">
        <v>72</v>
      </c>
      <c r="B84" s="165" t="s">
        <v>901</v>
      </c>
      <c r="C84" s="21" t="s">
        <v>826</v>
      </c>
      <c r="D84" s="38"/>
      <c r="E84" s="38"/>
      <c r="F84" s="159" t="s">
        <v>188</v>
      </c>
      <c r="G84" s="160" cm="1">
        <f t="array" ref="G84">_xlfn.IFS(F84="","",F84="No interest",0,F84="Nice to have",1,F84="Useful",2,F84="Important",3,F84="Very important",4,F84="Critical",5,F84="Show stopper",6)</f>
        <v>5</v>
      </c>
      <c r="H84" s="161">
        <f t="shared" si="2"/>
        <v>3.9714058776806989E-3</v>
      </c>
      <c r="I84" s="157" t="s">
        <v>827</v>
      </c>
      <c r="J84" s="35" t="str" cm="1">
        <f t="array" ref="J84">_xlfn.TEXTJOIN(","&amp;CHAR(10),,TEXT(Table21215[[#This Row],[12]:[22]],"0,00%"))</f>
        <v>0,00%,
0,00%,
0,00%,
0,00%</v>
      </c>
      <c r="K84" s="36"/>
      <c r="L84" s="37" t="e">
        <f>H84-(H84*((MATCH(Table21215[[#This Row],[Evaluators Response (SELECT)]],Table21215[[#This Row],[1]:[11]],0)-1)/(COUNTA(Table21215[[#This Row],[1]:[11]])-COUNTBLANK(Table21215[[#This Row],[1]:[11]])-1)))</f>
        <v>#N/A</v>
      </c>
      <c r="M84" s="38"/>
      <c r="N84" s="29" t="s">
        <v>828</v>
      </c>
      <c r="O84" s="29" t="s">
        <v>829</v>
      </c>
      <c r="P84" s="29" t="s">
        <v>830</v>
      </c>
      <c r="Q84" s="29" t="str" cm="1">
        <f t="array" ref="Q84">IFERROR(INDEX(_xlfn.UNIQUE(TRIM(_xlfn.TEXTSPLIT(Table21215[[#This Row],[Selection Options]:[Selection Options]],","))),,Q$11),"")</f>
        <v xml:space="preserve">
 0%: Not currently supported</v>
      </c>
      <c r="R84" s="29" t="str" cm="1">
        <f t="array" ref="R84">IFERROR(INDEX(_xlfn.UNIQUE(TRIM(_xlfn.TEXTSPLIT(Table21215[[#This Row],[Selection Options]:[Selection Options]],","))),,R$11),"")</f>
        <v/>
      </c>
      <c r="S84" s="29" t="str" cm="1">
        <f t="array" ref="S84">IFERROR(INDEX(_xlfn.UNIQUE(TRIM(_xlfn.TEXTSPLIT(Table21215[[#This Row],[Selection Options]:[Selection Options]],","))),,S$11),"")</f>
        <v/>
      </c>
      <c r="T84" s="29" t="str" cm="1">
        <f t="array" ref="T84">IFERROR(INDEX(_xlfn.UNIQUE(TRIM(_xlfn.TEXTSPLIT(Table21215[[#This Row],[Selection Options]:[Selection Options]],","))),,T$11),"")</f>
        <v/>
      </c>
      <c r="U84" s="29" t="str" cm="1">
        <f t="array" ref="U84">IFERROR(INDEX(_xlfn.UNIQUE(TRIM(_xlfn.TEXTSPLIT(Table21215[[#This Row],[Selection Options]:[Selection Options]],","))),,U$11),"")</f>
        <v/>
      </c>
      <c r="V84" s="29" t="str" cm="1">
        <f t="array" ref="V84">IFERROR(INDEX(_xlfn.UNIQUE(TRIM(_xlfn.TEXTSPLIT(Table21215[[#This Row],[Selection Options]:[Selection Options]],","))),,V$11),"")</f>
        <v/>
      </c>
      <c r="W84" s="29" t="str" cm="1">
        <f t="array" ref="W84">IFERROR(INDEX(_xlfn.UNIQUE(TRIM(_xlfn.TEXTSPLIT(Table21215[[#This Row],[Selection Options]:[Selection Options]],","))),,W$11),"")</f>
        <v/>
      </c>
      <c r="X84" s="29" t="str" cm="1">
        <f t="array" ref="X84">IFERROR(INDEX(_xlfn.UNIQUE(TRIM(_xlfn.TEXTSPLIT(Table21215[[#This Row],[Selection Options]:[Selection Options]],","))),,X$11),"")</f>
        <v/>
      </c>
      <c r="Y84" s="30" cm="1">
        <f t="array" ref="Y84">IF(Table21215[[#This Row],[1]]="","",Table21215[[#This Row],[Weight]:[Weight]]-(Table21215[[#This Row],[Weight]:[Weight]]*((_xlfn.XMATCH(Table21215[[#This Row],[1]],Table21215[[#This Row],[1]:[11]],0))-1)/(COUNTA(Table21215[[#This Row],[1]:[11]])-COUNTBLANK(Table21215[[#This Row],[1]:[11]])-1)))</f>
        <v>3.9714058776806989E-3</v>
      </c>
      <c r="Z84" s="30" cm="1">
        <f t="array" ref="Z84">IF(Table21215[[#This Row],[2]]="","",Table21215[[#This Row],[Weight]:[Weight]]-(Table21215[[#This Row],[Weight]:[Weight]]*((_xlfn.XMATCH(Table21215[[#This Row],[2]],Table21215[[#This Row],[1]:[11]],0))-1)/(COUNTA(Table21215[[#This Row],[1]:[11]])-COUNTBLANK(Table21215[[#This Row],[1]:[11]])-1)))</f>
        <v>2.6476039184537992E-3</v>
      </c>
      <c r="AA84" s="30" cm="1">
        <f t="array" ref="AA84">IF(Table21215[[#This Row],[3]]="","",Table21215[[#This Row],[Weight]:[Weight]]-(Table21215[[#This Row],[Weight]:[Weight]]*((_xlfn.XMATCH(Table21215[[#This Row],[3]],Table21215[[#This Row],[1]:[11]],0))-1)/(COUNTA(Table21215[[#This Row],[1]:[11]])-COUNTBLANK(Table21215[[#This Row],[1]:[11]])-1)))</f>
        <v>1.3238019592268996E-3</v>
      </c>
      <c r="AB84" s="30" cm="1">
        <f t="array" ref="AB84">IF(Table21215[[#This Row],[4]]="","",Table21215[[#This Row],[Weight]:[Weight]]-(Table21215[[#This Row],[Weight]:[Weight]]*((_xlfn.XMATCH(Table21215[[#This Row],[4]],Table21215[[#This Row],[1]:[11]],0))-1)/(COUNTA(Table21215[[#This Row],[1]:[11]])-COUNTBLANK(Table21215[[#This Row],[1]:[11]])-1)))</f>
        <v>0</v>
      </c>
      <c r="AC84" s="30" t="str" cm="1">
        <f t="array" ref="AC84">IF(Table21215[[#This Row],[5]]="","",Table21215[[#This Row],[Weight]:[Weight]]-(Table21215[[#This Row],[Weight]:[Weight]]*((_xlfn.XMATCH(Table21215[[#This Row],[5]],Table21215[[#This Row],[1]:[11]],0))-1)/(COUNTA(Table21215[[#This Row],[1]:[11]])-COUNTBLANK(Table21215[[#This Row],[1]:[11]])-1)))</f>
        <v/>
      </c>
      <c r="AD84" s="30" t="str" cm="1">
        <f t="array" ref="AD84">IF(Table21215[[#This Row],[6]]="","",Table21215[[#This Row],[Weight]:[Weight]]-(Table21215[[#This Row],[Weight]:[Weight]]*((_xlfn.XMATCH(Table21215[[#This Row],[6]],Table21215[[#This Row],[1]:[11]],0))-1)/(COUNTA(Table21215[[#This Row],[1]:[11]])-COUNTBLANK(Table21215[[#This Row],[1]:[11]])-1)))</f>
        <v/>
      </c>
      <c r="AE84" s="30" t="str" cm="1">
        <f t="array" ref="AE84">IF(Table21215[[#This Row],[7]]="","",Table21215[[#This Row],[Weight]:[Weight]]-(Table21215[[#This Row],[Weight]:[Weight]]*((_xlfn.XMATCH(Table21215[[#This Row],[7]],Table21215[[#This Row],[1]:[11]],0))-1)/(COUNTA(Table21215[[#This Row],[1]:[11]])-COUNTBLANK(Table21215[[#This Row],[1]:[11]])-1)))</f>
        <v/>
      </c>
      <c r="AF84" s="30" t="str" cm="1">
        <f t="array" ref="AF84">IF(Table21215[[#This Row],[8]]="","",Table21215[[#This Row],[Weight]:[Weight]]-(Table21215[[#This Row],[Weight]:[Weight]]*((_xlfn.XMATCH(Table21215[[#This Row],[8]],Table21215[[#This Row],[1]:[11]],0))-1)/(COUNTA(Table21215[[#This Row],[1]:[11]])-COUNTBLANK(Table21215[[#This Row],[1]:[11]])-1)))</f>
        <v/>
      </c>
      <c r="AG84" s="30" t="str" cm="1">
        <f t="array" ref="AG84">IF(Table21215[[#This Row],[9]]="","",Table21215[[#This Row],[Weight]:[Weight]]-(Table21215[[#This Row],[Weight]:[Weight]]*((_xlfn.XMATCH(Table21215[[#This Row],[9]],Table21215[[#This Row],[1]:[11]],0))-1)/(COUNTA(Table21215[[#This Row],[1]:[11]])-COUNTBLANK(Table21215[[#This Row],[1]:[11]])-1)))</f>
        <v/>
      </c>
      <c r="AH84" s="30" t="str" cm="1">
        <f t="array" ref="AH84">IF(Table21215[[#This Row],[10]]="","",Table21215[[#This Row],[Weight]:[Weight]]-(Table21215[[#This Row],[Weight]:[Weight]]*((_xlfn.XMATCH(Table21215[[#This Row],[10]],Table21215[[#This Row],[1]:[11]],0))-1)/(COUNTA(Table21215[[#This Row],[1]:[11]])-COUNTBLANK(Table21215[[#This Row],[1]:[11]])-1)))</f>
        <v/>
      </c>
      <c r="AI84" s="30" t="str" cm="1">
        <f t="array" ref="AI84">IF(Table21215[[#This Row],[11]]="","",Table21215[[#This Row],[Weight]:[Weight]]-(Table21215[[#This Row],[Weight]:[Weight]]*((_xlfn.XMATCH(Table21215[[#This Row],[11]],Table21215[[#This Row],[1]:[11]],0))-1)/(COUNTA(Table21215[[#This Row],[1]:[11]])-COUNTBLANK(Table21215[[#This Row],[1]:[11]])-1)))</f>
        <v/>
      </c>
    </row>
    <row r="85" spans="1:35" ht="108" x14ac:dyDescent="0.2">
      <c r="A85" s="20">
        <v>73</v>
      </c>
      <c r="B85" s="165" t="s">
        <v>902</v>
      </c>
      <c r="C85" s="21" t="s">
        <v>826</v>
      </c>
      <c r="D85" s="38"/>
      <c r="E85" s="38"/>
      <c r="F85" s="159" t="s">
        <v>188</v>
      </c>
      <c r="G85" s="160" cm="1">
        <f t="array" ref="G85">_xlfn.IFS(F85="","",F85="No interest",0,F85="Nice to have",1,F85="Useful",2,F85="Important",3,F85="Very important",4,F85="Critical",5,F85="Show stopper",6)</f>
        <v>5</v>
      </c>
      <c r="H85" s="161">
        <f t="shared" si="2"/>
        <v>3.9714058776806989E-3</v>
      </c>
      <c r="I85" s="157" t="s">
        <v>827</v>
      </c>
      <c r="J85" s="35" t="str" cm="1">
        <f t="array" ref="J85">_xlfn.TEXTJOIN(","&amp;CHAR(10),,TEXT(Table21215[[#This Row],[12]:[22]],"0,00%"))</f>
        <v>0,00%,
0,00%,
0,00%,
0,00%</v>
      </c>
      <c r="K85" s="36"/>
      <c r="L85" s="37" t="e">
        <f>H85-(H85*((MATCH(Table21215[[#This Row],[Evaluators Response (SELECT)]],Table21215[[#This Row],[1]:[11]],0)-1)/(COUNTA(Table21215[[#This Row],[1]:[11]])-COUNTBLANK(Table21215[[#This Row],[1]:[11]])-1)))</f>
        <v>#N/A</v>
      </c>
      <c r="M85" s="38"/>
      <c r="N85" s="29" t="s">
        <v>828</v>
      </c>
      <c r="O85" s="29" t="s">
        <v>829</v>
      </c>
      <c r="P85" s="29" t="s">
        <v>830</v>
      </c>
      <c r="Q85" s="29" t="str" cm="1">
        <f t="array" ref="Q85">IFERROR(INDEX(_xlfn.UNIQUE(TRIM(_xlfn.TEXTSPLIT(Table21215[[#This Row],[Selection Options]:[Selection Options]],","))),,Q$11),"")</f>
        <v xml:space="preserve">
 0%: Not currently supported</v>
      </c>
      <c r="R85" s="29" t="str" cm="1">
        <f t="array" ref="R85">IFERROR(INDEX(_xlfn.UNIQUE(TRIM(_xlfn.TEXTSPLIT(Table21215[[#This Row],[Selection Options]:[Selection Options]],","))),,R$11),"")</f>
        <v/>
      </c>
      <c r="S85" s="29" t="str" cm="1">
        <f t="array" ref="S85">IFERROR(INDEX(_xlfn.UNIQUE(TRIM(_xlfn.TEXTSPLIT(Table21215[[#This Row],[Selection Options]:[Selection Options]],","))),,S$11),"")</f>
        <v/>
      </c>
      <c r="T85" s="29" t="str" cm="1">
        <f t="array" ref="T85">IFERROR(INDEX(_xlfn.UNIQUE(TRIM(_xlfn.TEXTSPLIT(Table21215[[#This Row],[Selection Options]:[Selection Options]],","))),,T$11),"")</f>
        <v/>
      </c>
      <c r="U85" s="29" t="str" cm="1">
        <f t="array" ref="U85">IFERROR(INDEX(_xlfn.UNIQUE(TRIM(_xlfn.TEXTSPLIT(Table21215[[#This Row],[Selection Options]:[Selection Options]],","))),,U$11),"")</f>
        <v/>
      </c>
      <c r="V85" s="29" t="str" cm="1">
        <f t="array" ref="V85">IFERROR(INDEX(_xlfn.UNIQUE(TRIM(_xlfn.TEXTSPLIT(Table21215[[#This Row],[Selection Options]:[Selection Options]],","))),,V$11),"")</f>
        <v/>
      </c>
      <c r="W85" s="29" t="str" cm="1">
        <f t="array" ref="W85">IFERROR(INDEX(_xlfn.UNIQUE(TRIM(_xlfn.TEXTSPLIT(Table21215[[#This Row],[Selection Options]:[Selection Options]],","))),,W$11),"")</f>
        <v/>
      </c>
      <c r="X85" s="29" t="str" cm="1">
        <f t="array" ref="X85">IFERROR(INDEX(_xlfn.UNIQUE(TRIM(_xlfn.TEXTSPLIT(Table21215[[#This Row],[Selection Options]:[Selection Options]],","))),,X$11),"")</f>
        <v/>
      </c>
      <c r="Y85" s="30" cm="1">
        <f t="array" ref="Y85">IF(Table21215[[#This Row],[1]]="","",Table21215[[#This Row],[Weight]:[Weight]]-(Table21215[[#This Row],[Weight]:[Weight]]*((_xlfn.XMATCH(Table21215[[#This Row],[1]],Table21215[[#This Row],[1]:[11]],0))-1)/(COUNTA(Table21215[[#This Row],[1]:[11]])-COUNTBLANK(Table21215[[#This Row],[1]:[11]])-1)))</f>
        <v>3.9714058776806989E-3</v>
      </c>
      <c r="Z85" s="30" cm="1">
        <f t="array" ref="Z85">IF(Table21215[[#This Row],[2]]="","",Table21215[[#This Row],[Weight]:[Weight]]-(Table21215[[#This Row],[Weight]:[Weight]]*((_xlfn.XMATCH(Table21215[[#This Row],[2]],Table21215[[#This Row],[1]:[11]],0))-1)/(COUNTA(Table21215[[#This Row],[1]:[11]])-COUNTBLANK(Table21215[[#This Row],[1]:[11]])-1)))</f>
        <v>2.6476039184537992E-3</v>
      </c>
      <c r="AA85" s="30" cm="1">
        <f t="array" ref="AA85">IF(Table21215[[#This Row],[3]]="","",Table21215[[#This Row],[Weight]:[Weight]]-(Table21215[[#This Row],[Weight]:[Weight]]*((_xlfn.XMATCH(Table21215[[#This Row],[3]],Table21215[[#This Row],[1]:[11]],0))-1)/(COUNTA(Table21215[[#This Row],[1]:[11]])-COUNTBLANK(Table21215[[#This Row],[1]:[11]])-1)))</f>
        <v>1.3238019592268996E-3</v>
      </c>
      <c r="AB85" s="30" cm="1">
        <f t="array" ref="AB85">IF(Table21215[[#This Row],[4]]="","",Table21215[[#This Row],[Weight]:[Weight]]-(Table21215[[#This Row],[Weight]:[Weight]]*((_xlfn.XMATCH(Table21215[[#This Row],[4]],Table21215[[#This Row],[1]:[11]],0))-1)/(COUNTA(Table21215[[#This Row],[1]:[11]])-COUNTBLANK(Table21215[[#This Row],[1]:[11]])-1)))</f>
        <v>0</v>
      </c>
      <c r="AC85" s="30" t="str" cm="1">
        <f t="array" ref="AC85">IF(Table21215[[#This Row],[5]]="","",Table21215[[#This Row],[Weight]:[Weight]]-(Table21215[[#This Row],[Weight]:[Weight]]*((_xlfn.XMATCH(Table21215[[#This Row],[5]],Table21215[[#This Row],[1]:[11]],0))-1)/(COUNTA(Table21215[[#This Row],[1]:[11]])-COUNTBLANK(Table21215[[#This Row],[1]:[11]])-1)))</f>
        <v/>
      </c>
      <c r="AD85" s="30" t="str" cm="1">
        <f t="array" ref="AD85">IF(Table21215[[#This Row],[6]]="","",Table21215[[#This Row],[Weight]:[Weight]]-(Table21215[[#This Row],[Weight]:[Weight]]*((_xlfn.XMATCH(Table21215[[#This Row],[6]],Table21215[[#This Row],[1]:[11]],0))-1)/(COUNTA(Table21215[[#This Row],[1]:[11]])-COUNTBLANK(Table21215[[#This Row],[1]:[11]])-1)))</f>
        <v/>
      </c>
      <c r="AE85" s="30" t="str" cm="1">
        <f t="array" ref="AE85">IF(Table21215[[#This Row],[7]]="","",Table21215[[#This Row],[Weight]:[Weight]]-(Table21215[[#This Row],[Weight]:[Weight]]*((_xlfn.XMATCH(Table21215[[#This Row],[7]],Table21215[[#This Row],[1]:[11]],0))-1)/(COUNTA(Table21215[[#This Row],[1]:[11]])-COUNTBLANK(Table21215[[#This Row],[1]:[11]])-1)))</f>
        <v/>
      </c>
      <c r="AF85" s="30" t="str" cm="1">
        <f t="array" ref="AF85">IF(Table21215[[#This Row],[8]]="","",Table21215[[#This Row],[Weight]:[Weight]]-(Table21215[[#This Row],[Weight]:[Weight]]*((_xlfn.XMATCH(Table21215[[#This Row],[8]],Table21215[[#This Row],[1]:[11]],0))-1)/(COUNTA(Table21215[[#This Row],[1]:[11]])-COUNTBLANK(Table21215[[#This Row],[1]:[11]])-1)))</f>
        <v/>
      </c>
      <c r="AG85" s="30" t="str" cm="1">
        <f t="array" ref="AG85">IF(Table21215[[#This Row],[9]]="","",Table21215[[#This Row],[Weight]:[Weight]]-(Table21215[[#This Row],[Weight]:[Weight]]*((_xlfn.XMATCH(Table21215[[#This Row],[9]],Table21215[[#This Row],[1]:[11]],0))-1)/(COUNTA(Table21215[[#This Row],[1]:[11]])-COUNTBLANK(Table21215[[#This Row],[1]:[11]])-1)))</f>
        <v/>
      </c>
      <c r="AH85" s="30" t="str" cm="1">
        <f t="array" ref="AH85">IF(Table21215[[#This Row],[10]]="","",Table21215[[#This Row],[Weight]:[Weight]]-(Table21215[[#This Row],[Weight]:[Weight]]*((_xlfn.XMATCH(Table21215[[#This Row],[10]],Table21215[[#This Row],[1]:[11]],0))-1)/(COUNTA(Table21215[[#This Row],[1]:[11]])-COUNTBLANK(Table21215[[#This Row],[1]:[11]])-1)))</f>
        <v/>
      </c>
      <c r="AI85" s="30" t="str" cm="1">
        <f t="array" ref="AI85">IF(Table21215[[#This Row],[11]]="","",Table21215[[#This Row],[Weight]:[Weight]]-(Table21215[[#This Row],[Weight]:[Weight]]*((_xlfn.XMATCH(Table21215[[#This Row],[11]],Table21215[[#This Row],[1]:[11]],0))-1)/(COUNTA(Table21215[[#This Row],[1]:[11]])-COUNTBLANK(Table21215[[#This Row],[1]:[11]])-1)))</f>
        <v/>
      </c>
    </row>
    <row r="86" spans="1:35" ht="108" x14ac:dyDescent="0.2">
      <c r="A86" s="20">
        <v>74</v>
      </c>
      <c r="B86" s="165" t="s">
        <v>903</v>
      </c>
      <c r="C86" s="21" t="s">
        <v>826</v>
      </c>
      <c r="D86" s="38"/>
      <c r="E86" s="38"/>
      <c r="F86" s="159" t="s">
        <v>188</v>
      </c>
      <c r="G86" s="160" cm="1">
        <f t="array" ref="G86">_xlfn.IFS(F86="","",F86="No interest",0,F86="Nice to have",1,F86="Useful",2,F86="Important",3,F86="Very important",4,F86="Critical",5,F86="Show stopper",6)</f>
        <v>5</v>
      </c>
      <c r="H86" s="161">
        <f t="shared" si="2"/>
        <v>3.9714058776806989E-3</v>
      </c>
      <c r="I86" s="157" t="s">
        <v>827</v>
      </c>
      <c r="J86" s="35" t="str" cm="1">
        <f t="array" ref="J86">_xlfn.TEXTJOIN(","&amp;CHAR(10),,TEXT(Table21215[[#This Row],[12]:[22]],"0,00%"))</f>
        <v>0,00%,
0,00%,
0,00%,
0,00%</v>
      </c>
      <c r="K86" s="36"/>
      <c r="L86" s="37" t="e">
        <f>H86-(H86*((MATCH(Table21215[[#This Row],[Evaluators Response (SELECT)]],Table21215[[#This Row],[1]:[11]],0)-1)/(COUNTA(Table21215[[#This Row],[1]:[11]])-COUNTBLANK(Table21215[[#This Row],[1]:[11]])-1)))</f>
        <v>#N/A</v>
      </c>
      <c r="M86" s="38"/>
      <c r="N86" s="29" t="s">
        <v>828</v>
      </c>
      <c r="O86" s="29" t="s">
        <v>829</v>
      </c>
      <c r="P86" s="29" t="s">
        <v>830</v>
      </c>
      <c r="Q86" s="29" t="str" cm="1">
        <f t="array" ref="Q86">IFERROR(INDEX(_xlfn.UNIQUE(TRIM(_xlfn.TEXTSPLIT(Table21215[[#This Row],[Selection Options]:[Selection Options]],","))),,Q$11),"")</f>
        <v xml:space="preserve">
 0%: Not currently supported</v>
      </c>
      <c r="R86" s="29" t="str" cm="1">
        <f t="array" ref="R86">IFERROR(INDEX(_xlfn.UNIQUE(TRIM(_xlfn.TEXTSPLIT(Table21215[[#This Row],[Selection Options]:[Selection Options]],","))),,R$11),"")</f>
        <v/>
      </c>
      <c r="S86" s="29" t="str" cm="1">
        <f t="array" ref="S86">IFERROR(INDEX(_xlfn.UNIQUE(TRIM(_xlfn.TEXTSPLIT(Table21215[[#This Row],[Selection Options]:[Selection Options]],","))),,S$11),"")</f>
        <v/>
      </c>
      <c r="T86" s="29" t="str" cm="1">
        <f t="array" ref="T86">IFERROR(INDEX(_xlfn.UNIQUE(TRIM(_xlfn.TEXTSPLIT(Table21215[[#This Row],[Selection Options]:[Selection Options]],","))),,T$11),"")</f>
        <v/>
      </c>
      <c r="U86" s="29" t="str" cm="1">
        <f t="array" ref="U86">IFERROR(INDEX(_xlfn.UNIQUE(TRIM(_xlfn.TEXTSPLIT(Table21215[[#This Row],[Selection Options]:[Selection Options]],","))),,U$11),"")</f>
        <v/>
      </c>
      <c r="V86" s="29" t="str" cm="1">
        <f t="array" ref="V86">IFERROR(INDEX(_xlfn.UNIQUE(TRIM(_xlfn.TEXTSPLIT(Table21215[[#This Row],[Selection Options]:[Selection Options]],","))),,V$11),"")</f>
        <v/>
      </c>
      <c r="W86" s="29" t="str" cm="1">
        <f t="array" ref="W86">IFERROR(INDEX(_xlfn.UNIQUE(TRIM(_xlfn.TEXTSPLIT(Table21215[[#This Row],[Selection Options]:[Selection Options]],","))),,W$11),"")</f>
        <v/>
      </c>
      <c r="X86" s="29" t="str" cm="1">
        <f t="array" ref="X86">IFERROR(INDEX(_xlfn.UNIQUE(TRIM(_xlfn.TEXTSPLIT(Table21215[[#This Row],[Selection Options]:[Selection Options]],","))),,X$11),"")</f>
        <v/>
      </c>
      <c r="Y86" s="30" cm="1">
        <f t="array" ref="Y86">IF(Table21215[[#This Row],[1]]="","",Table21215[[#This Row],[Weight]:[Weight]]-(Table21215[[#This Row],[Weight]:[Weight]]*((_xlfn.XMATCH(Table21215[[#This Row],[1]],Table21215[[#This Row],[1]:[11]],0))-1)/(COUNTA(Table21215[[#This Row],[1]:[11]])-COUNTBLANK(Table21215[[#This Row],[1]:[11]])-1)))</f>
        <v>3.9714058776806989E-3</v>
      </c>
      <c r="Z86" s="30" cm="1">
        <f t="array" ref="Z86">IF(Table21215[[#This Row],[2]]="","",Table21215[[#This Row],[Weight]:[Weight]]-(Table21215[[#This Row],[Weight]:[Weight]]*((_xlfn.XMATCH(Table21215[[#This Row],[2]],Table21215[[#This Row],[1]:[11]],0))-1)/(COUNTA(Table21215[[#This Row],[1]:[11]])-COUNTBLANK(Table21215[[#This Row],[1]:[11]])-1)))</f>
        <v>2.6476039184537992E-3</v>
      </c>
      <c r="AA86" s="30" cm="1">
        <f t="array" ref="AA86">IF(Table21215[[#This Row],[3]]="","",Table21215[[#This Row],[Weight]:[Weight]]-(Table21215[[#This Row],[Weight]:[Weight]]*((_xlfn.XMATCH(Table21215[[#This Row],[3]],Table21215[[#This Row],[1]:[11]],0))-1)/(COUNTA(Table21215[[#This Row],[1]:[11]])-COUNTBLANK(Table21215[[#This Row],[1]:[11]])-1)))</f>
        <v>1.3238019592268996E-3</v>
      </c>
      <c r="AB86" s="30" cm="1">
        <f t="array" ref="AB86">IF(Table21215[[#This Row],[4]]="","",Table21215[[#This Row],[Weight]:[Weight]]-(Table21215[[#This Row],[Weight]:[Weight]]*((_xlfn.XMATCH(Table21215[[#This Row],[4]],Table21215[[#This Row],[1]:[11]],0))-1)/(COUNTA(Table21215[[#This Row],[1]:[11]])-COUNTBLANK(Table21215[[#This Row],[1]:[11]])-1)))</f>
        <v>0</v>
      </c>
      <c r="AC86" s="30" t="str" cm="1">
        <f t="array" ref="AC86">IF(Table21215[[#This Row],[5]]="","",Table21215[[#This Row],[Weight]:[Weight]]-(Table21215[[#This Row],[Weight]:[Weight]]*((_xlfn.XMATCH(Table21215[[#This Row],[5]],Table21215[[#This Row],[1]:[11]],0))-1)/(COUNTA(Table21215[[#This Row],[1]:[11]])-COUNTBLANK(Table21215[[#This Row],[1]:[11]])-1)))</f>
        <v/>
      </c>
      <c r="AD86" s="30" t="str" cm="1">
        <f t="array" ref="AD86">IF(Table21215[[#This Row],[6]]="","",Table21215[[#This Row],[Weight]:[Weight]]-(Table21215[[#This Row],[Weight]:[Weight]]*((_xlfn.XMATCH(Table21215[[#This Row],[6]],Table21215[[#This Row],[1]:[11]],0))-1)/(COUNTA(Table21215[[#This Row],[1]:[11]])-COUNTBLANK(Table21215[[#This Row],[1]:[11]])-1)))</f>
        <v/>
      </c>
      <c r="AE86" s="30" t="str" cm="1">
        <f t="array" ref="AE86">IF(Table21215[[#This Row],[7]]="","",Table21215[[#This Row],[Weight]:[Weight]]-(Table21215[[#This Row],[Weight]:[Weight]]*((_xlfn.XMATCH(Table21215[[#This Row],[7]],Table21215[[#This Row],[1]:[11]],0))-1)/(COUNTA(Table21215[[#This Row],[1]:[11]])-COUNTBLANK(Table21215[[#This Row],[1]:[11]])-1)))</f>
        <v/>
      </c>
      <c r="AF86" s="30" t="str" cm="1">
        <f t="array" ref="AF86">IF(Table21215[[#This Row],[8]]="","",Table21215[[#This Row],[Weight]:[Weight]]-(Table21215[[#This Row],[Weight]:[Weight]]*((_xlfn.XMATCH(Table21215[[#This Row],[8]],Table21215[[#This Row],[1]:[11]],0))-1)/(COUNTA(Table21215[[#This Row],[1]:[11]])-COUNTBLANK(Table21215[[#This Row],[1]:[11]])-1)))</f>
        <v/>
      </c>
      <c r="AG86" s="30" t="str" cm="1">
        <f t="array" ref="AG86">IF(Table21215[[#This Row],[9]]="","",Table21215[[#This Row],[Weight]:[Weight]]-(Table21215[[#This Row],[Weight]:[Weight]]*((_xlfn.XMATCH(Table21215[[#This Row],[9]],Table21215[[#This Row],[1]:[11]],0))-1)/(COUNTA(Table21215[[#This Row],[1]:[11]])-COUNTBLANK(Table21215[[#This Row],[1]:[11]])-1)))</f>
        <v/>
      </c>
      <c r="AH86" s="30" t="str" cm="1">
        <f t="array" ref="AH86">IF(Table21215[[#This Row],[10]]="","",Table21215[[#This Row],[Weight]:[Weight]]-(Table21215[[#This Row],[Weight]:[Weight]]*((_xlfn.XMATCH(Table21215[[#This Row],[10]],Table21215[[#This Row],[1]:[11]],0))-1)/(COUNTA(Table21215[[#This Row],[1]:[11]])-COUNTBLANK(Table21215[[#This Row],[1]:[11]])-1)))</f>
        <v/>
      </c>
      <c r="AI86" s="30" t="str" cm="1">
        <f t="array" ref="AI86">IF(Table21215[[#This Row],[11]]="","",Table21215[[#This Row],[Weight]:[Weight]]-(Table21215[[#This Row],[Weight]:[Weight]]*((_xlfn.XMATCH(Table21215[[#This Row],[11]],Table21215[[#This Row],[1]:[11]],0))-1)/(COUNTA(Table21215[[#This Row],[1]:[11]])-COUNTBLANK(Table21215[[#This Row],[1]:[11]])-1)))</f>
        <v/>
      </c>
    </row>
    <row r="87" spans="1:35" ht="108" x14ac:dyDescent="0.2">
      <c r="A87" s="20">
        <v>75</v>
      </c>
      <c r="B87" s="165" t="s">
        <v>904</v>
      </c>
      <c r="C87" s="21" t="s">
        <v>826</v>
      </c>
      <c r="D87" s="38"/>
      <c r="E87" s="38"/>
      <c r="F87" s="159" t="s">
        <v>188</v>
      </c>
      <c r="G87" s="160" cm="1">
        <f t="array" ref="G87">_xlfn.IFS(F87="","",F87="No interest",0,F87="Nice to have",1,F87="Useful",2,F87="Important",3,F87="Very important",4,F87="Critical",5,F87="Show stopper",6)</f>
        <v>5</v>
      </c>
      <c r="H87" s="161">
        <f t="shared" si="2"/>
        <v>3.9714058776806989E-3</v>
      </c>
      <c r="I87" s="157" t="s">
        <v>827</v>
      </c>
      <c r="J87" s="35" t="str" cm="1">
        <f t="array" ref="J87">_xlfn.TEXTJOIN(","&amp;CHAR(10),,TEXT(Table21215[[#This Row],[12]:[22]],"0,00%"))</f>
        <v>0,00%,
0,00%,
0,00%,
0,00%</v>
      </c>
      <c r="K87" s="36"/>
      <c r="L87" s="37" t="e">
        <f>H87-(H87*((MATCH(Table21215[[#This Row],[Evaluators Response (SELECT)]],Table21215[[#This Row],[1]:[11]],0)-1)/(COUNTA(Table21215[[#This Row],[1]:[11]])-COUNTBLANK(Table21215[[#This Row],[1]:[11]])-1)))</f>
        <v>#N/A</v>
      </c>
      <c r="M87" s="38"/>
      <c r="N87" s="29" t="s">
        <v>828</v>
      </c>
      <c r="O87" s="29" t="s">
        <v>829</v>
      </c>
      <c r="P87" s="29" t="s">
        <v>830</v>
      </c>
      <c r="Q87" s="29" t="str" cm="1">
        <f t="array" ref="Q87">IFERROR(INDEX(_xlfn.UNIQUE(TRIM(_xlfn.TEXTSPLIT(Table21215[[#This Row],[Selection Options]:[Selection Options]],","))),,Q$11),"")</f>
        <v xml:space="preserve">
 0%: Not currently supported</v>
      </c>
      <c r="R87" s="29" t="str" cm="1">
        <f t="array" ref="R87">IFERROR(INDEX(_xlfn.UNIQUE(TRIM(_xlfn.TEXTSPLIT(Table21215[[#This Row],[Selection Options]:[Selection Options]],","))),,R$11),"")</f>
        <v/>
      </c>
      <c r="S87" s="29" t="str" cm="1">
        <f t="array" ref="S87">IFERROR(INDEX(_xlfn.UNIQUE(TRIM(_xlfn.TEXTSPLIT(Table21215[[#This Row],[Selection Options]:[Selection Options]],","))),,S$11),"")</f>
        <v/>
      </c>
      <c r="T87" s="29" t="str" cm="1">
        <f t="array" ref="T87">IFERROR(INDEX(_xlfn.UNIQUE(TRIM(_xlfn.TEXTSPLIT(Table21215[[#This Row],[Selection Options]:[Selection Options]],","))),,T$11),"")</f>
        <v/>
      </c>
      <c r="U87" s="29" t="str" cm="1">
        <f t="array" ref="U87">IFERROR(INDEX(_xlfn.UNIQUE(TRIM(_xlfn.TEXTSPLIT(Table21215[[#This Row],[Selection Options]:[Selection Options]],","))),,U$11),"")</f>
        <v/>
      </c>
      <c r="V87" s="29" t="str" cm="1">
        <f t="array" ref="V87">IFERROR(INDEX(_xlfn.UNIQUE(TRIM(_xlfn.TEXTSPLIT(Table21215[[#This Row],[Selection Options]:[Selection Options]],","))),,V$11),"")</f>
        <v/>
      </c>
      <c r="W87" s="29" t="str" cm="1">
        <f t="array" ref="W87">IFERROR(INDEX(_xlfn.UNIQUE(TRIM(_xlfn.TEXTSPLIT(Table21215[[#This Row],[Selection Options]:[Selection Options]],","))),,W$11),"")</f>
        <v/>
      </c>
      <c r="X87" s="29" t="str" cm="1">
        <f t="array" ref="X87">IFERROR(INDEX(_xlfn.UNIQUE(TRIM(_xlfn.TEXTSPLIT(Table21215[[#This Row],[Selection Options]:[Selection Options]],","))),,X$11),"")</f>
        <v/>
      </c>
      <c r="Y87" s="30" cm="1">
        <f t="array" ref="Y87">IF(Table21215[[#This Row],[1]]="","",Table21215[[#This Row],[Weight]:[Weight]]-(Table21215[[#This Row],[Weight]:[Weight]]*((_xlfn.XMATCH(Table21215[[#This Row],[1]],Table21215[[#This Row],[1]:[11]],0))-1)/(COUNTA(Table21215[[#This Row],[1]:[11]])-COUNTBLANK(Table21215[[#This Row],[1]:[11]])-1)))</f>
        <v>3.9714058776806989E-3</v>
      </c>
      <c r="Z87" s="30" cm="1">
        <f t="array" ref="Z87">IF(Table21215[[#This Row],[2]]="","",Table21215[[#This Row],[Weight]:[Weight]]-(Table21215[[#This Row],[Weight]:[Weight]]*((_xlfn.XMATCH(Table21215[[#This Row],[2]],Table21215[[#This Row],[1]:[11]],0))-1)/(COUNTA(Table21215[[#This Row],[1]:[11]])-COUNTBLANK(Table21215[[#This Row],[1]:[11]])-1)))</f>
        <v>2.6476039184537992E-3</v>
      </c>
      <c r="AA87" s="30" cm="1">
        <f t="array" ref="AA87">IF(Table21215[[#This Row],[3]]="","",Table21215[[#This Row],[Weight]:[Weight]]-(Table21215[[#This Row],[Weight]:[Weight]]*((_xlfn.XMATCH(Table21215[[#This Row],[3]],Table21215[[#This Row],[1]:[11]],0))-1)/(COUNTA(Table21215[[#This Row],[1]:[11]])-COUNTBLANK(Table21215[[#This Row],[1]:[11]])-1)))</f>
        <v>1.3238019592268996E-3</v>
      </c>
      <c r="AB87" s="30" cm="1">
        <f t="array" ref="AB87">IF(Table21215[[#This Row],[4]]="","",Table21215[[#This Row],[Weight]:[Weight]]-(Table21215[[#This Row],[Weight]:[Weight]]*((_xlfn.XMATCH(Table21215[[#This Row],[4]],Table21215[[#This Row],[1]:[11]],0))-1)/(COUNTA(Table21215[[#This Row],[1]:[11]])-COUNTBLANK(Table21215[[#This Row],[1]:[11]])-1)))</f>
        <v>0</v>
      </c>
      <c r="AC87" s="30" t="str" cm="1">
        <f t="array" ref="AC87">IF(Table21215[[#This Row],[5]]="","",Table21215[[#This Row],[Weight]:[Weight]]-(Table21215[[#This Row],[Weight]:[Weight]]*((_xlfn.XMATCH(Table21215[[#This Row],[5]],Table21215[[#This Row],[1]:[11]],0))-1)/(COUNTA(Table21215[[#This Row],[1]:[11]])-COUNTBLANK(Table21215[[#This Row],[1]:[11]])-1)))</f>
        <v/>
      </c>
      <c r="AD87" s="30" t="str" cm="1">
        <f t="array" ref="AD87">IF(Table21215[[#This Row],[6]]="","",Table21215[[#This Row],[Weight]:[Weight]]-(Table21215[[#This Row],[Weight]:[Weight]]*((_xlfn.XMATCH(Table21215[[#This Row],[6]],Table21215[[#This Row],[1]:[11]],0))-1)/(COUNTA(Table21215[[#This Row],[1]:[11]])-COUNTBLANK(Table21215[[#This Row],[1]:[11]])-1)))</f>
        <v/>
      </c>
      <c r="AE87" s="30" t="str" cm="1">
        <f t="array" ref="AE87">IF(Table21215[[#This Row],[7]]="","",Table21215[[#This Row],[Weight]:[Weight]]-(Table21215[[#This Row],[Weight]:[Weight]]*((_xlfn.XMATCH(Table21215[[#This Row],[7]],Table21215[[#This Row],[1]:[11]],0))-1)/(COUNTA(Table21215[[#This Row],[1]:[11]])-COUNTBLANK(Table21215[[#This Row],[1]:[11]])-1)))</f>
        <v/>
      </c>
      <c r="AF87" s="30" t="str" cm="1">
        <f t="array" ref="AF87">IF(Table21215[[#This Row],[8]]="","",Table21215[[#This Row],[Weight]:[Weight]]-(Table21215[[#This Row],[Weight]:[Weight]]*((_xlfn.XMATCH(Table21215[[#This Row],[8]],Table21215[[#This Row],[1]:[11]],0))-1)/(COUNTA(Table21215[[#This Row],[1]:[11]])-COUNTBLANK(Table21215[[#This Row],[1]:[11]])-1)))</f>
        <v/>
      </c>
      <c r="AG87" s="30" t="str" cm="1">
        <f t="array" ref="AG87">IF(Table21215[[#This Row],[9]]="","",Table21215[[#This Row],[Weight]:[Weight]]-(Table21215[[#This Row],[Weight]:[Weight]]*((_xlfn.XMATCH(Table21215[[#This Row],[9]],Table21215[[#This Row],[1]:[11]],0))-1)/(COUNTA(Table21215[[#This Row],[1]:[11]])-COUNTBLANK(Table21215[[#This Row],[1]:[11]])-1)))</f>
        <v/>
      </c>
      <c r="AH87" s="30" t="str" cm="1">
        <f t="array" ref="AH87">IF(Table21215[[#This Row],[10]]="","",Table21215[[#This Row],[Weight]:[Weight]]-(Table21215[[#This Row],[Weight]:[Weight]]*((_xlfn.XMATCH(Table21215[[#This Row],[10]],Table21215[[#This Row],[1]:[11]],0))-1)/(COUNTA(Table21215[[#This Row],[1]:[11]])-COUNTBLANK(Table21215[[#This Row],[1]:[11]])-1)))</f>
        <v/>
      </c>
      <c r="AI87" s="30" t="str" cm="1">
        <f t="array" ref="AI87">IF(Table21215[[#This Row],[11]]="","",Table21215[[#This Row],[Weight]:[Weight]]-(Table21215[[#This Row],[Weight]:[Weight]]*((_xlfn.XMATCH(Table21215[[#This Row],[11]],Table21215[[#This Row],[1]:[11]],0))-1)/(COUNTA(Table21215[[#This Row],[1]:[11]])-COUNTBLANK(Table21215[[#This Row],[1]:[11]])-1)))</f>
        <v/>
      </c>
    </row>
    <row r="88" spans="1:35" ht="108" x14ac:dyDescent="0.2">
      <c r="A88" s="20">
        <v>76</v>
      </c>
      <c r="B88" s="165" t="s">
        <v>905</v>
      </c>
      <c r="C88" s="21" t="s">
        <v>826</v>
      </c>
      <c r="D88" s="38"/>
      <c r="E88" s="38"/>
      <c r="F88" s="159" t="s">
        <v>60</v>
      </c>
      <c r="G88" s="160" cm="1">
        <f t="array" ref="G88">_xlfn.IFS(F88="","",F88="No interest",0,F88="Nice to have",1,F88="Useful",2,F88="Important",3,F88="Very important",4,F88="Critical",5,F88="Show stopper",6)</f>
        <v>6</v>
      </c>
      <c r="H88" s="161">
        <f t="shared" si="2"/>
        <v>4.7656870532168391E-3</v>
      </c>
      <c r="I88" s="157" t="s">
        <v>827</v>
      </c>
      <c r="J88" s="35" t="str" cm="1">
        <f t="array" ref="J88">_xlfn.TEXTJOIN(","&amp;CHAR(10),,TEXT(Table21215[[#This Row],[12]:[22]],"0,00%"))</f>
        <v>0,00%,
0,00%,
0,00%,
0,00%</v>
      </c>
      <c r="K88" s="36"/>
      <c r="L88" s="37" t="e">
        <f>H88-(H88*((MATCH(Table21215[[#This Row],[Evaluators Response (SELECT)]],Table21215[[#This Row],[1]:[11]],0)-1)/(COUNTA(Table21215[[#This Row],[1]:[11]])-COUNTBLANK(Table21215[[#This Row],[1]:[11]])-1)))</f>
        <v>#N/A</v>
      </c>
      <c r="M88" s="38"/>
      <c r="N88" s="29" t="s">
        <v>828</v>
      </c>
      <c r="O88" s="29" t="s">
        <v>829</v>
      </c>
      <c r="P88" s="29" t="s">
        <v>830</v>
      </c>
      <c r="Q88" s="29" t="str" cm="1">
        <f t="array" ref="Q88">IFERROR(INDEX(_xlfn.UNIQUE(TRIM(_xlfn.TEXTSPLIT(Table21215[[#This Row],[Selection Options]:[Selection Options]],","))),,Q$11),"")</f>
        <v xml:space="preserve">
 0%: Not currently supported</v>
      </c>
      <c r="R88" s="29" t="str" cm="1">
        <f t="array" ref="R88">IFERROR(INDEX(_xlfn.UNIQUE(TRIM(_xlfn.TEXTSPLIT(Table21215[[#This Row],[Selection Options]:[Selection Options]],","))),,R$11),"")</f>
        <v/>
      </c>
      <c r="S88" s="29" t="str" cm="1">
        <f t="array" ref="S88">IFERROR(INDEX(_xlfn.UNIQUE(TRIM(_xlfn.TEXTSPLIT(Table21215[[#This Row],[Selection Options]:[Selection Options]],","))),,S$11),"")</f>
        <v/>
      </c>
      <c r="T88" s="29" t="str" cm="1">
        <f t="array" ref="T88">IFERROR(INDEX(_xlfn.UNIQUE(TRIM(_xlfn.TEXTSPLIT(Table21215[[#This Row],[Selection Options]:[Selection Options]],","))),,T$11),"")</f>
        <v/>
      </c>
      <c r="U88" s="29" t="str" cm="1">
        <f t="array" ref="U88">IFERROR(INDEX(_xlfn.UNIQUE(TRIM(_xlfn.TEXTSPLIT(Table21215[[#This Row],[Selection Options]:[Selection Options]],","))),,U$11),"")</f>
        <v/>
      </c>
      <c r="V88" s="29" t="str" cm="1">
        <f t="array" ref="V88">IFERROR(INDEX(_xlfn.UNIQUE(TRIM(_xlfn.TEXTSPLIT(Table21215[[#This Row],[Selection Options]:[Selection Options]],","))),,V$11),"")</f>
        <v/>
      </c>
      <c r="W88" s="29" t="str" cm="1">
        <f t="array" ref="W88">IFERROR(INDEX(_xlfn.UNIQUE(TRIM(_xlfn.TEXTSPLIT(Table21215[[#This Row],[Selection Options]:[Selection Options]],","))),,W$11),"")</f>
        <v/>
      </c>
      <c r="X88" s="29" t="str" cm="1">
        <f t="array" ref="X88">IFERROR(INDEX(_xlfn.UNIQUE(TRIM(_xlfn.TEXTSPLIT(Table21215[[#This Row],[Selection Options]:[Selection Options]],","))),,X$11),"")</f>
        <v/>
      </c>
      <c r="Y88" s="30" cm="1">
        <f t="array" ref="Y88">IF(Table21215[[#This Row],[1]]="","",Table21215[[#This Row],[Weight]:[Weight]]-(Table21215[[#This Row],[Weight]:[Weight]]*((_xlfn.XMATCH(Table21215[[#This Row],[1]],Table21215[[#This Row],[1]:[11]],0))-1)/(COUNTA(Table21215[[#This Row],[1]:[11]])-COUNTBLANK(Table21215[[#This Row],[1]:[11]])-1)))</f>
        <v>4.7656870532168391E-3</v>
      </c>
      <c r="Z88" s="30" cm="1">
        <f t="array" ref="Z88">IF(Table21215[[#This Row],[2]]="","",Table21215[[#This Row],[Weight]:[Weight]]-(Table21215[[#This Row],[Weight]:[Weight]]*((_xlfn.XMATCH(Table21215[[#This Row],[2]],Table21215[[#This Row],[1]:[11]],0))-1)/(COUNTA(Table21215[[#This Row],[1]:[11]])-COUNTBLANK(Table21215[[#This Row],[1]:[11]])-1)))</f>
        <v>3.1771247021445594E-3</v>
      </c>
      <c r="AA88" s="30" cm="1">
        <f t="array" ref="AA88">IF(Table21215[[#This Row],[3]]="","",Table21215[[#This Row],[Weight]:[Weight]]-(Table21215[[#This Row],[Weight]:[Weight]]*((_xlfn.XMATCH(Table21215[[#This Row],[3]],Table21215[[#This Row],[1]:[11]],0))-1)/(COUNTA(Table21215[[#This Row],[1]:[11]])-COUNTBLANK(Table21215[[#This Row],[1]:[11]])-1)))</f>
        <v>1.5885623510722797E-3</v>
      </c>
      <c r="AB88" s="30" cm="1">
        <f t="array" ref="AB88">IF(Table21215[[#This Row],[4]]="","",Table21215[[#This Row],[Weight]:[Weight]]-(Table21215[[#This Row],[Weight]:[Weight]]*((_xlfn.XMATCH(Table21215[[#This Row],[4]],Table21215[[#This Row],[1]:[11]],0))-1)/(COUNTA(Table21215[[#This Row],[1]:[11]])-COUNTBLANK(Table21215[[#This Row],[1]:[11]])-1)))</f>
        <v>0</v>
      </c>
      <c r="AC88" s="30" t="str" cm="1">
        <f t="array" ref="AC88">IF(Table21215[[#This Row],[5]]="","",Table21215[[#This Row],[Weight]:[Weight]]-(Table21215[[#This Row],[Weight]:[Weight]]*((_xlfn.XMATCH(Table21215[[#This Row],[5]],Table21215[[#This Row],[1]:[11]],0))-1)/(COUNTA(Table21215[[#This Row],[1]:[11]])-COUNTBLANK(Table21215[[#This Row],[1]:[11]])-1)))</f>
        <v/>
      </c>
      <c r="AD88" s="30" t="str" cm="1">
        <f t="array" ref="AD88">IF(Table21215[[#This Row],[6]]="","",Table21215[[#This Row],[Weight]:[Weight]]-(Table21215[[#This Row],[Weight]:[Weight]]*((_xlfn.XMATCH(Table21215[[#This Row],[6]],Table21215[[#This Row],[1]:[11]],0))-1)/(COUNTA(Table21215[[#This Row],[1]:[11]])-COUNTBLANK(Table21215[[#This Row],[1]:[11]])-1)))</f>
        <v/>
      </c>
      <c r="AE88" s="30" t="str" cm="1">
        <f t="array" ref="AE88">IF(Table21215[[#This Row],[7]]="","",Table21215[[#This Row],[Weight]:[Weight]]-(Table21215[[#This Row],[Weight]:[Weight]]*((_xlfn.XMATCH(Table21215[[#This Row],[7]],Table21215[[#This Row],[1]:[11]],0))-1)/(COUNTA(Table21215[[#This Row],[1]:[11]])-COUNTBLANK(Table21215[[#This Row],[1]:[11]])-1)))</f>
        <v/>
      </c>
      <c r="AF88" s="30" t="str" cm="1">
        <f t="array" ref="AF88">IF(Table21215[[#This Row],[8]]="","",Table21215[[#This Row],[Weight]:[Weight]]-(Table21215[[#This Row],[Weight]:[Weight]]*((_xlfn.XMATCH(Table21215[[#This Row],[8]],Table21215[[#This Row],[1]:[11]],0))-1)/(COUNTA(Table21215[[#This Row],[1]:[11]])-COUNTBLANK(Table21215[[#This Row],[1]:[11]])-1)))</f>
        <v/>
      </c>
      <c r="AG88" s="30" t="str" cm="1">
        <f t="array" ref="AG88">IF(Table21215[[#This Row],[9]]="","",Table21215[[#This Row],[Weight]:[Weight]]-(Table21215[[#This Row],[Weight]:[Weight]]*((_xlfn.XMATCH(Table21215[[#This Row],[9]],Table21215[[#This Row],[1]:[11]],0))-1)/(COUNTA(Table21215[[#This Row],[1]:[11]])-COUNTBLANK(Table21215[[#This Row],[1]:[11]])-1)))</f>
        <v/>
      </c>
      <c r="AH88" s="30" t="str" cm="1">
        <f t="array" ref="AH88">IF(Table21215[[#This Row],[10]]="","",Table21215[[#This Row],[Weight]:[Weight]]-(Table21215[[#This Row],[Weight]:[Weight]]*((_xlfn.XMATCH(Table21215[[#This Row],[10]],Table21215[[#This Row],[1]:[11]],0))-1)/(COUNTA(Table21215[[#This Row],[1]:[11]])-COUNTBLANK(Table21215[[#This Row],[1]:[11]])-1)))</f>
        <v/>
      </c>
      <c r="AI88" s="30" t="str" cm="1">
        <f t="array" ref="AI88">IF(Table21215[[#This Row],[11]]="","",Table21215[[#This Row],[Weight]:[Weight]]-(Table21215[[#This Row],[Weight]:[Weight]]*((_xlfn.XMATCH(Table21215[[#This Row],[11]],Table21215[[#This Row],[1]:[11]],0))-1)/(COUNTA(Table21215[[#This Row],[1]:[11]])-COUNTBLANK(Table21215[[#This Row],[1]:[11]])-1)))</f>
        <v/>
      </c>
    </row>
    <row r="89" spans="1:35" ht="108" x14ac:dyDescent="0.2">
      <c r="A89" s="20">
        <v>77</v>
      </c>
      <c r="B89" s="165" t="s">
        <v>906</v>
      </c>
      <c r="C89" s="21" t="s">
        <v>826</v>
      </c>
      <c r="D89" s="38"/>
      <c r="E89" s="38"/>
      <c r="F89" s="159" t="s">
        <v>188</v>
      </c>
      <c r="G89" s="160" cm="1">
        <f t="array" ref="G89">_xlfn.IFS(F89="","",F89="No interest",0,F89="Nice to have",1,F89="Useful",2,F89="Important",3,F89="Very important",4,F89="Critical",5,F89="Show stopper",6)</f>
        <v>5</v>
      </c>
      <c r="H89" s="161">
        <f t="shared" si="2"/>
        <v>3.9714058776806989E-3</v>
      </c>
      <c r="I89" s="157" t="s">
        <v>827</v>
      </c>
      <c r="J89" s="35" t="str" cm="1">
        <f t="array" ref="J89">_xlfn.TEXTJOIN(","&amp;CHAR(10),,TEXT(Table21215[[#This Row],[12]:[22]],"0,00%"))</f>
        <v>0,00%,
0,00%,
0,00%,
0,00%</v>
      </c>
      <c r="K89" s="36"/>
      <c r="L89" s="37" t="e">
        <f>H89-(H89*((MATCH(Table21215[[#This Row],[Evaluators Response (SELECT)]],Table21215[[#This Row],[1]:[11]],0)-1)/(COUNTA(Table21215[[#This Row],[1]:[11]])-COUNTBLANK(Table21215[[#This Row],[1]:[11]])-1)))</f>
        <v>#N/A</v>
      </c>
      <c r="M89" s="38"/>
      <c r="N89" s="29" t="s">
        <v>828</v>
      </c>
      <c r="O89" s="29" t="s">
        <v>829</v>
      </c>
      <c r="P89" s="29" t="s">
        <v>830</v>
      </c>
      <c r="Q89" s="29" t="str" cm="1">
        <f t="array" ref="Q89">IFERROR(INDEX(_xlfn.UNIQUE(TRIM(_xlfn.TEXTSPLIT(Table21215[[#This Row],[Selection Options]:[Selection Options]],","))),,Q$11),"")</f>
        <v xml:space="preserve">
 0%: Not currently supported</v>
      </c>
      <c r="R89" s="29" t="str" cm="1">
        <f t="array" ref="R89">IFERROR(INDEX(_xlfn.UNIQUE(TRIM(_xlfn.TEXTSPLIT(Table21215[[#This Row],[Selection Options]:[Selection Options]],","))),,R$11),"")</f>
        <v/>
      </c>
      <c r="S89" s="29" t="str" cm="1">
        <f t="array" ref="S89">IFERROR(INDEX(_xlfn.UNIQUE(TRIM(_xlfn.TEXTSPLIT(Table21215[[#This Row],[Selection Options]:[Selection Options]],","))),,S$11),"")</f>
        <v/>
      </c>
      <c r="T89" s="29" t="str" cm="1">
        <f t="array" ref="T89">IFERROR(INDEX(_xlfn.UNIQUE(TRIM(_xlfn.TEXTSPLIT(Table21215[[#This Row],[Selection Options]:[Selection Options]],","))),,T$11),"")</f>
        <v/>
      </c>
      <c r="U89" s="29" t="str" cm="1">
        <f t="array" ref="U89">IFERROR(INDEX(_xlfn.UNIQUE(TRIM(_xlfn.TEXTSPLIT(Table21215[[#This Row],[Selection Options]:[Selection Options]],","))),,U$11),"")</f>
        <v/>
      </c>
      <c r="V89" s="29" t="str" cm="1">
        <f t="array" ref="V89">IFERROR(INDEX(_xlfn.UNIQUE(TRIM(_xlfn.TEXTSPLIT(Table21215[[#This Row],[Selection Options]:[Selection Options]],","))),,V$11),"")</f>
        <v/>
      </c>
      <c r="W89" s="29" t="str" cm="1">
        <f t="array" ref="W89">IFERROR(INDEX(_xlfn.UNIQUE(TRIM(_xlfn.TEXTSPLIT(Table21215[[#This Row],[Selection Options]:[Selection Options]],","))),,W$11),"")</f>
        <v/>
      </c>
      <c r="X89" s="29" t="str" cm="1">
        <f t="array" ref="X89">IFERROR(INDEX(_xlfn.UNIQUE(TRIM(_xlfn.TEXTSPLIT(Table21215[[#This Row],[Selection Options]:[Selection Options]],","))),,X$11),"")</f>
        <v/>
      </c>
      <c r="Y89" s="30" cm="1">
        <f t="array" ref="Y89">IF(Table21215[[#This Row],[1]]="","",Table21215[[#This Row],[Weight]:[Weight]]-(Table21215[[#This Row],[Weight]:[Weight]]*((_xlfn.XMATCH(Table21215[[#This Row],[1]],Table21215[[#This Row],[1]:[11]],0))-1)/(COUNTA(Table21215[[#This Row],[1]:[11]])-COUNTBLANK(Table21215[[#This Row],[1]:[11]])-1)))</f>
        <v>3.9714058776806989E-3</v>
      </c>
      <c r="Z89" s="30" cm="1">
        <f t="array" ref="Z89">IF(Table21215[[#This Row],[2]]="","",Table21215[[#This Row],[Weight]:[Weight]]-(Table21215[[#This Row],[Weight]:[Weight]]*((_xlfn.XMATCH(Table21215[[#This Row],[2]],Table21215[[#This Row],[1]:[11]],0))-1)/(COUNTA(Table21215[[#This Row],[1]:[11]])-COUNTBLANK(Table21215[[#This Row],[1]:[11]])-1)))</f>
        <v>2.6476039184537992E-3</v>
      </c>
      <c r="AA89" s="30" cm="1">
        <f t="array" ref="AA89">IF(Table21215[[#This Row],[3]]="","",Table21215[[#This Row],[Weight]:[Weight]]-(Table21215[[#This Row],[Weight]:[Weight]]*((_xlfn.XMATCH(Table21215[[#This Row],[3]],Table21215[[#This Row],[1]:[11]],0))-1)/(COUNTA(Table21215[[#This Row],[1]:[11]])-COUNTBLANK(Table21215[[#This Row],[1]:[11]])-1)))</f>
        <v>1.3238019592268996E-3</v>
      </c>
      <c r="AB89" s="30" cm="1">
        <f t="array" ref="AB89">IF(Table21215[[#This Row],[4]]="","",Table21215[[#This Row],[Weight]:[Weight]]-(Table21215[[#This Row],[Weight]:[Weight]]*((_xlfn.XMATCH(Table21215[[#This Row],[4]],Table21215[[#This Row],[1]:[11]],0))-1)/(COUNTA(Table21215[[#This Row],[1]:[11]])-COUNTBLANK(Table21215[[#This Row],[1]:[11]])-1)))</f>
        <v>0</v>
      </c>
      <c r="AC89" s="30" t="str" cm="1">
        <f t="array" ref="AC89">IF(Table21215[[#This Row],[5]]="","",Table21215[[#This Row],[Weight]:[Weight]]-(Table21215[[#This Row],[Weight]:[Weight]]*((_xlfn.XMATCH(Table21215[[#This Row],[5]],Table21215[[#This Row],[1]:[11]],0))-1)/(COUNTA(Table21215[[#This Row],[1]:[11]])-COUNTBLANK(Table21215[[#This Row],[1]:[11]])-1)))</f>
        <v/>
      </c>
      <c r="AD89" s="30" t="str" cm="1">
        <f t="array" ref="AD89">IF(Table21215[[#This Row],[6]]="","",Table21215[[#This Row],[Weight]:[Weight]]-(Table21215[[#This Row],[Weight]:[Weight]]*((_xlfn.XMATCH(Table21215[[#This Row],[6]],Table21215[[#This Row],[1]:[11]],0))-1)/(COUNTA(Table21215[[#This Row],[1]:[11]])-COUNTBLANK(Table21215[[#This Row],[1]:[11]])-1)))</f>
        <v/>
      </c>
      <c r="AE89" s="30" t="str" cm="1">
        <f t="array" ref="AE89">IF(Table21215[[#This Row],[7]]="","",Table21215[[#This Row],[Weight]:[Weight]]-(Table21215[[#This Row],[Weight]:[Weight]]*((_xlfn.XMATCH(Table21215[[#This Row],[7]],Table21215[[#This Row],[1]:[11]],0))-1)/(COUNTA(Table21215[[#This Row],[1]:[11]])-COUNTBLANK(Table21215[[#This Row],[1]:[11]])-1)))</f>
        <v/>
      </c>
      <c r="AF89" s="30" t="str" cm="1">
        <f t="array" ref="AF89">IF(Table21215[[#This Row],[8]]="","",Table21215[[#This Row],[Weight]:[Weight]]-(Table21215[[#This Row],[Weight]:[Weight]]*((_xlfn.XMATCH(Table21215[[#This Row],[8]],Table21215[[#This Row],[1]:[11]],0))-1)/(COUNTA(Table21215[[#This Row],[1]:[11]])-COUNTBLANK(Table21215[[#This Row],[1]:[11]])-1)))</f>
        <v/>
      </c>
      <c r="AG89" s="30" t="str" cm="1">
        <f t="array" ref="AG89">IF(Table21215[[#This Row],[9]]="","",Table21215[[#This Row],[Weight]:[Weight]]-(Table21215[[#This Row],[Weight]:[Weight]]*((_xlfn.XMATCH(Table21215[[#This Row],[9]],Table21215[[#This Row],[1]:[11]],0))-1)/(COUNTA(Table21215[[#This Row],[1]:[11]])-COUNTBLANK(Table21215[[#This Row],[1]:[11]])-1)))</f>
        <v/>
      </c>
      <c r="AH89" s="30" t="str" cm="1">
        <f t="array" ref="AH89">IF(Table21215[[#This Row],[10]]="","",Table21215[[#This Row],[Weight]:[Weight]]-(Table21215[[#This Row],[Weight]:[Weight]]*((_xlfn.XMATCH(Table21215[[#This Row],[10]],Table21215[[#This Row],[1]:[11]],0))-1)/(COUNTA(Table21215[[#This Row],[1]:[11]])-COUNTBLANK(Table21215[[#This Row],[1]:[11]])-1)))</f>
        <v/>
      </c>
      <c r="AI89" s="30" t="str" cm="1">
        <f t="array" ref="AI89">IF(Table21215[[#This Row],[11]]="","",Table21215[[#This Row],[Weight]:[Weight]]-(Table21215[[#This Row],[Weight]:[Weight]]*((_xlfn.XMATCH(Table21215[[#This Row],[11]],Table21215[[#This Row],[1]:[11]],0))-1)/(COUNTA(Table21215[[#This Row],[1]:[11]])-COUNTBLANK(Table21215[[#This Row],[1]:[11]])-1)))</f>
        <v/>
      </c>
    </row>
    <row r="90" spans="1:35" ht="108" x14ac:dyDescent="0.2">
      <c r="A90" s="20">
        <v>78</v>
      </c>
      <c r="B90" s="165" t="s">
        <v>907</v>
      </c>
      <c r="C90" s="21" t="s">
        <v>826</v>
      </c>
      <c r="D90" s="38"/>
      <c r="E90" s="38"/>
      <c r="F90" s="159" t="s">
        <v>188</v>
      </c>
      <c r="G90" s="160" cm="1">
        <f t="array" ref="G90">_xlfn.IFS(F90="","",F90="No interest",0,F90="Nice to have",1,F90="Useful",2,F90="Important",3,F90="Very important",4,F90="Critical",5,F90="Show stopper",6)</f>
        <v>5</v>
      </c>
      <c r="H90" s="161">
        <f t="shared" si="2"/>
        <v>3.9714058776806989E-3</v>
      </c>
      <c r="I90" s="157" t="s">
        <v>827</v>
      </c>
      <c r="J90" s="35" t="str" cm="1">
        <f t="array" ref="J90">_xlfn.TEXTJOIN(","&amp;CHAR(10),,TEXT(Table21215[[#This Row],[12]:[22]],"0,00%"))</f>
        <v>0,00%,
0,00%,
0,00%,
0,00%</v>
      </c>
      <c r="K90" s="36"/>
      <c r="L90" s="37" t="e">
        <f>H90-(H90*((MATCH(Table21215[[#This Row],[Evaluators Response (SELECT)]],Table21215[[#This Row],[1]:[11]],0)-1)/(COUNTA(Table21215[[#This Row],[1]:[11]])-COUNTBLANK(Table21215[[#This Row],[1]:[11]])-1)))</f>
        <v>#N/A</v>
      </c>
      <c r="M90" s="38"/>
      <c r="N90" s="29" t="s">
        <v>828</v>
      </c>
      <c r="O90" s="29" t="s">
        <v>829</v>
      </c>
      <c r="P90" s="29" t="s">
        <v>830</v>
      </c>
      <c r="Q90" s="29" t="str" cm="1">
        <f t="array" ref="Q90">IFERROR(INDEX(_xlfn.UNIQUE(TRIM(_xlfn.TEXTSPLIT(Table21215[[#This Row],[Selection Options]:[Selection Options]],","))),,Q$11),"")</f>
        <v xml:space="preserve">
 0%: Not currently supported</v>
      </c>
      <c r="R90" s="29" t="str" cm="1">
        <f t="array" ref="R90">IFERROR(INDEX(_xlfn.UNIQUE(TRIM(_xlfn.TEXTSPLIT(Table21215[[#This Row],[Selection Options]:[Selection Options]],","))),,R$11),"")</f>
        <v/>
      </c>
      <c r="S90" s="29" t="str" cm="1">
        <f t="array" ref="S90">IFERROR(INDEX(_xlfn.UNIQUE(TRIM(_xlfn.TEXTSPLIT(Table21215[[#This Row],[Selection Options]:[Selection Options]],","))),,S$11),"")</f>
        <v/>
      </c>
      <c r="T90" s="29" t="str" cm="1">
        <f t="array" ref="T90">IFERROR(INDEX(_xlfn.UNIQUE(TRIM(_xlfn.TEXTSPLIT(Table21215[[#This Row],[Selection Options]:[Selection Options]],","))),,T$11),"")</f>
        <v/>
      </c>
      <c r="U90" s="29" t="str" cm="1">
        <f t="array" ref="U90">IFERROR(INDEX(_xlfn.UNIQUE(TRIM(_xlfn.TEXTSPLIT(Table21215[[#This Row],[Selection Options]:[Selection Options]],","))),,U$11),"")</f>
        <v/>
      </c>
      <c r="V90" s="29" t="str" cm="1">
        <f t="array" ref="V90">IFERROR(INDEX(_xlfn.UNIQUE(TRIM(_xlfn.TEXTSPLIT(Table21215[[#This Row],[Selection Options]:[Selection Options]],","))),,V$11),"")</f>
        <v/>
      </c>
      <c r="W90" s="29" t="str" cm="1">
        <f t="array" ref="W90">IFERROR(INDEX(_xlfn.UNIQUE(TRIM(_xlfn.TEXTSPLIT(Table21215[[#This Row],[Selection Options]:[Selection Options]],","))),,W$11),"")</f>
        <v/>
      </c>
      <c r="X90" s="29" t="str" cm="1">
        <f t="array" ref="X90">IFERROR(INDEX(_xlfn.UNIQUE(TRIM(_xlfn.TEXTSPLIT(Table21215[[#This Row],[Selection Options]:[Selection Options]],","))),,X$11),"")</f>
        <v/>
      </c>
      <c r="Y90" s="30" cm="1">
        <f t="array" ref="Y90">IF(Table21215[[#This Row],[1]]="","",Table21215[[#This Row],[Weight]:[Weight]]-(Table21215[[#This Row],[Weight]:[Weight]]*((_xlfn.XMATCH(Table21215[[#This Row],[1]],Table21215[[#This Row],[1]:[11]],0))-1)/(COUNTA(Table21215[[#This Row],[1]:[11]])-COUNTBLANK(Table21215[[#This Row],[1]:[11]])-1)))</f>
        <v>3.9714058776806989E-3</v>
      </c>
      <c r="Z90" s="30" cm="1">
        <f t="array" ref="Z90">IF(Table21215[[#This Row],[2]]="","",Table21215[[#This Row],[Weight]:[Weight]]-(Table21215[[#This Row],[Weight]:[Weight]]*((_xlfn.XMATCH(Table21215[[#This Row],[2]],Table21215[[#This Row],[1]:[11]],0))-1)/(COUNTA(Table21215[[#This Row],[1]:[11]])-COUNTBLANK(Table21215[[#This Row],[1]:[11]])-1)))</f>
        <v>2.6476039184537992E-3</v>
      </c>
      <c r="AA90" s="30" cm="1">
        <f t="array" ref="AA90">IF(Table21215[[#This Row],[3]]="","",Table21215[[#This Row],[Weight]:[Weight]]-(Table21215[[#This Row],[Weight]:[Weight]]*((_xlfn.XMATCH(Table21215[[#This Row],[3]],Table21215[[#This Row],[1]:[11]],0))-1)/(COUNTA(Table21215[[#This Row],[1]:[11]])-COUNTBLANK(Table21215[[#This Row],[1]:[11]])-1)))</f>
        <v>1.3238019592268996E-3</v>
      </c>
      <c r="AB90" s="30" cm="1">
        <f t="array" ref="AB90">IF(Table21215[[#This Row],[4]]="","",Table21215[[#This Row],[Weight]:[Weight]]-(Table21215[[#This Row],[Weight]:[Weight]]*((_xlfn.XMATCH(Table21215[[#This Row],[4]],Table21215[[#This Row],[1]:[11]],0))-1)/(COUNTA(Table21215[[#This Row],[1]:[11]])-COUNTBLANK(Table21215[[#This Row],[1]:[11]])-1)))</f>
        <v>0</v>
      </c>
      <c r="AC90" s="30" t="str" cm="1">
        <f t="array" ref="AC90">IF(Table21215[[#This Row],[5]]="","",Table21215[[#This Row],[Weight]:[Weight]]-(Table21215[[#This Row],[Weight]:[Weight]]*((_xlfn.XMATCH(Table21215[[#This Row],[5]],Table21215[[#This Row],[1]:[11]],0))-1)/(COUNTA(Table21215[[#This Row],[1]:[11]])-COUNTBLANK(Table21215[[#This Row],[1]:[11]])-1)))</f>
        <v/>
      </c>
      <c r="AD90" s="30" t="str" cm="1">
        <f t="array" ref="AD90">IF(Table21215[[#This Row],[6]]="","",Table21215[[#This Row],[Weight]:[Weight]]-(Table21215[[#This Row],[Weight]:[Weight]]*((_xlfn.XMATCH(Table21215[[#This Row],[6]],Table21215[[#This Row],[1]:[11]],0))-1)/(COUNTA(Table21215[[#This Row],[1]:[11]])-COUNTBLANK(Table21215[[#This Row],[1]:[11]])-1)))</f>
        <v/>
      </c>
      <c r="AE90" s="30" t="str" cm="1">
        <f t="array" ref="AE90">IF(Table21215[[#This Row],[7]]="","",Table21215[[#This Row],[Weight]:[Weight]]-(Table21215[[#This Row],[Weight]:[Weight]]*((_xlfn.XMATCH(Table21215[[#This Row],[7]],Table21215[[#This Row],[1]:[11]],0))-1)/(COUNTA(Table21215[[#This Row],[1]:[11]])-COUNTBLANK(Table21215[[#This Row],[1]:[11]])-1)))</f>
        <v/>
      </c>
      <c r="AF90" s="30" t="str" cm="1">
        <f t="array" ref="AF90">IF(Table21215[[#This Row],[8]]="","",Table21215[[#This Row],[Weight]:[Weight]]-(Table21215[[#This Row],[Weight]:[Weight]]*((_xlfn.XMATCH(Table21215[[#This Row],[8]],Table21215[[#This Row],[1]:[11]],0))-1)/(COUNTA(Table21215[[#This Row],[1]:[11]])-COUNTBLANK(Table21215[[#This Row],[1]:[11]])-1)))</f>
        <v/>
      </c>
      <c r="AG90" s="30" t="str" cm="1">
        <f t="array" ref="AG90">IF(Table21215[[#This Row],[9]]="","",Table21215[[#This Row],[Weight]:[Weight]]-(Table21215[[#This Row],[Weight]:[Weight]]*((_xlfn.XMATCH(Table21215[[#This Row],[9]],Table21215[[#This Row],[1]:[11]],0))-1)/(COUNTA(Table21215[[#This Row],[1]:[11]])-COUNTBLANK(Table21215[[#This Row],[1]:[11]])-1)))</f>
        <v/>
      </c>
      <c r="AH90" s="30" t="str" cm="1">
        <f t="array" ref="AH90">IF(Table21215[[#This Row],[10]]="","",Table21215[[#This Row],[Weight]:[Weight]]-(Table21215[[#This Row],[Weight]:[Weight]]*((_xlfn.XMATCH(Table21215[[#This Row],[10]],Table21215[[#This Row],[1]:[11]],0))-1)/(COUNTA(Table21215[[#This Row],[1]:[11]])-COUNTBLANK(Table21215[[#This Row],[1]:[11]])-1)))</f>
        <v/>
      </c>
      <c r="AI90" s="30" t="str" cm="1">
        <f t="array" ref="AI90">IF(Table21215[[#This Row],[11]]="","",Table21215[[#This Row],[Weight]:[Weight]]-(Table21215[[#This Row],[Weight]:[Weight]]*((_xlfn.XMATCH(Table21215[[#This Row],[11]],Table21215[[#This Row],[1]:[11]],0))-1)/(COUNTA(Table21215[[#This Row],[1]:[11]])-COUNTBLANK(Table21215[[#This Row],[1]:[11]])-1)))</f>
        <v/>
      </c>
    </row>
    <row r="91" spans="1:35" ht="108" x14ac:dyDescent="0.2">
      <c r="A91" s="20">
        <v>79</v>
      </c>
      <c r="B91" s="165" t="s">
        <v>908</v>
      </c>
      <c r="C91" s="21" t="s">
        <v>826</v>
      </c>
      <c r="D91" s="38"/>
      <c r="E91" s="38"/>
      <c r="F91" s="159" t="s">
        <v>188</v>
      </c>
      <c r="G91" s="160" cm="1">
        <f t="array" ref="G91">_xlfn.IFS(F91="","",F91="No interest",0,F91="Nice to have",1,F91="Useful",2,F91="Important",3,F91="Very important",4,F91="Critical",5,F91="Show stopper",6)</f>
        <v>5</v>
      </c>
      <c r="H91" s="161">
        <f t="shared" ref="H91:H154" si="3">(G91/$G$11)*$F$11</f>
        <v>3.9714058776806989E-3</v>
      </c>
      <c r="I91" s="157" t="s">
        <v>827</v>
      </c>
      <c r="J91" s="35" t="str" cm="1">
        <f t="array" ref="J91">_xlfn.TEXTJOIN(","&amp;CHAR(10),,TEXT(Table21215[[#This Row],[12]:[22]],"0,00%"))</f>
        <v>0,00%,
0,00%,
0,00%,
0,00%</v>
      </c>
      <c r="K91" s="36"/>
      <c r="L91" s="37" t="e">
        <f>H91-(H91*((MATCH(Table21215[[#This Row],[Evaluators Response (SELECT)]],Table21215[[#This Row],[1]:[11]],0)-1)/(COUNTA(Table21215[[#This Row],[1]:[11]])-COUNTBLANK(Table21215[[#This Row],[1]:[11]])-1)))</f>
        <v>#N/A</v>
      </c>
      <c r="M91" s="38"/>
      <c r="N91" s="29" t="s">
        <v>828</v>
      </c>
      <c r="O91" s="29" t="s">
        <v>829</v>
      </c>
      <c r="P91" s="29" t="s">
        <v>830</v>
      </c>
      <c r="Q91" s="29" t="str" cm="1">
        <f t="array" ref="Q91">IFERROR(INDEX(_xlfn.UNIQUE(TRIM(_xlfn.TEXTSPLIT(Table21215[[#This Row],[Selection Options]:[Selection Options]],","))),,Q$11),"")</f>
        <v xml:space="preserve">
 0%: Not currently supported</v>
      </c>
      <c r="R91" s="29" t="str" cm="1">
        <f t="array" ref="R91">IFERROR(INDEX(_xlfn.UNIQUE(TRIM(_xlfn.TEXTSPLIT(Table21215[[#This Row],[Selection Options]:[Selection Options]],","))),,R$11),"")</f>
        <v/>
      </c>
      <c r="S91" s="29" t="str" cm="1">
        <f t="array" ref="S91">IFERROR(INDEX(_xlfn.UNIQUE(TRIM(_xlfn.TEXTSPLIT(Table21215[[#This Row],[Selection Options]:[Selection Options]],","))),,S$11),"")</f>
        <v/>
      </c>
      <c r="T91" s="29" t="str" cm="1">
        <f t="array" ref="T91">IFERROR(INDEX(_xlfn.UNIQUE(TRIM(_xlfn.TEXTSPLIT(Table21215[[#This Row],[Selection Options]:[Selection Options]],","))),,T$11),"")</f>
        <v/>
      </c>
      <c r="U91" s="29" t="str" cm="1">
        <f t="array" ref="U91">IFERROR(INDEX(_xlfn.UNIQUE(TRIM(_xlfn.TEXTSPLIT(Table21215[[#This Row],[Selection Options]:[Selection Options]],","))),,U$11),"")</f>
        <v/>
      </c>
      <c r="V91" s="29" t="str" cm="1">
        <f t="array" ref="V91">IFERROR(INDEX(_xlfn.UNIQUE(TRIM(_xlfn.TEXTSPLIT(Table21215[[#This Row],[Selection Options]:[Selection Options]],","))),,V$11),"")</f>
        <v/>
      </c>
      <c r="W91" s="29" t="str" cm="1">
        <f t="array" ref="W91">IFERROR(INDEX(_xlfn.UNIQUE(TRIM(_xlfn.TEXTSPLIT(Table21215[[#This Row],[Selection Options]:[Selection Options]],","))),,W$11),"")</f>
        <v/>
      </c>
      <c r="X91" s="29" t="str" cm="1">
        <f t="array" ref="X91">IFERROR(INDEX(_xlfn.UNIQUE(TRIM(_xlfn.TEXTSPLIT(Table21215[[#This Row],[Selection Options]:[Selection Options]],","))),,X$11),"")</f>
        <v/>
      </c>
      <c r="Y91" s="30" cm="1">
        <f t="array" ref="Y91">IF(Table21215[[#This Row],[1]]="","",Table21215[[#This Row],[Weight]:[Weight]]-(Table21215[[#This Row],[Weight]:[Weight]]*((_xlfn.XMATCH(Table21215[[#This Row],[1]],Table21215[[#This Row],[1]:[11]],0))-1)/(COUNTA(Table21215[[#This Row],[1]:[11]])-COUNTBLANK(Table21215[[#This Row],[1]:[11]])-1)))</f>
        <v>3.9714058776806989E-3</v>
      </c>
      <c r="Z91" s="30" cm="1">
        <f t="array" ref="Z91">IF(Table21215[[#This Row],[2]]="","",Table21215[[#This Row],[Weight]:[Weight]]-(Table21215[[#This Row],[Weight]:[Weight]]*((_xlfn.XMATCH(Table21215[[#This Row],[2]],Table21215[[#This Row],[1]:[11]],0))-1)/(COUNTA(Table21215[[#This Row],[1]:[11]])-COUNTBLANK(Table21215[[#This Row],[1]:[11]])-1)))</f>
        <v>2.6476039184537992E-3</v>
      </c>
      <c r="AA91" s="30" cm="1">
        <f t="array" ref="AA91">IF(Table21215[[#This Row],[3]]="","",Table21215[[#This Row],[Weight]:[Weight]]-(Table21215[[#This Row],[Weight]:[Weight]]*((_xlfn.XMATCH(Table21215[[#This Row],[3]],Table21215[[#This Row],[1]:[11]],0))-1)/(COUNTA(Table21215[[#This Row],[1]:[11]])-COUNTBLANK(Table21215[[#This Row],[1]:[11]])-1)))</f>
        <v>1.3238019592268996E-3</v>
      </c>
      <c r="AB91" s="30" cm="1">
        <f t="array" ref="AB91">IF(Table21215[[#This Row],[4]]="","",Table21215[[#This Row],[Weight]:[Weight]]-(Table21215[[#This Row],[Weight]:[Weight]]*((_xlfn.XMATCH(Table21215[[#This Row],[4]],Table21215[[#This Row],[1]:[11]],0))-1)/(COUNTA(Table21215[[#This Row],[1]:[11]])-COUNTBLANK(Table21215[[#This Row],[1]:[11]])-1)))</f>
        <v>0</v>
      </c>
      <c r="AC91" s="30" t="str" cm="1">
        <f t="array" ref="AC91">IF(Table21215[[#This Row],[5]]="","",Table21215[[#This Row],[Weight]:[Weight]]-(Table21215[[#This Row],[Weight]:[Weight]]*((_xlfn.XMATCH(Table21215[[#This Row],[5]],Table21215[[#This Row],[1]:[11]],0))-1)/(COUNTA(Table21215[[#This Row],[1]:[11]])-COUNTBLANK(Table21215[[#This Row],[1]:[11]])-1)))</f>
        <v/>
      </c>
      <c r="AD91" s="30" t="str" cm="1">
        <f t="array" ref="AD91">IF(Table21215[[#This Row],[6]]="","",Table21215[[#This Row],[Weight]:[Weight]]-(Table21215[[#This Row],[Weight]:[Weight]]*((_xlfn.XMATCH(Table21215[[#This Row],[6]],Table21215[[#This Row],[1]:[11]],0))-1)/(COUNTA(Table21215[[#This Row],[1]:[11]])-COUNTBLANK(Table21215[[#This Row],[1]:[11]])-1)))</f>
        <v/>
      </c>
      <c r="AE91" s="30" t="str" cm="1">
        <f t="array" ref="AE91">IF(Table21215[[#This Row],[7]]="","",Table21215[[#This Row],[Weight]:[Weight]]-(Table21215[[#This Row],[Weight]:[Weight]]*((_xlfn.XMATCH(Table21215[[#This Row],[7]],Table21215[[#This Row],[1]:[11]],0))-1)/(COUNTA(Table21215[[#This Row],[1]:[11]])-COUNTBLANK(Table21215[[#This Row],[1]:[11]])-1)))</f>
        <v/>
      </c>
      <c r="AF91" s="30" t="str" cm="1">
        <f t="array" ref="AF91">IF(Table21215[[#This Row],[8]]="","",Table21215[[#This Row],[Weight]:[Weight]]-(Table21215[[#This Row],[Weight]:[Weight]]*((_xlfn.XMATCH(Table21215[[#This Row],[8]],Table21215[[#This Row],[1]:[11]],0))-1)/(COUNTA(Table21215[[#This Row],[1]:[11]])-COUNTBLANK(Table21215[[#This Row],[1]:[11]])-1)))</f>
        <v/>
      </c>
      <c r="AG91" s="30" t="str" cm="1">
        <f t="array" ref="AG91">IF(Table21215[[#This Row],[9]]="","",Table21215[[#This Row],[Weight]:[Weight]]-(Table21215[[#This Row],[Weight]:[Weight]]*((_xlfn.XMATCH(Table21215[[#This Row],[9]],Table21215[[#This Row],[1]:[11]],0))-1)/(COUNTA(Table21215[[#This Row],[1]:[11]])-COUNTBLANK(Table21215[[#This Row],[1]:[11]])-1)))</f>
        <v/>
      </c>
      <c r="AH91" s="30" t="str" cm="1">
        <f t="array" ref="AH91">IF(Table21215[[#This Row],[10]]="","",Table21215[[#This Row],[Weight]:[Weight]]-(Table21215[[#This Row],[Weight]:[Weight]]*((_xlfn.XMATCH(Table21215[[#This Row],[10]],Table21215[[#This Row],[1]:[11]],0))-1)/(COUNTA(Table21215[[#This Row],[1]:[11]])-COUNTBLANK(Table21215[[#This Row],[1]:[11]])-1)))</f>
        <v/>
      </c>
      <c r="AI91" s="30" t="str" cm="1">
        <f t="array" ref="AI91">IF(Table21215[[#This Row],[11]]="","",Table21215[[#This Row],[Weight]:[Weight]]-(Table21215[[#This Row],[Weight]:[Weight]]*((_xlfn.XMATCH(Table21215[[#This Row],[11]],Table21215[[#This Row],[1]:[11]],0))-1)/(COUNTA(Table21215[[#This Row],[1]:[11]])-COUNTBLANK(Table21215[[#This Row],[1]:[11]])-1)))</f>
        <v/>
      </c>
    </row>
    <row r="92" spans="1:35" ht="108" x14ac:dyDescent="0.2">
      <c r="A92" s="20">
        <v>80</v>
      </c>
      <c r="B92" s="165" t="s">
        <v>909</v>
      </c>
      <c r="C92" s="21" t="s">
        <v>826</v>
      </c>
      <c r="D92" s="38"/>
      <c r="E92" s="38"/>
      <c r="F92" s="159" t="s">
        <v>188</v>
      </c>
      <c r="G92" s="160" cm="1">
        <f t="array" ref="G92">_xlfn.IFS(F92="","",F92="No interest",0,F92="Nice to have",1,F92="Useful",2,F92="Important",3,F92="Very important",4,F92="Critical",5,F92="Show stopper",6)</f>
        <v>5</v>
      </c>
      <c r="H92" s="161">
        <f t="shared" si="3"/>
        <v>3.9714058776806989E-3</v>
      </c>
      <c r="I92" s="157" t="s">
        <v>827</v>
      </c>
      <c r="J92" s="35" t="str" cm="1">
        <f t="array" ref="J92">_xlfn.TEXTJOIN(","&amp;CHAR(10),,TEXT(Table21215[[#This Row],[12]:[22]],"0,00%"))</f>
        <v>0,00%,
0,00%,
0,00%,
0,00%</v>
      </c>
      <c r="K92" s="36"/>
      <c r="L92" s="37" t="e">
        <f>H92-(H92*((MATCH(Table21215[[#This Row],[Evaluators Response (SELECT)]],Table21215[[#This Row],[1]:[11]],0)-1)/(COUNTA(Table21215[[#This Row],[1]:[11]])-COUNTBLANK(Table21215[[#This Row],[1]:[11]])-1)))</f>
        <v>#N/A</v>
      </c>
      <c r="M92" s="38"/>
      <c r="N92" s="29" t="s">
        <v>828</v>
      </c>
      <c r="O92" s="29" t="s">
        <v>829</v>
      </c>
      <c r="P92" s="29" t="s">
        <v>830</v>
      </c>
      <c r="Q92" s="29" t="str" cm="1">
        <f t="array" ref="Q92">IFERROR(INDEX(_xlfn.UNIQUE(TRIM(_xlfn.TEXTSPLIT(Table21215[[#This Row],[Selection Options]:[Selection Options]],","))),,Q$11),"")</f>
        <v xml:space="preserve">
 0%: Not currently supported</v>
      </c>
      <c r="R92" s="29" t="str" cm="1">
        <f t="array" ref="R92">IFERROR(INDEX(_xlfn.UNIQUE(TRIM(_xlfn.TEXTSPLIT(Table21215[[#This Row],[Selection Options]:[Selection Options]],","))),,R$11),"")</f>
        <v/>
      </c>
      <c r="S92" s="29" t="str" cm="1">
        <f t="array" ref="S92">IFERROR(INDEX(_xlfn.UNIQUE(TRIM(_xlfn.TEXTSPLIT(Table21215[[#This Row],[Selection Options]:[Selection Options]],","))),,S$11),"")</f>
        <v/>
      </c>
      <c r="T92" s="29" t="str" cm="1">
        <f t="array" ref="T92">IFERROR(INDEX(_xlfn.UNIQUE(TRIM(_xlfn.TEXTSPLIT(Table21215[[#This Row],[Selection Options]:[Selection Options]],","))),,T$11),"")</f>
        <v/>
      </c>
      <c r="U92" s="29" t="str" cm="1">
        <f t="array" ref="U92">IFERROR(INDEX(_xlfn.UNIQUE(TRIM(_xlfn.TEXTSPLIT(Table21215[[#This Row],[Selection Options]:[Selection Options]],","))),,U$11),"")</f>
        <v/>
      </c>
      <c r="V92" s="29" t="str" cm="1">
        <f t="array" ref="V92">IFERROR(INDEX(_xlfn.UNIQUE(TRIM(_xlfn.TEXTSPLIT(Table21215[[#This Row],[Selection Options]:[Selection Options]],","))),,V$11),"")</f>
        <v/>
      </c>
      <c r="W92" s="29" t="str" cm="1">
        <f t="array" ref="W92">IFERROR(INDEX(_xlfn.UNIQUE(TRIM(_xlfn.TEXTSPLIT(Table21215[[#This Row],[Selection Options]:[Selection Options]],","))),,W$11),"")</f>
        <v/>
      </c>
      <c r="X92" s="29" t="str" cm="1">
        <f t="array" ref="X92">IFERROR(INDEX(_xlfn.UNIQUE(TRIM(_xlfn.TEXTSPLIT(Table21215[[#This Row],[Selection Options]:[Selection Options]],","))),,X$11),"")</f>
        <v/>
      </c>
      <c r="Y92" s="30" cm="1">
        <f t="array" ref="Y92">IF(Table21215[[#This Row],[1]]="","",Table21215[[#This Row],[Weight]:[Weight]]-(Table21215[[#This Row],[Weight]:[Weight]]*((_xlfn.XMATCH(Table21215[[#This Row],[1]],Table21215[[#This Row],[1]:[11]],0))-1)/(COUNTA(Table21215[[#This Row],[1]:[11]])-COUNTBLANK(Table21215[[#This Row],[1]:[11]])-1)))</f>
        <v>3.9714058776806989E-3</v>
      </c>
      <c r="Z92" s="30" cm="1">
        <f t="array" ref="Z92">IF(Table21215[[#This Row],[2]]="","",Table21215[[#This Row],[Weight]:[Weight]]-(Table21215[[#This Row],[Weight]:[Weight]]*((_xlfn.XMATCH(Table21215[[#This Row],[2]],Table21215[[#This Row],[1]:[11]],0))-1)/(COUNTA(Table21215[[#This Row],[1]:[11]])-COUNTBLANK(Table21215[[#This Row],[1]:[11]])-1)))</f>
        <v>2.6476039184537992E-3</v>
      </c>
      <c r="AA92" s="30" cm="1">
        <f t="array" ref="AA92">IF(Table21215[[#This Row],[3]]="","",Table21215[[#This Row],[Weight]:[Weight]]-(Table21215[[#This Row],[Weight]:[Weight]]*((_xlfn.XMATCH(Table21215[[#This Row],[3]],Table21215[[#This Row],[1]:[11]],0))-1)/(COUNTA(Table21215[[#This Row],[1]:[11]])-COUNTBLANK(Table21215[[#This Row],[1]:[11]])-1)))</f>
        <v>1.3238019592268996E-3</v>
      </c>
      <c r="AB92" s="30" cm="1">
        <f t="array" ref="AB92">IF(Table21215[[#This Row],[4]]="","",Table21215[[#This Row],[Weight]:[Weight]]-(Table21215[[#This Row],[Weight]:[Weight]]*((_xlfn.XMATCH(Table21215[[#This Row],[4]],Table21215[[#This Row],[1]:[11]],0))-1)/(COUNTA(Table21215[[#This Row],[1]:[11]])-COUNTBLANK(Table21215[[#This Row],[1]:[11]])-1)))</f>
        <v>0</v>
      </c>
      <c r="AC92" s="30" t="str" cm="1">
        <f t="array" ref="AC92">IF(Table21215[[#This Row],[5]]="","",Table21215[[#This Row],[Weight]:[Weight]]-(Table21215[[#This Row],[Weight]:[Weight]]*((_xlfn.XMATCH(Table21215[[#This Row],[5]],Table21215[[#This Row],[1]:[11]],0))-1)/(COUNTA(Table21215[[#This Row],[1]:[11]])-COUNTBLANK(Table21215[[#This Row],[1]:[11]])-1)))</f>
        <v/>
      </c>
      <c r="AD92" s="30" t="str" cm="1">
        <f t="array" ref="AD92">IF(Table21215[[#This Row],[6]]="","",Table21215[[#This Row],[Weight]:[Weight]]-(Table21215[[#This Row],[Weight]:[Weight]]*((_xlfn.XMATCH(Table21215[[#This Row],[6]],Table21215[[#This Row],[1]:[11]],0))-1)/(COUNTA(Table21215[[#This Row],[1]:[11]])-COUNTBLANK(Table21215[[#This Row],[1]:[11]])-1)))</f>
        <v/>
      </c>
      <c r="AE92" s="30" t="str" cm="1">
        <f t="array" ref="AE92">IF(Table21215[[#This Row],[7]]="","",Table21215[[#This Row],[Weight]:[Weight]]-(Table21215[[#This Row],[Weight]:[Weight]]*((_xlfn.XMATCH(Table21215[[#This Row],[7]],Table21215[[#This Row],[1]:[11]],0))-1)/(COUNTA(Table21215[[#This Row],[1]:[11]])-COUNTBLANK(Table21215[[#This Row],[1]:[11]])-1)))</f>
        <v/>
      </c>
      <c r="AF92" s="30" t="str" cm="1">
        <f t="array" ref="AF92">IF(Table21215[[#This Row],[8]]="","",Table21215[[#This Row],[Weight]:[Weight]]-(Table21215[[#This Row],[Weight]:[Weight]]*((_xlfn.XMATCH(Table21215[[#This Row],[8]],Table21215[[#This Row],[1]:[11]],0))-1)/(COUNTA(Table21215[[#This Row],[1]:[11]])-COUNTBLANK(Table21215[[#This Row],[1]:[11]])-1)))</f>
        <v/>
      </c>
      <c r="AG92" s="30" t="str" cm="1">
        <f t="array" ref="AG92">IF(Table21215[[#This Row],[9]]="","",Table21215[[#This Row],[Weight]:[Weight]]-(Table21215[[#This Row],[Weight]:[Weight]]*((_xlfn.XMATCH(Table21215[[#This Row],[9]],Table21215[[#This Row],[1]:[11]],0))-1)/(COUNTA(Table21215[[#This Row],[1]:[11]])-COUNTBLANK(Table21215[[#This Row],[1]:[11]])-1)))</f>
        <v/>
      </c>
      <c r="AH92" s="30" t="str" cm="1">
        <f t="array" ref="AH92">IF(Table21215[[#This Row],[10]]="","",Table21215[[#This Row],[Weight]:[Weight]]-(Table21215[[#This Row],[Weight]:[Weight]]*((_xlfn.XMATCH(Table21215[[#This Row],[10]],Table21215[[#This Row],[1]:[11]],0))-1)/(COUNTA(Table21215[[#This Row],[1]:[11]])-COUNTBLANK(Table21215[[#This Row],[1]:[11]])-1)))</f>
        <v/>
      </c>
      <c r="AI92" s="30" t="str" cm="1">
        <f t="array" ref="AI92">IF(Table21215[[#This Row],[11]]="","",Table21215[[#This Row],[Weight]:[Weight]]-(Table21215[[#This Row],[Weight]:[Weight]]*((_xlfn.XMATCH(Table21215[[#This Row],[11]],Table21215[[#This Row],[1]:[11]],0))-1)/(COUNTA(Table21215[[#This Row],[1]:[11]])-COUNTBLANK(Table21215[[#This Row],[1]:[11]])-1)))</f>
        <v/>
      </c>
    </row>
    <row r="93" spans="1:35" ht="108" x14ac:dyDescent="0.2">
      <c r="A93" s="20">
        <v>81</v>
      </c>
      <c r="B93" s="165" t="s">
        <v>910</v>
      </c>
      <c r="C93" s="21" t="s">
        <v>826</v>
      </c>
      <c r="D93" s="38"/>
      <c r="E93" s="38"/>
      <c r="F93" s="159" t="s">
        <v>188</v>
      </c>
      <c r="G93" s="160" cm="1">
        <f t="array" ref="G93">_xlfn.IFS(F93="","",F93="No interest",0,F93="Nice to have",1,F93="Useful",2,F93="Important",3,F93="Very important",4,F93="Critical",5,F93="Show stopper",6)</f>
        <v>5</v>
      </c>
      <c r="H93" s="161">
        <f t="shared" si="3"/>
        <v>3.9714058776806989E-3</v>
      </c>
      <c r="I93" s="157" t="s">
        <v>827</v>
      </c>
      <c r="J93" s="35" t="str" cm="1">
        <f t="array" ref="J93">_xlfn.TEXTJOIN(","&amp;CHAR(10),,TEXT(Table21215[[#This Row],[12]:[22]],"0,00%"))</f>
        <v>0,00%,
0,00%,
0,00%,
0,00%</v>
      </c>
      <c r="K93" s="36"/>
      <c r="L93" s="37" t="e">
        <f>H93-(H93*((MATCH(Table21215[[#This Row],[Evaluators Response (SELECT)]],Table21215[[#This Row],[1]:[11]],0)-1)/(COUNTA(Table21215[[#This Row],[1]:[11]])-COUNTBLANK(Table21215[[#This Row],[1]:[11]])-1)))</f>
        <v>#N/A</v>
      </c>
      <c r="M93" s="38"/>
      <c r="N93" s="29" t="s">
        <v>828</v>
      </c>
      <c r="O93" s="29" t="s">
        <v>829</v>
      </c>
      <c r="P93" s="29" t="s">
        <v>830</v>
      </c>
      <c r="Q93" s="29" t="str" cm="1">
        <f t="array" ref="Q93">IFERROR(INDEX(_xlfn.UNIQUE(TRIM(_xlfn.TEXTSPLIT(Table21215[[#This Row],[Selection Options]:[Selection Options]],","))),,Q$11),"")</f>
        <v xml:space="preserve">
 0%: Not currently supported</v>
      </c>
      <c r="R93" s="29" t="str" cm="1">
        <f t="array" ref="R93">IFERROR(INDEX(_xlfn.UNIQUE(TRIM(_xlfn.TEXTSPLIT(Table21215[[#This Row],[Selection Options]:[Selection Options]],","))),,R$11),"")</f>
        <v/>
      </c>
      <c r="S93" s="29" t="str" cm="1">
        <f t="array" ref="S93">IFERROR(INDEX(_xlfn.UNIQUE(TRIM(_xlfn.TEXTSPLIT(Table21215[[#This Row],[Selection Options]:[Selection Options]],","))),,S$11),"")</f>
        <v/>
      </c>
      <c r="T93" s="29" t="str" cm="1">
        <f t="array" ref="T93">IFERROR(INDEX(_xlfn.UNIQUE(TRIM(_xlfn.TEXTSPLIT(Table21215[[#This Row],[Selection Options]:[Selection Options]],","))),,T$11),"")</f>
        <v/>
      </c>
      <c r="U93" s="29" t="str" cm="1">
        <f t="array" ref="U93">IFERROR(INDEX(_xlfn.UNIQUE(TRIM(_xlfn.TEXTSPLIT(Table21215[[#This Row],[Selection Options]:[Selection Options]],","))),,U$11),"")</f>
        <v/>
      </c>
      <c r="V93" s="29" t="str" cm="1">
        <f t="array" ref="V93">IFERROR(INDEX(_xlfn.UNIQUE(TRIM(_xlfn.TEXTSPLIT(Table21215[[#This Row],[Selection Options]:[Selection Options]],","))),,V$11),"")</f>
        <v/>
      </c>
      <c r="W93" s="29" t="str" cm="1">
        <f t="array" ref="W93">IFERROR(INDEX(_xlfn.UNIQUE(TRIM(_xlfn.TEXTSPLIT(Table21215[[#This Row],[Selection Options]:[Selection Options]],","))),,W$11),"")</f>
        <v/>
      </c>
      <c r="X93" s="29" t="str" cm="1">
        <f t="array" ref="X93">IFERROR(INDEX(_xlfn.UNIQUE(TRIM(_xlfn.TEXTSPLIT(Table21215[[#This Row],[Selection Options]:[Selection Options]],","))),,X$11),"")</f>
        <v/>
      </c>
      <c r="Y93" s="30" cm="1">
        <f t="array" ref="Y93">IF(Table21215[[#This Row],[1]]="","",Table21215[[#This Row],[Weight]:[Weight]]-(Table21215[[#This Row],[Weight]:[Weight]]*((_xlfn.XMATCH(Table21215[[#This Row],[1]],Table21215[[#This Row],[1]:[11]],0))-1)/(COUNTA(Table21215[[#This Row],[1]:[11]])-COUNTBLANK(Table21215[[#This Row],[1]:[11]])-1)))</f>
        <v>3.9714058776806989E-3</v>
      </c>
      <c r="Z93" s="30" cm="1">
        <f t="array" ref="Z93">IF(Table21215[[#This Row],[2]]="","",Table21215[[#This Row],[Weight]:[Weight]]-(Table21215[[#This Row],[Weight]:[Weight]]*((_xlfn.XMATCH(Table21215[[#This Row],[2]],Table21215[[#This Row],[1]:[11]],0))-1)/(COUNTA(Table21215[[#This Row],[1]:[11]])-COUNTBLANK(Table21215[[#This Row],[1]:[11]])-1)))</f>
        <v>2.6476039184537992E-3</v>
      </c>
      <c r="AA93" s="30" cm="1">
        <f t="array" ref="AA93">IF(Table21215[[#This Row],[3]]="","",Table21215[[#This Row],[Weight]:[Weight]]-(Table21215[[#This Row],[Weight]:[Weight]]*((_xlfn.XMATCH(Table21215[[#This Row],[3]],Table21215[[#This Row],[1]:[11]],0))-1)/(COUNTA(Table21215[[#This Row],[1]:[11]])-COUNTBLANK(Table21215[[#This Row],[1]:[11]])-1)))</f>
        <v>1.3238019592268996E-3</v>
      </c>
      <c r="AB93" s="30" cm="1">
        <f t="array" ref="AB93">IF(Table21215[[#This Row],[4]]="","",Table21215[[#This Row],[Weight]:[Weight]]-(Table21215[[#This Row],[Weight]:[Weight]]*((_xlfn.XMATCH(Table21215[[#This Row],[4]],Table21215[[#This Row],[1]:[11]],0))-1)/(COUNTA(Table21215[[#This Row],[1]:[11]])-COUNTBLANK(Table21215[[#This Row],[1]:[11]])-1)))</f>
        <v>0</v>
      </c>
      <c r="AC93" s="30" t="str" cm="1">
        <f t="array" ref="AC93">IF(Table21215[[#This Row],[5]]="","",Table21215[[#This Row],[Weight]:[Weight]]-(Table21215[[#This Row],[Weight]:[Weight]]*((_xlfn.XMATCH(Table21215[[#This Row],[5]],Table21215[[#This Row],[1]:[11]],0))-1)/(COUNTA(Table21215[[#This Row],[1]:[11]])-COUNTBLANK(Table21215[[#This Row],[1]:[11]])-1)))</f>
        <v/>
      </c>
      <c r="AD93" s="30" t="str" cm="1">
        <f t="array" ref="AD93">IF(Table21215[[#This Row],[6]]="","",Table21215[[#This Row],[Weight]:[Weight]]-(Table21215[[#This Row],[Weight]:[Weight]]*((_xlfn.XMATCH(Table21215[[#This Row],[6]],Table21215[[#This Row],[1]:[11]],0))-1)/(COUNTA(Table21215[[#This Row],[1]:[11]])-COUNTBLANK(Table21215[[#This Row],[1]:[11]])-1)))</f>
        <v/>
      </c>
      <c r="AE93" s="30" t="str" cm="1">
        <f t="array" ref="AE93">IF(Table21215[[#This Row],[7]]="","",Table21215[[#This Row],[Weight]:[Weight]]-(Table21215[[#This Row],[Weight]:[Weight]]*((_xlfn.XMATCH(Table21215[[#This Row],[7]],Table21215[[#This Row],[1]:[11]],0))-1)/(COUNTA(Table21215[[#This Row],[1]:[11]])-COUNTBLANK(Table21215[[#This Row],[1]:[11]])-1)))</f>
        <v/>
      </c>
      <c r="AF93" s="30" t="str" cm="1">
        <f t="array" ref="AF93">IF(Table21215[[#This Row],[8]]="","",Table21215[[#This Row],[Weight]:[Weight]]-(Table21215[[#This Row],[Weight]:[Weight]]*((_xlfn.XMATCH(Table21215[[#This Row],[8]],Table21215[[#This Row],[1]:[11]],0))-1)/(COUNTA(Table21215[[#This Row],[1]:[11]])-COUNTBLANK(Table21215[[#This Row],[1]:[11]])-1)))</f>
        <v/>
      </c>
      <c r="AG93" s="30" t="str" cm="1">
        <f t="array" ref="AG93">IF(Table21215[[#This Row],[9]]="","",Table21215[[#This Row],[Weight]:[Weight]]-(Table21215[[#This Row],[Weight]:[Weight]]*((_xlfn.XMATCH(Table21215[[#This Row],[9]],Table21215[[#This Row],[1]:[11]],0))-1)/(COUNTA(Table21215[[#This Row],[1]:[11]])-COUNTBLANK(Table21215[[#This Row],[1]:[11]])-1)))</f>
        <v/>
      </c>
      <c r="AH93" s="30" t="str" cm="1">
        <f t="array" ref="AH93">IF(Table21215[[#This Row],[10]]="","",Table21215[[#This Row],[Weight]:[Weight]]-(Table21215[[#This Row],[Weight]:[Weight]]*((_xlfn.XMATCH(Table21215[[#This Row],[10]],Table21215[[#This Row],[1]:[11]],0))-1)/(COUNTA(Table21215[[#This Row],[1]:[11]])-COUNTBLANK(Table21215[[#This Row],[1]:[11]])-1)))</f>
        <v/>
      </c>
      <c r="AI93" s="30" t="str" cm="1">
        <f t="array" ref="AI93">IF(Table21215[[#This Row],[11]]="","",Table21215[[#This Row],[Weight]:[Weight]]-(Table21215[[#This Row],[Weight]:[Weight]]*((_xlfn.XMATCH(Table21215[[#This Row],[11]],Table21215[[#This Row],[1]:[11]],0))-1)/(COUNTA(Table21215[[#This Row],[1]:[11]])-COUNTBLANK(Table21215[[#This Row],[1]:[11]])-1)))</f>
        <v/>
      </c>
    </row>
    <row r="94" spans="1:35" ht="108" x14ac:dyDescent="0.2">
      <c r="A94" s="20">
        <v>82</v>
      </c>
      <c r="B94" s="165" t="s">
        <v>911</v>
      </c>
      <c r="C94" s="21" t="s">
        <v>826</v>
      </c>
      <c r="D94" s="38"/>
      <c r="E94" s="38"/>
      <c r="F94" s="159" t="s">
        <v>188</v>
      </c>
      <c r="G94" s="160" cm="1">
        <f t="array" ref="G94">_xlfn.IFS(F94="","",F94="No interest",0,F94="Nice to have",1,F94="Useful",2,F94="Important",3,F94="Very important",4,F94="Critical",5,F94="Show stopper",6)</f>
        <v>5</v>
      </c>
      <c r="H94" s="161">
        <f t="shared" si="3"/>
        <v>3.9714058776806989E-3</v>
      </c>
      <c r="I94" s="157" t="s">
        <v>827</v>
      </c>
      <c r="J94" s="35" t="str" cm="1">
        <f t="array" ref="J94">_xlfn.TEXTJOIN(","&amp;CHAR(10),,TEXT(Table21215[[#This Row],[12]:[22]],"0,00%"))</f>
        <v>0,00%,
0,00%,
0,00%,
0,00%</v>
      </c>
      <c r="K94" s="36"/>
      <c r="L94" s="37" t="e">
        <f>H94-(H94*((MATCH(Table21215[[#This Row],[Evaluators Response (SELECT)]],Table21215[[#This Row],[1]:[11]],0)-1)/(COUNTA(Table21215[[#This Row],[1]:[11]])-COUNTBLANK(Table21215[[#This Row],[1]:[11]])-1)))</f>
        <v>#N/A</v>
      </c>
      <c r="M94" s="38"/>
      <c r="N94" s="29" t="s">
        <v>828</v>
      </c>
      <c r="O94" s="29" t="s">
        <v>829</v>
      </c>
      <c r="P94" s="29" t="s">
        <v>830</v>
      </c>
      <c r="Q94" s="29" t="str" cm="1">
        <f t="array" ref="Q94">IFERROR(INDEX(_xlfn.UNIQUE(TRIM(_xlfn.TEXTSPLIT(Table21215[[#This Row],[Selection Options]:[Selection Options]],","))),,Q$11),"")</f>
        <v xml:space="preserve">
 0%: Not currently supported</v>
      </c>
      <c r="R94" s="29" t="str" cm="1">
        <f t="array" ref="R94">IFERROR(INDEX(_xlfn.UNIQUE(TRIM(_xlfn.TEXTSPLIT(Table21215[[#This Row],[Selection Options]:[Selection Options]],","))),,R$11),"")</f>
        <v/>
      </c>
      <c r="S94" s="29" t="str" cm="1">
        <f t="array" ref="S94">IFERROR(INDEX(_xlfn.UNIQUE(TRIM(_xlfn.TEXTSPLIT(Table21215[[#This Row],[Selection Options]:[Selection Options]],","))),,S$11),"")</f>
        <v/>
      </c>
      <c r="T94" s="29" t="str" cm="1">
        <f t="array" ref="T94">IFERROR(INDEX(_xlfn.UNIQUE(TRIM(_xlfn.TEXTSPLIT(Table21215[[#This Row],[Selection Options]:[Selection Options]],","))),,T$11),"")</f>
        <v/>
      </c>
      <c r="U94" s="29" t="str" cm="1">
        <f t="array" ref="U94">IFERROR(INDEX(_xlfn.UNIQUE(TRIM(_xlfn.TEXTSPLIT(Table21215[[#This Row],[Selection Options]:[Selection Options]],","))),,U$11),"")</f>
        <v/>
      </c>
      <c r="V94" s="29" t="str" cm="1">
        <f t="array" ref="V94">IFERROR(INDEX(_xlfn.UNIQUE(TRIM(_xlfn.TEXTSPLIT(Table21215[[#This Row],[Selection Options]:[Selection Options]],","))),,V$11),"")</f>
        <v/>
      </c>
      <c r="W94" s="29" t="str" cm="1">
        <f t="array" ref="W94">IFERROR(INDEX(_xlfn.UNIQUE(TRIM(_xlfn.TEXTSPLIT(Table21215[[#This Row],[Selection Options]:[Selection Options]],","))),,W$11),"")</f>
        <v/>
      </c>
      <c r="X94" s="29" t="str" cm="1">
        <f t="array" ref="X94">IFERROR(INDEX(_xlfn.UNIQUE(TRIM(_xlfn.TEXTSPLIT(Table21215[[#This Row],[Selection Options]:[Selection Options]],","))),,X$11),"")</f>
        <v/>
      </c>
      <c r="Y94" s="30" cm="1">
        <f t="array" ref="Y94">IF(Table21215[[#This Row],[1]]="","",Table21215[[#This Row],[Weight]:[Weight]]-(Table21215[[#This Row],[Weight]:[Weight]]*((_xlfn.XMATCH(Table21215[[#This Row],[1]],Table21215[[#This Row],[1]:[11]],0))-1)/(COUNTA(Table21215[[#This Row],[1]:[11]])-COUNTBLANK(Table21215[[#This Row],[1]:[11]])-1)))</f>
        <v>3.9714058776806989E-3</v>
      </c>
      <c r="Z94" s="30" cm="1">
        <f t="array" ref="Z94">IF(Table21215[[#This Row],[2]]="","",Table21215[[#This Row],[Weight]:[Weight]]-(Table21215[[#This Row],[Weight]:[Weight]]*((_xlfn.XMATCH(Table21215[[#This Row],[2]],Table21215[[#This Row],[1]:[11]],0))-1)/(COUNTA(Table21215[[#This Row],[1]:[11]])-COUNTBLANK(Table21215[[#This Row],[1]:[11]])-1)))</f>
        <v>2.6476039184537992E-3</v>
      </c>
      <c r="AA94" s="30" cm="1">
        <f t="array" ref="AA94">IF(Table21215[[#This Row],[3]]="","",Table21215[[#This Row],[Weight]:[Weight]]-(Table21215[[#This Row],[Weight]:[Weight]]*((_xlfn.XMATCH(Table21215[[#This Row],[3]],Table21215[[#This Row],[1]:[11]],0))-1)/(COUNTA(Table21215[[#This Row],[1]:[11]])-COUNTBLANK(Table21215[[#This Row],[1]:[11]])-1)))</f>
        <v>1.3238019592268996E-3</v>
      </c>
      <c r="AB94" s="30" cm="1">
        <f t="array" ref="AB94">IF(Table21215[[#This Row],[4]]="","",Table21215[[#This Row],[Weight]:[Weight]]-(Table21215[[#This Row],[Weight]:[Weight]]*((_xlfn.XMATCH(Table21215[[#This Row],[4]],Table21215[[#This Row],[1]:[11]],0))-1)/(COUNTA(Table21215[[#This Row],[1]:[11]])-COUNTBLANK(Table21215[[#This Row],[1]:[11]])-1)))</f>
        <v>0</v>
      </c>
      <c r="AC94" s="30" t="str" cm="1">
        <f t="array" ref="AC94">IF(Table21215[[#This Row],[5]]="","",Table21215[[#This Row],[Weight]:[Weight]]-(Table21215[[#This Row],[Weight]:[Weight]]*((_xlfn.XMATCH(Table21215[[#This Row],[5]],Table21215[[#This Row],[1]:[11]],0))-1)/(COUNTA(Table21215[[#This Row],[1]:[11]])-COUNTBLANK(Table21215[[#This Row],[1]:[11]])-1)))</f>
        <v/>
      </c>
      <c r="AD94" s="30" t="str" cm="1">
        <f t="array" ref="AD94">IF(Table21215[[#This Row],[6]]="","",Table21215[[#This Row],[Weight]:[Weight]]-(Table21215[[#This Row],[Weight]:[Weight]]*((_xlfn.XMATCH(Table21215[[#This Row],[6]],Table21215[[#This Row],[1]:[11]],0))-1)/(COUNTA(Table21215[[#This Row],[1]:[11]])-COUNTBLANK(Table21215[[#This Row],[1]:[11]])-1)))</f>
        <v/>
      </c>
      <c r="AE94" s="30" t="str" cm="1">
        <f t="array" ref="AE94">IF(Table21215[[#This Row],[7]]="","",Table21215[[#This Row],[Weight]:[Weight]]-(Table21215[[#This Row],[Weight]:[Weight]]*((_xlfn.XMATCH(Table21215[[#This Row],[7]],Table21215[[#This Row],[1]:[11]],0))-1)/(COUNTA(Table21215[[#This Row],[1]:[11]])-COUNTBLANK(Table21215[[#This Row],[1]:[11]])-1)))</f>
        <v/>
      </c>
      <c r="AF94" s="30" t="str" cm="1">
        <f t="array" ref="AF94">IF(Table21215[[#This Row],[8]]="","",Table21215[[#This Row],[Weight]:[Weight]]-(Table21215[[#This Row],[Weight]:[Weight]]*((_xlfn.XMATCH(Table21215[[#This Row],[8]],Table21215[[#This Row],[1]:[11]],0))-1)/(COUNTA(Table21215[[#This Row],[1]:[11]])-COUNTBLANK(Table21215[[#This Row],[1]:[11]])-1)))</f>
        <v/>
      </c>
      <c r="AG94" s="30" t="str" cm="1">
        <f t="array" ref="AG94">IF(Table21215[[#This Row],[9]]="","",Table21215[[#This Row],[Weight]:[Weight]]-(Table21215[[#This Row],[Weight]:[Weight]]*((_xlfn.XMATCH(Table21215[[#This Row],[9]],Table21215[[#This Row],[1]:[11]],0))-1)/(COUNTA(Table21215[[#This Row],[1]:[11]])-COUNTBLANK(Table21215[[#This Row],[1]:[11]])-1)))</f>
        <v/>
      </c>
      <c r="AH94" s="30" t="str" cm="1">
        <f t="array" ref="AH94">IF(Table21215[[#This Row],[10]]="","",Table21215[[#This Row],[Weight]:[Weight]]-(Table21215[[#This Row],[Weight]:[Weight]]*((_xlfn.XMATCH(Table21215[[#This Row],[10]],Table21215[[#This Row],[1]:[11]],0))-1)/(COUNTA(Table21215[[#This Row],[1]:[11]])-COUNTBLANK(Table21215[[#This Row],[1]:[11]])-1)))</f>
        <v/>
      </c>
      <c r="AI94" s="30" t="str" cm="1">
        <f t="array" ref="AI94">IF(Table21215[[#This Row],[11]]="","",Table21215[[#This Row],[Weight]:[Weight]]-(Table21215[[#This Row],[Weight]:[Weight]]*((_xlfn.XMATCH(Table21215[[#This Row],[11]],Table21215[[#This Row],[1]:[11]],0))-1)/(COUNTA(Table21215[[#This Row],[1]:[11]])-COUNTBLANK(Table21215[[#This Row],[1]:[11]])-1)))</f>
        <v/>
      </c>
    </row>
    <row r="95" spans="1:35" ht="108" x14ac:dyDescent="0.2">
      <c r="A95" s="20">
        <v>83</v>
      </c>
      <c r="B95" s="165" t="s">
        <v>912</v>
      </c>
      <c r="C95" s="21" t="s">
        <v>826</v>
      </c>
      <c r="D95" s="38"/>
      <c r="E95" s="38"/>
      <c r="F95" s="159" t="s">
        <v>188</v>
      </c>
      <c r="G95" s="160" cm="1">
        <f t="array" ref="G95">_xlfn.IFS(F95="","",F95="No interest",0,F95="Nice to have",1,F95="Useful",2,F95="Important",3,F95="Very important",4,F95="Critical",5,F95="Show stopper",6)</f>
        <v>5</v>
      </c>
      <c r="H95" s="161">
        <f t="shared" si="3"/>
        <v>3.9714058776806989E-3</v>
      </c>
      <c r="I95" s="157" t="s">
        <v>827</v>
      </c>
      <c r="J95" s="35" t="str" cm="1">
        <f t="array" ref="J95">_xlfn.TEXTJOIN(","&amp;CHAR(10),,TEXT(Table21215[[#This Row],[12]:[22]],"0,00%"))</f>
        <v>0,00%,
0,00%,
0,00%,
0,00%</v>
      </c>
      <c r="K95" s="36"/>
      <c r="L95" s="37" t="e">
        <f>H95-(H95*((MATCH(Table21215[[#This Row],[Evaluators Response (SELECT)]],Table21215[[#This Row],[1]:[11]],0)-1)/(COUNTA(Table21215[[#This Row],[1]:[11]])-COUNTBLANK(Table21215[[#This Row],[1]:[11]])-1)))</f>
        <v>#N/A</v>
      </c>
      <c r="M95" s="38"/>
      <c r="N95" s="29" t="s">
        <v>828</v>
      </c>
      <c r="O95" s="29" t="s">
        <v>829</v>
      </c>
      <c r="P95" s="29" t="s">
        <v>830</v>
      </c>
      <c r="Q95" s="29" t="str" cm="1">
        <f t="array" ref="Q95">IFERROR(INDEX(_xlfn.UNIQUE(TRIM(_xlfn.TEXTSPLIT(Table21215[[#This Row],[Selection Options]:[Selection Options]],","))),,Q$11),"")</f>
        <v xml:space="preserve">
 0%: Not currently supported</v>
      </c>
      <c r="R95" s="29" t="str" cm="1">
        <f t="array" ref="R95">IFERROR(INDEX(_xlfn.UNIQUE(TRIM(_xlfn.TEXTSPLIT(Table21215[[#This Row],[Selection Options]:[Selection Options]],","))),,R$11),"")</f>
        <v/>
      </c>
      <c r="S95" s="29" t="str" cm="1">
        <f t="array" ref="S95">IFERROR(INDEX(_xlfn.UNIQUE(TRIM(_xlfn.TEXTSPLIT(Table21215[[#This Row],[Selection Options]:[Selection Options]],","))),,S$11),"")</f>
        <v/>
      </c>
      <c r="T95" s="29" t="str" cm="1">
        <f t="array" ref="T95">IFERROR(INDEX(_xlfn.UNIQUE(TRIM(_xlfn.TEXTSPLIT(Table21215[[#This Row],[Selection Options]:[Selection Options]],","))),,T$11),"")</f>
        <v/>
      </c>
      <c r="U95" s="29" t="str" cm="1">
        <f t="array" ref="U95">IFERROR(INDEX(_xlfn.UNIQUE(TRIM(_xlfn.TEXTSPLIT(Table21215[[#This Row],[Selection Options]:[Selection Options]],","))),,U$11),"")</f>
        <v/>
      </c>
      <c r="V95" s="29" t="str" cm="1">
        <f t="array" ref="V95">IFERROR(INDEX(_xlfn.UNIQUE(TRIM(_xlfn.TEXTSPLIT(Table21215[[#This Row],[Selection Options]:[Selection Options]],","))),,V$11),"")</f>
        <v/>
      </c>
      <c r="W95" s="29" t="str" cm="1">
        <f t="array" ref="W95">IFERROR(INDEX(_xlfn.UNIQUE(TRIM(_xlfn.TEXTSPLIT(Table21215[[#This Row],[Selection Options]:[Selection Options]],","))),,W$11),"")</f>
        <v/>
      </c>
      <c r="X95" s="29" t="str" cm="1">
        <f t="array" ref="X95">IFERROR(INDEX(_xlfn.UNIQUE(TRIM(_xlfn.TEXTSPLIT(Table21215[[#This Row],[Selection Options]:[Selection Options]],","))),,X$11),"")</f>
        <v/>
      </c>
      <c r="Y95" s="30" cm="1">
        <f t="array" ref="Y95">IF(Table21215[[#This Row],[1]]="","",Table21215[[#This Row],[Weight]:[Weight]]-(Table21215[[#This Row],[Weight]:[Weight]]*((_xlfn.XMATCH(Table21215[[#This Row],[1]],Table21215[[#This Row],[1]:[11]],0))-1)/(COUNTA(Table21215[[#This Row],[1]:[11]])-COUNTBLANK(Table21215[[#This Row],[1]:[11]])-1)))</f>
        <v>3.9714058776806989E-3</v>
      </c>
      <c r="Z95" s="30" cm="1">
        <f t="array" ref="Z95">IF(Table21215[[#This Row],[2]]="","",Table21215[[#This Row],[Weight]:[Weight]]-(Table21215[[#This Row],[Weight]:[Weight]]*((_xlfn.XMATCH(Table21215[[#This Row],[2]],Table21215[[#This Row],[1]:[11]],0))-1)/(COUNTA(Table21215[[#This Row],[1]:[11]])-COUNTBLANK(Table21215[[#This Row],[1]:[11]])-1)))</f>
        <v>2.6476039184537992E-3</v>
      </c>
      <c r="AA95" s="30" cm="1">
        <f t="array" ref="AA95">IF(Table21215[[#This Row],[3]]="","",Table21215[[#This Row],[Weight]:[Weight]]-(Table21215[[#This Row],[Weight]:[Weight]]*((_xlfn.XMATCH(Table21215[[#This Row],[3]],Table21215[[#This Row],[1]:[11]],0))-1)/(COUNTA(Table21215[[#This Row],[1]:[11]])-COUNTBLANK(Table21215[[#This Row],[1]:[11]])-1)))</f>
        <v>1.3238019592268996E-3</v>
      </c>
      <c r="AB95" s="30" cm="1">
        <f t="array" ref="AB95">IF(Table21215[[#This Row],[4]]="","",Table21215[[#This Row],[Weight]:[Weight]]-(Table21215[[#This Row],[Weight]:[Weight]]*((_xlfn.XMATCH(Table21215[[#This Row],[4]],Table21215[[#This Row],[1]:[11]],0))-1)/(COUNTA(Table21215[[#This Row],[1]:[11]])-COUNTBLANK(Table21215[[#This Row],[1]:[11]])-1)))</f>
        <v>0</v>
      </c>
      <c r="AC95" s="30" t="str" cm="1">
        <f t="array" ref="AC95">IF(Table21215[[#This Row],[5]]="","",Table21215[[#This Row],[Weight]:[Weight]]-(Table21215[[#This Row],[Weight]:[Weight]]*((_xlfn.XMATCH(Table21215[[#This Row],[5]],Table21215[[#This Row],[1]:[11]],0))-1)/(COUNTA(Table21215[[#This Row],[1]:[11]])-COUNTBLANK(Table21215[[#This Row],[1]:[11]])-1)))</f>
        <v/>
      </c>
      <c r="AD95" s="30" t="str" cm="1">
        <f t="array" ref="AD95">IF(Table21215[[#This Row],[6]]="","",Table21215[[#This Row],[Weight]:[Weight]]-(Table21215[[#This Row],[Weight]:[Weight]]*((_xlfn.XMATCH(Table21215[[#This Row],[6]],Table21215[[#This Row],[1]:[11]],0))-1)/(COUNTA(Table21215[[#This Row],[1]:[11]])-COUNTBLANK(Table21215[[#This Row],[1]:[11]])-1)))</f>
        <v/>
      </c>
      <c r="AE95" s="30" t="str" cm="1">
        <f t="array" ref="AE95">IF(Table21215[[#This Row],[7]]="","",Table21215[[#This Row],[Weight]:[Weight]]-(Table21215[[#This Row],[Weight]:[Weight]]*((_xlfn.XMATCH(Table21215[[#This Row],[7]],Table21215[[#This Row],[1]:[11]],0))-1)/(COUNTA(Table21215[[#This Row],[1]:[11]])-COUNTBLANK(Table21215[[#This Row],[1]:[11]])-1)))</f>
        <v/>
      </c>
      <c r="AF95" s="30" t="str" cm="1">
        <f t="array" ref="AF95">IF(Table21215[[#This Row],[8]]="","",Table21215[[#This Row],[Weight]:[Weight]]-(Table21215[[#This Row],[Weight]:[Weight]]*((_xlfn.XMATCH(Table21215[[#This Row],[8]],Table21215[[#This Row],[1]:[11]],0))-1)/(COUNTA(Table21215[[#This Row],[1]:[11]])-COUNTBLANK(Table21215[[#This Row],[1]:[11]])-1)))</f>
        <v/>
      </c>
      <c r="AG95" s="30" t="str" cm="1">
        <f t="array" ref="AG95">IF(Table21215[[#This Row],[9]]="","",Table21215[[#This Row],[Weight]:[Weight]]-(Table21215[[#This Row],[Weight]:[Weight]]*((_xlfn.XMATCH(Table21215[[#This Row],[9]],Table21215[[#This Row],[1]:[11]],0))-1)/(COUNTA(Table21215[[#This Row],[1]:[11]])-COUNTBLANK(Table21215[[#This Row],[1]:[11]])-1)))</f>
        <v/>
      </c>
      <c r="AH95" s="30" t="str" cm="1">
        <f t="array" ref="AH95">IF(Table21215[[#This Row],[10]]="","",Table21215[[#This Row],[Weight]:[Weight]]-(Table21215[[#This Row],[Weight]:[Weight]]*((_xlfn.XMATCH(Table21215[[#This Row],[10]],Table21215[[#This Row],[1]:[11]],0))-1)/(COUNTA(Table21215[[#This Row],[1]:[11]])-COUNTBLANK(Table21215[[#This Row],[1]:[11]])-1)))</f>
        <v/>
      </c>
      <c r="AI95" s="30" t="str" cm="1">
        <f t="array" ref="AI95">IF(Table21215[[#This Row],[11]]="","",Table21215[[#This Row],[Weight]:[Weight]]-(Table21215[[#This Row],[Weight]:[Weight]]*((_xlfn.XMATCH(Table21215[[#This Row],[11]],Table21215[[#This Row],[1]:[11]],0))-1)/(COUNTA(Table21215[[#This Row],[1]:[11]])-COUNTBLANK(Table21215[[#This Row],[1]:[11]])-1)))</f>
        <v/>
      </c>
    </row>
    <row r="96" spans="1:35" ht="108" x14ac:dyDescent="0.2">
      <c r="A96" s="20">
        <v>84</v>
      </c>
      <c r="B96" s="165" t="s">
        <v>913</v>
      </c>
      <c r="C96" s="21" t="s">
        <v>826</v>
      </c>
      <c r="D96" s="38"/>
      <c r="E96" s="38"/>
      <c r="F96" s="159" t="s">
        <v>188</v>
      </c>
      <c r="G96" s="160" cm="1">
        <f t="array" ref="G96">_xlfn.IFS(F96="","",F96="No interest",0,F96="Nice to have",1,F96="Useful",2,F96="Important",3,F96="Very important",4,F96="Critical",5,F96="Show stopper",6)</f>
        <v>5</v>
      </c>
      <c r="H96" s="161">
        <f t="shared" si="3"/>
        <v>3.9714058776806989E-3</v>
      </c>
      <c r="I96" s="157" t="s">
        <v>827</v>
      </c>
      <c r="J96" s="35" t="str" cm="1">
        <f t="array" ref="J96">_xlfn.TEXTJOIN(","&amp;CHAR(10),,TEXT(Table21215[[#This Row],[12]:[22]],"0,00%"))</f>
        <v>0,00%,
0,00%,
0,00%,
0,00%</v>
      </c>
      <c r="K96" s="36"/>
      <c r="L96" s="37" t="e">
        <f>H96-(H96*((MATCH(Table21215[[#This Row],[Evaluators Response (SELECT)]],Table21215[[#This Row],[1]:[11]],0)-1)/(COUNTA(Table21215[[#This Row],[1]:[11]])-COUNTBLANK(Table21215[[#This Row],[1]:[11]])-1)))</f>
        <v>#N/A</v>
      </c>
      <c r="M96" s="38"/>
      <c r="N96" s="29" t="s">
        <v>828</v>
      </c>
      <c r="O96" s="29" t="s">
        <v>829</v>
      </c>
      <c r="P96" s="29" t="s">
        <v>830</v>
      </c>
      <c r="Q96" s="29" t="str" cm="1">
        <f t="array" ref="Q96">IFERROR(INDEX(_xlfn.UNIQUE(TRIM(_xlfn.TEXTSPLIT(Table21215[[#This Row],[Selection Options]:[Selection Options]],","))),,Q$11),"")</f>
        <v xml:space="preserve">
 0%: Not currently supported</v>
      </c>
      <c r="R96" s="29" t="str" cm="1">
        <f t="array" ref="R96">IFERROR(INDEX(_xlfn.UNIQUE(TRIM(_xlfn.TEXTSPLIT(Table21215[[#This Row],[Selection Options]:[Selection Options]],","))),,R$11),"")</f>
        <v/>
      </c>
      <c r="S96" s="29" t="str" cm="1">
        <f t="array" ref="S96">IFERROR(INDEX(_xlfn.UNIQUE(TRIM(_xlfn.TEXTSPLIT(Table21215[[#This Row],[Selection Options]:[Selection Options]],","))),,S$11),"")</f>
        <v/>
      </c>
      <c r="T96" s="29" t="str" cm="1">
        <f t="array" ref="T96">IFERROR(INDEX(_xlfn.UNIQUE(TRIM(_xlfn.TEXTSPLIT(Table21215[[#This Row],[Selection Options]:[Selection Options]],","))),,T$11),"")</f>
        <v/>
      </c>
      <c r="U96" s="29" t="str" cm="1">
        <f t="array" ref="U96">IFERROR(INDEX(_xlfn.UNIQUE(TRIM(_xlfn.TEXTSPLIT(Table21215[[#This Row],[Selection Options]:[Selection Options]],","))),,U$11),"")</f>
        <v/>
      </c>
      <c r="V96" s="29" t="str" cm="1">
        <f t="array" ref="V96">IFERROR(INDEX(_xlfn.UNIQUE(TRIM(_xlfn.TEXTSPLIT(Table21215[[#This Row],[Selection Options]:[Selection Options]],","))),,V$11),"")</f>
        <v/>
      </c>
      <c r="W96" s="29" t="str" cm="1">
        <f t="array" ref="W96">IFERROR(INDEX(_xlfn.UNIQUE(TRIM(_xlfn.TEXTSPLIT(Table21215[[#This Row],[Selection Options]:[Selection Options]],","))),,W$11),"")</f>
        <v/>
      </c>
      <c r="X96" s="29" t="str" cm="1">
        <f t="array" ref="X96">IFERROR(INDEX(_xlfn.UNIQUE(TRIM(_xlfn.TEXTSPLIT(Table21215[[#This Row],[Selection Options]:[Selection Options]],","))),,X$11),"")</f>
        <v/>
      </c>
      <c r="Y96" s="30" cm="1">
        <f t="array" ref="Y96">IF(Table21215[[#This Row],[1]]="","",Table21215[[#This Row],[Weight]:[Weight]]-(Table21215[[#This Row],[Weight]:[Weight]]*((_xlfn.XMATCH(Table21215[[#This Row],[1]],Table21215[[#This Row],[1]:[11]],0))-1)/(COUNTA(Table21215[[#This Row],[1]:[11]])-COUNTBLANK(Table21215[[#This Row],[1]:[11]])-1)))</f>
        <v>3.9714058776806989E-3</v>
      </c>
      <c r="Z96" s="30" cm="1">
        <f t="array" ref="Z96">IF(Table21215[[#This Row],[2]]="","",Table21215[[#This Row],[Weight]:[Weight]]-(Table21215[[#This Row],[Weight]:[Weight]]*((_xlfn.XMATCH(Table21215[[#This Row],[2]],Table21215[[#This Row],[1]:[11]],0))-1)/(COUNTA(Table21215[[#This Row],[1]:[11]])-COUNTBLANK(Table21215[[#This Row],[1]:[11]])-1)))</f>
        <v>2.6476039184537992E-3</v>
      </c>
      <c r="AA96" s="30" cm="1">
        <f t="array" ref="AA96">IF(Table21215[[#This Row],[3]]="","",Table21215[[#This Row],[Weight]:[Weight]]-(Table21215[[#This Row],[Weight]:[Weight]]*((_xlfn.XMATCH(Table21215[[#This Row],[3]],Table21215[[#This Row],[1]:[11]],0))-1)/(COUNTA(Table21215[[#This Row],[1]:[11]])-COUNTBLANK(Table21215[[#This Row],[1]:[11]])-1)))</f>
        <v>1.3238019592268996E-3</v>
      </c>
      <c r="AB96" s="30" cm="1">
        <f t="array" ref="AB96">IF(Table21215[[#This Row],[4]]="","",Table21215[[#This Row],[Weight]:[Weight]]-(Table21215[[#This Row],[Weight]:[Weight]]*((_xlfn.XMATCH(Table21215[[#This Row],[4]],Table21215[[#This Row],[1]:[11]],0))-1)/(COUNTA(Table21215[[#This Row],[1]:[11]])-COUNTBLANK(Table21215[[#This Row],[1]:[11]])-1)))</f>
        <v>0</v>
      </c>
      <c r="AC96" s="30" t="str" cm="1">
        <f t="array" ref="AC96">IF(Table21215[[#This Row],[5]]="","",Table21215[[#This Row],[Weight]:[Weight]]-(Table21215[[#This Row],[Weight]:[Weight]]*((_xlfn.XMATCH(Table21215[[#This Row],[5]],Table21215[[#This Row],[1]:[11]],0))-1)/(COUNTA(Table21215[[#This Row],[1]:[11]])-COUNTBLANK(Table21215[[#This Row],[1]:[11]])-1)))</f>
        <v/>
      </c>
      <c r="AD96" s="30" t="str" cm="1">
        <f t="array" ref="AD96">IF(Table21215[[#This Row],[6]]="","",Table21215[[#This Row],[Weight]:[Weight]]-(Table21215[[#This Row],[Weight]:[Weight]]*((_xlfn.XMATCH(Table21215[[#This Row],[6]],Table21215[[#This Row],[1]:[11]],0))-1)/(COUNTA(Table21215[[#This Row],[1]:[11]])-COUNTBLANK(Table21215[[#This Row],[1]:[11]])-1)))</f>
        <v/>
      </c>
      <c r="AE96" s="30" t="str" cm="1">
        <f t="array" ref="AE96">IF(Table21215[[#This Row],[7]]="","",Table21215[[#This Row],[Weight]:[Weight]]-(Table21215[[#This Row],[Weight]:[Weight]]*((_xlfn.XMATCH(Table21215[[#This Row],[7]],Table21215[[#This Row],[1]:[11]],0))-1)/(COUNTA(Table21215[[#This Row],[1]:[11]])-COUNTBLANK(Table21215[[#This Row],[1]:[11]])-1)))</f>
        <v/>
      </c>
      <c r="AF96" s="30" t="str" cm="1">
        <f t="array" ref="AF96">IF(Table21215[[#This Row],[8]]="","",Table21215[[#This Row],[Weight]:[Weight]]-(Table21215[[#This Row],[Weight]:[Weight]]*((_xlfn.XMATCH(Table21215[[#This Row],[8]],Table21215[[#This Row],[1]:[11]],0))-1)/(COUNTA(Table21215[[#This Row],[1]:[11]])-COUNTBLANK(Table21215[[#This Row],[1]:[11]])-1)))</f>
        <v/>
      </c>
      <c r="AG96" s="30" t="str" cm="1">
        <f t="array" ref="AG96">IF(Table21215[[#This Row],[9]]="","",Table21215[[#This Row],[Weight]:[Weight]]-(Table21215[[#This Row],[Weight]:[Weight]]*((_xlfn.XMATCH(Table21215[[#This Row],[9]],Table21215[[#This Row],[1]:[11]],0))-1)/(COUNTA(Table21215[[#This Row],[1]:[11]])-COUNTBLANK(Table21215[[#This Row],[1]:[11]])-1)))</f>
        <v/>
      </c>
      <c r="AH96" s="30" t="str" cm="1">
        <f t="array" ref="AH96">IF(Table21215[[#This Row],[10]]="","",Table21215[[#This Row],[Weight]:[Weight]]-(Table21215[[#This Row],[Weight]:[Weight]]*((_xlfn.XMATCH(Table21215[[#This Row],[10]],Table21215[[#This Row],[1]:[11]],0))-1)/(COUNTA(Table21215[[#This Row],[1]:[11]])-COUNTBLANK(Table21215[[#This Row],[1]:[11]])-1)))</f>
        <v/>
      </c>
      <c r="AI96" s="30" t="str" cm="1">
        <f t="array" ref="AI96">IF(Table21215[[#This Row],[11]]="","",Table21215[[#This Row],[Weight]:[Weight]]-(Table21215[[#This Row],[Weight]:[Weight]]*((_xlfn.XMATCH(Table21215[[#This Row],[11]],Table21215[[#This Row],[1]:[11]],0))-1)/(COUNTA(Table21215[[#This Row],[1]:[11]])-COUNTBLANK(Table21215[[#This Row],[1]:[11]])-1)))</f>
        <v/>
      </c>
    </row>
    <row r="97" spans="1:35" ht="108" x14ac:dyDescent="0.2">
      <c r="A97" s="20">
        <v>85</v>
      </c>
      <c r="B97" s="165" t="s">
        <v>914</v>
      </c>
      <c r="C97" s="21" t="s">
        <v>826</v>
      </c>
      <c r="D97" s="38"/>
      <c r="E97" s="38"/>
      <c r="F97" s="159" t="s">
        <v>188</v>
      </c>
      <c r="G97" s="160" cm="1">
        <f t="array" ref="G97">_xlfn.IFS(F97="","",F97="No interest",0,F97="Nice to have",1,F97="Useful",2,F97="Important",3,F97="Very important",4,F97="Critical",5,F97="Show stopper",6)</f>
        <v>5</v>
      </c>
      <c r="H97" s="161">
        <f t="shared" si="3"/>
        <v>3.9714058776806989E-3</v>
      </c>
      <c r="I97" s="157" t="s">
        <v>827</v>
      </c>
      <c r="J97" s="35" t="str" cm="1">
        <f t="array" ref="J97">_xlfn.TEXTJOIN(","&amp;CHAR(10),,TEXT(Table21215[[#This Row],[12]:[22]],"0,00%"))</f>
        <v>0,00%,
0,00%,
0,00%,
0,00%</v>
      </c>
      <c r="K97" s="36"/>
      <c r="L97" s="37" t="e">
        <f>H97-(H97*((MATCH(Table21215[[#This Row],[Evaluators Response (SELECT)]],Table21215[[#This Row],[1]:[11]],0)-1)/(COUNTA(Table21215[[#This Row],[1]:[11]])-COUNTBLANK(Table21215[[#This Row],[1]:[11]])-1)))</f>
        <v>#N/A</v>
      </c>
      <c r="M97" s="38"/>
      <c r="N97" s="29" t="s">
        <v>828</v>
      </c>
      <c r="O97" s="29" t="s">
        <v>829</v>
      </c>
      <c r="P97" s="29" t="s">
        <v>830</v>
      </c>
      <c r="Q97" s="29" t="str" cm="1">
        <f t="array" ref="Q97">IFERROR(INDEX(_xlfn.UNIQUE(TRIM(_xlfn.TEXTSPLIT(Table21215[[#This Row],[Selection Options]:[Selection Options]],","))),,Q$11),"")</f>
        <v xml:space="preserve">
 0%: Not currently supported</v>
      </c>
      <c r="R97" s="29" t="str" cm="1">
        <f t="array" ref="R97">IFERROR(INDEX(_xlfn.UNIQUE(TRIM(_xlfn.TEXTSPLIT(Table21215[[#This Row],[Selection Options]:[Selection Options]],","))),,R$11),"")</f>
        <v/>
      </c>
      <c r="S97" s="29" t="str" cm="1">
        <f t="array" ref="S97">IFERROR(INDEX(_xlfn.UNIQUE(TRIM(_xlfn.TEXTSPLIT(Table21215[[#This Row],[Selection Options]:[Selection Options]],","))),,S$11),"")</f>
        <v/>
      </c>
      <c r="T97" s="29" t="str" cm="1">
        <f t="array" ref="T97">IFERROR(INDEX(_xlfn.UNIQUE(TRIM(_xlfn.TEXTSPLIT(Table21215[[#This Row],[Selection Options]:[Selection Options]],","))),,T$11),"")</f>
        <v/>
      </c>
      <c r="U97" s="29" t="str" cm="1">
        <f t="array" ref="U97">IFERROR(INDEX(_xlfn.UNIQUE(TRIM(_xlfn.TEXTSPLIT(Table21215[[#This Row],[Selection Options]:[Selection Options]],","))),,U$11),"")</f>
        <v/>
      </c>
      <c r="V97" s="29" t="str" cm="1">
        <f t="array" ref="V97">IFERROR(INDEX(_xlfn.UNIQUE(TRIM(_xlfn.TEXTSPLIT(Table21215[[#This Row],[Selection Options]:[Selection Options]],","))),,V$11),"")</f>
        <v/>
      </c>
      <c r="W97" s="29" t="str" cm="1">
        <f t="array" ref="W97">IFERROR(INDEX(_xlfn.UNIQUE(TRIM(_xlfn.TEXTSPLIT(Table21215[[#This Row],[Selection Options]:[Selection Options]],","))),,W$11),"")</f>
        <v/>
      </c>
      <c r="X97" s="29" t="str" cm="1">
        <f t="array" ref="X97">IFERROR(INDEX(_xlfn.UNIQUE(TRIM(_xlfn.TEXTSPLIT(Table21215[[#This Row],[Selection Options]:[Selection Options]],","))),,X$11),"")</f>
        <v/>
      </c>
      <c r="Y97" s="30" cm="1">
        <f t="array" ref="Y97">IF(Table21215[[#This Row],[1]]="","",Table21215[[#This Row],[Weight]:[Weight]]-(Table21215[[#This Row],[Weight]:[Weight]]*((_xlfn.XMATCH(Table21215[[#This Row],[1]],Table21215[[#This Row],[1]:[11]],0))-1)/(COUNTA(Table21215[[#This Row],[1]:[11]])-COUNTBLANK(Table21215[[#This Row],[1]:[11]])-1)))</f>
        <v>3.9714058776806989E-3</v>
      </c>
      <c r="Z97" s="30" cm="1">
        <f t="array" ref="Z97">IF(Table21215[[#This Row],[2]]="","",Table21215[[#This Row],[Weight]:[Weight]]-(Table21215[[#This Row],[Weight]:[Weight]]*((_xlfn.XMATCH(Table21215[[#This Row],[2]],Table21215[[#This Row],[1]:[11]],0))-1)/(COUNTA(Table21215[[#This Row],[1]:[11]])-COUNTBLANK(Table21215[[#This Row],[1]:[11]])-1)))</f>
        <v>2.6476039184537992E-3</v>
      </c>
      <c r="AA97" s="30" cm="1">
        <f t="array" ref="AA97">IF(Table21215[[#This Row],[3]]="","",Table21215[[#This Row],[Weight]:[Weight]]-(Table21215[[#This Row],[Weight]:[Weight]]*((_xlfn.XMATCH(Table21215[[#This Row],[3]],Table21215[[#This Row],[1]:[11]],0))-1)/(COUNTA(Table21215[[#This Row],[1]:[11]])-COUNTBLANK(Table21215[[#This Row],[1]:[11]])-1)))</f>
        <v>1.3238019592268996E-3</v>
      </c>
      <c r="AB97" s="30" cm="1">
        <f t="array" ref="AB97">IF(Table21215[[#This Row],[4]]="","",Table21215[[#This Row],[Weight]:[Weight]]-(Table21215[[#This Row],[Weight]:[Weight]]*((_xlfn.XMATCH(Table21215[[#This Row],[4]],Table21215[[#This Row],[1]:[11]],0))-1)/(COUNTA(Table21215[[#This Row],[1]:[11]])-COUNTBLANK(Table21215[[#This Row],[1]:[11]])-1)))</f>
        <v>0</v>
      </c>
      <c r="AC97" s="30" t="str" cm="1">
        <f t="array" ref="AC97">IF(Table21215[[#This Row],[5]]="","",Table21215[[#This Row],[Weight]:[Weight]]-(Table21215[[#This Row],[Weight]:[Weight]]*((_xlfn.XMATCH(Table21215[[#This Row],[5]],Table21215[[#This Row],[1]:[11]],0))-1)/(COUNTA(Table21215[[#This Row],[1]:[11]])-COUNTBLANK(Table21215[[#This Row],[1]:[11]])-1)))</f>
        <v/>
      </c>
      <c r="AD97" s="30" t="str" cm="1">
        <f t="array" ref="AD97">IF(Table21215[[#This Row],[6]]="","",Table21215[[#This Row],[Weight]:[Weight]]-(Table21215[[#This Row],[Weight]:[Weight]]*((_xlfn.XMATCH(Table21215[[#This Row],[6]],Table21215[[#This Row],[1]:[11]],0))-1)/(COUNTA(Table21215[[#This Row],[1]:[11]])-COUNTBLANK(Table21215[[#This Row],[1]:[11]])-1)))</f>
        <v/>
      </c>
      <c r="AE97" s="30" t="str" cm="1">
        <f t="array" ref="AE97">IF(Table21215[[#This Row],[7]]="","",Table21215[[#This Row],[Weight]:[Weight]]-(Table21215[[#This Row],[Weight]:[Weight]]*((_xlfn.XMATCH(Table21215[[#This Row],[7]],Table21215[[#This Row],[1]:[11]],0))-1)/(COUNTA(Table21215[[#This Row],[1]:[11]])-COUNTBLANK(Table21215[[#This Row],[1]:[11]])-1)))</f>
        <v/>
      </c>
      <c r="AF97" s="30" t="str" cm="1">
        <f t="array" ref="AF97">IF(Table21215[[#This Row],[8]]="","",Table21215[[#This Row],[Weight]:[Weight]]-(Table21215[[#This Row],[Weight]:[Weight]]*((_xlfn.XMATCH(Table21215[[#This Row],[8]],Table21215[[#This Row],[1]:[11]],0))-1)/(COUNTA(Table21215[[#This Row],[1]:[11]])-COUNTBLANK(Table21215[[#This Row],[1]:[11]])-1)))</f>
        <v/>
      </c>
      <c r="AG97" s="30" t="str" cm="1">
        <f t="array" ref="AG97">IF(Table21215[[#This Row],[9]]="","",Table21215[[#This Row],[Weight]:[Weight]]-(Table21215[[#This Row],[Weight]:[Weight]]*((_xlfn.XMATCH(Table21215[[#This Row],[9]],Table21215[[#This Row],[1]:[11]],0))-1)/(COUNTA(Table21215[[#This Row],[1]:[11]])-COUNTBLANK(Table21215[[#This Row],[1]:[11]])-1)))</f>
        <v/>
      </c>
      <c r="AH97" s="30" t="str" cm="1">
        <f t="array" ref="AH97">IF(Table21215[[#This Row],[10]]="","",Table21215[[#This Row],[Weight]:[Weight]]-(Table21215[[#This Row],[Weight]:[Weight]]*((_xlfn.XMATCH(Table21215[[#This Row],[10]],Table21215[[#This Row],[1]:[11]],0))-1)/(COUNTA(Table21215[[#This Row],[1]:[11]])-COUNTBLANK(Table21215[[#This Row],[1]:[11]])-1)))</f>
        <v/>
      </c>
      <c r="AI97" s="30" t="str" cm="1">
        <f t="array" ref="AI97">IF(Table21215[[#This Row],[11]]="","",Table21215[[#This Row],[Weight]:[Weight]]-(Table21215[[#This Row],[Weight]:[Weight]]*((_xlfn.XMATCH(Table21215[[#This Row],[11]],Table21215[[#This Row],[1]:[11]],0))-1)/(COUNTA(Table21215[[#This Row],[1]:[11]])-COUNTBLANK(Table21215[[#This Row],[1]:[11]])-1)))</f>
        <v/>
      </c>
    </row>
    <row r="98" spans="1:35" ht="108" x14ac:dyDescent="0.2">
      <c r="A98" s="20">
        <v>86</v>
      </c>
      <c r="B98" s="165" t="s">
        <v>915</v>
      </c>
      <c r="C98" s="21" t="s">
        <v>826</v>
      </c>
      <c r="D98" s="38"/>
      <c r="E98" s="38"/>
      <c r="F98" s="159" t="s">
        <v>188</v>
      </c>
      <c r="G98" s="160" cm="1">
        <f t="array" ref="G98">_xlfn.IFS(F98="","",F98="No interest",0,F98="Nice to have",1,F98="Useful",2,F98="Important",3,F98="Very important",4,F98="Critical",5,F98="Show stopper",6)</f>
        <v>5</v>
      </c>
      <c r="H98" s="161">
        <f t="shared" si="3"/>
        <v>3.9714058776806989E-3</v>
      </c>
      <c r="I98" s="157" t="s">
        <v>827</v>
      </c>
      <c r="J98" s="35" t="str" cm="1">
        <f t="array" ref="J98">_xlfn.TEXTJOIN(","&amp;CHAR(10),,TEXT(Table21215[[#This Row],[12]:[22]],"0,00%"))</f>
        <v>0,00%,
0,00%,
0,00%,
0,00%</v>
      </c>
      <c r="K98" s="36"/>
      <c r="L98" s="37" t="e">
        <f>H98-(H98*((MATCH(Table21215[[#This Row],[Evaluators Response (SELECT)]],Table21215[[#This Row],[1]:[11]],0)-1)/(COUNTA(Table21215[[#This Row],[1]:[11]])-COUNTBLANK(Table21215[[#This Row],[1]:[11]])-1)))</f>
        <v>#N/A</v>
      </c>
      <c r="M98" s="38"/>
      <c r="N98" s="29" t="s">
        <v>828</v>
      </c>
      <c r="O98" s="29" t="s">
        <v>829</v>
      </c>
      <c r="P98" s="29" t="s">
        <v>830</v>
      </c>
      <c r="Q98" s="29" t="str" cm="1">
        <f t="array" ref="Q98">IFERROR(INDEX(_xlfn.UNIQUE(TRIM(_xlfn.TEXTSPLIT(Table21215[[#This Row],[Selection Options]:[Selection Options]],","))),,Q$11),"")</f>
        <v xml:space="preserve">
 0%: Not currently supported</v>
      </c>
      <c r="R98" s="29" t="str" cm="1">
        <f t="array" ref="R98">IFERROR(INDEX(_xlfn.UNIQUE(TRIM(_xlfn.TEXTSPLIT(Table21215[[#This Row],[Selection Options]:[Selection Options]],","))),,R$11),"")</f>
        <v/>
      </c>
      <c r="S98" s="29" t="str" cm="1">
        <f t="array" ref="S98">IFERROR(INDEX(_xlfn.UNIQUE(TRIM(_xlfn.TEXTSPLIT(Table21215[[#This Row],[Selection Options]:[Selection Options]],","))),,S$11),"")</f>
        <v/>
      </c>
      <c r="T98" s="29" t="str" cm="1">
        <f t="array" ref="T98">IFERROR(INDEX(_xlfn.UNIQUE(TRIM(_xlfn.TEXTSPLIT(Table21215[[#This Row],[Selection Options]:[Selection Options]],","))),,T$11),"")</f>
        <v/>
      </c>
      <c r="U98" s="29" t="str" cm="1">
        <f t="array" ref="U98">IFERROR(INDEX(_xlfn.UNIQUE(TRIM(_xlfn.TEXTSPLIT(Table21215[[#This Row],[Selection Options]:[Selection Options]],","))),,U$11),"")</f>
        <v/>
      </c>
      <c r="V98" s="29" t="str" cm="1">
        <f t="array" ref="V98">IFERROR(INDEX(_xlfn.UNIQUE(TRIM(_xlfn.TEXTSPLIT(Table21215[[#This Row],[Selection Options]:[Selection Options]],","))),,V$11),"")</f>
        <v/>
      </c>
      <c r="W98" s="29" t="str" cm="1">
        <f t="array" ref="W98">IFERROR(INDEX(_xlfn.UNIQUE(TRIM(_xlfn.TEXTSPLIT(Table21215[[#This Row],[Selection Options]:[Selection Options]],","))),,W$11),"")</f>
        <v/>
      </c>
      <c r="X98" s="29" t="str" cm="1">
        <f t="array" ref="X98">IFERROR(INDEX(_xlfn.UNIQUE(TRIM(_xlfn.TEXTSPLIT(Table21215[[#This Row],[Selection Options]:[Selection Options]],","))),,X$11),"")</f>
        <v/>
      </c>
      <c r="Y98" s="30" cm="1">
        <f t="array" ref="Y98">IF(Table21215[[#This Row],[1]]="","",Table21215[[#This Row],[Weight]:[Weight]]-(Table21215[[#This Row],[Weight]:[Weight]]*((_xlfn.XMATCH(Table21215[[#This Row],[1]],Table21215[[#This Row],[1]:[11]],0))-1)/(COUNTA(Table21215[[#This Row],[1]:[11]])-COUNTBLANK(Table21215[[#This Row],[1]:[11]])-1)))</f>
        <v>3.9714058776806989E-3</v>
      </c>
      <c r="Z98" s="30" cm="1">
        <f t="array" ref="Z98">IF(Table21215[[#This Row],[2]]="","",Table21215[[#This Row],[Weight]:[Weight]]-(Table21215[[#This Row],[Weight]:[Weight]]*((_xlfn.XMATCH(Table21215[[#This Row],[2]],Table21215[[#This Row],[1]:[11]],0))-1)/(COUNTA(Table21215[[#This Row],[1]:[11]])-COUNTBLANK(Table21215[[#This Row],[1]:[11]])-1)))</f>
        <v>2.6476039184537992E-3</v>
      </c>
      <c r="AA98" s="30" cm="1">
        <f t="array" ref="AA98">IF(Table21215[[#This Row],[3]]="","",Table21215[[#This Row],[Weight]:[Weight]]-(Table21215[[#This Row],[Weight]:[Weight]]*((_xlfn.XMATCH(Table21215[[#This Row],[3]],Table21215[[#This Row],[1]:[11]],0))-1)/(COUNTA(Table21215[[#This Row],[1]:[11]])-COUNTBLANK(Table21215[[#This Row],[1]:[11]])-1)))</f>
        <v>1.3238019592268996E-3</v>
      </c>
      <c r="AB98" s="30" cm="1">
        <f t="array" ref="AB98">IF(Table21215[[#This Row],[4]]="","",Table21215[[#This Row],[Weight]:[Weight]]-(Table21215[[#This Row],[Weight]:[Weight]]*((_xlfn.XMATCH(Table21215[[#This Row],[4]],Table21215[[#This Row],[1]:[11]],0))-1)/(COUNTA(Table21215[[#This Row],[1]:[11]])-COUNTBLANK(Table21215[[#This Row],[1]:[11]])-1)))</f>
        <v>0</v>
      </c>
      <c r="AC98" s="30" t="str" cm="1">
        <f t="array" ref="AC98">IF(Table21215[[#This Row],[5]]="","",Table21215[[#This Row],[Weight]:[Weight]]-(Table21215[[#This Row],[Weight]:[Weight]]*((_xlfn.XMATCH(Table21215[[#This Row],[5]],Table21215[[#This Row],[1]:[11]],0))-1)/(COUNTA(Table21215[[#This Row],[1]:[11]])-COUNTBLANK(Table21215[[#This Row],[1]:[11]])-1)))</f>
        <v/>
      </c>
      <c r="AD98" s="30" t="str" cm="1">
        <f t="array" ref="AD98">IF(Table21215[[#This Row],[6]]="","",Table21215[[#This Row],[Weight]:[Weight]]-(Table21215[[#This Row],[Weight]:[Weight]]*((_xlfn.XMATCH(Table21215[[#This Row],[6]],Table21215[[#This Row],[1]:[11]],0))-1)/(COUNTA(Table21215[[#This Row],[1]:[11]])-COUNTBLANK(Table21215[[#This Row],[1]:[11]])-1)))</f>
        <v/>
      </c>
      <c r="AE98" s="30" t="str" cm="1">
        <f t="array" ref="AE98">IF(Table21215[[#This Row],[7]]="","",Table21215[[#This Row],[Weight]:[Weight]]-(Table21215[[#This Row],[Weight]:[Weight]]*((_xlfn.XMATCH(Table21215[[#This Row],[7]],Table21215[[#This Row],[1]:[11]],0))-1)/(COUNTA(Table21215[[#This Row],[1]:[11]])-COUNTBLANK(Table21215[[#This Row],[1]:[11]])-1)))</f>
        <v/>
      </c>
      <c r="AF98" s="30" t="str" cm="1">
        <f t="array" ref="AF98">IF(Table21215[[#This Row],[8]]="","",Table21215[[#This Row],[Weight]:[Weight]]-(Table21215[[#This Row],[Weight]:[Weight]]*((_xlfn.XMATCH(Table21215[[#This Row],[8]],Table21215[[#This Row],[1]:[11]],0))-1)/(COUNTA(Table21215[[#This Row],[1]:[11]])-COUNTBLANK(Table21215[[#This Row],[1]:[11]])-1)))</f>
        <v/>
      </c>
      <c r="AG98" s="30" t="str" cm="1">
        <f t="array" ref="AG98">IF(Table21215[[#This Row],[9]]="","",Table21215[[#This Row],[Weight]:[Weight]]-(Table21215[[#This Row],[Weight]:[Weight]]*((_xlfn.XMATCH(Table21215[[#This Row],[9]],Table21215[[#This Row],[1]:[11]],0))-1)/(COUNTA(Table21215[[#This Row],[1]:[11]])-COUNTBLANK(Table21215[[#This Row],[1]:[11]])-1)))</f>
        <v/>
      </c>
      <c r="AH98" s="30" t="str" cm="1">
        <f t="array" ref="AH98">IF(Table21215[[#This Row],[10]]="","",Table21215[[#This Row],[Weight]:[Weight]]-(Table21215[[#This Row],[Weight]:[Weight]]*((_xlfn.XMATCH(Table21215[[#This Row],[10]],Table21215[[#This Row],[1]:[11]],0))-1)/(COUNTA(Table21215[[#This Row],[1]:[11]])-COUNTBLANK(Table21215[[#This Row],[1]:[11]])-1)))</f>
        <v/>
      </c>
      <c r="AI98" s="30" t="str" cm="1">
        <f t="array" ref="AI98">IF(Table21215[[#This Row],[11]]="","",Table21215[[#This Row],[Weight]:[Weight]]-(Table21215[[#This Row],[Weight]:[Weight]]*((_xlfn.XMATCH(Table21215[[#This Row],[11]],Table21215[[#This Row],[1]:[11]],0))-1)/(COUNTA(Table21215[[#This Row],[1]:[11]])-COUNTBLANK(Table21215[[#This Row],[1]:[11]])-1)))</f>
        <v/>
      </c>
    </row>
    <row r="99" spans="1:35" ht="108" x14ac:dyDescent="0.2">
      <c r="A99" s="20">
        <v>87</v>
      </c>
      <c r="B99" s="165" t="s">
        <v>916</v>
      </c>
      <c r="C99" s="21" t="s">
        <v>826</v>
      </c>
      <c r="D99" s="38"/>
      <c r="E99" s="38"/>
      <c r="F99" s="159" t="s">
        <v>188</v>
      </c>
      <c r="G99" s="160" cm="1">
        <f t="array" ref="G99">_xlfn.IFS(F99="","",F99="No interest",0,F99="Nice to have",1,F99="Useful",2,F99="Important",3,F99="Very important",4,F99="Critical",5,F99="Show stopper",6)</f>
        <v>5</v>
      </c>
      <c r="H99" s="161">
        <f t="shared" si="3"/>
        <v>3.9714058776806989E-3</v>
      </c>
      <c r="I99" s="157" t="s">
        <v>827</v>
      </c>
      <c r="J99" s="35" t="str" cm="1">
        <f t="array" ref="J99">_xlfn.TEXTJOIN(","&amp;CHAR(10),,TEXT(Table21215[[#This Row],[12]:[22]],"0,00%"))</f>
        <v>0,00%,
0,00%,
0,00%,
0,00%</v>
      </c>
      <c r="K99" s="36"/>
      <c r="L99" s="37" t="e">
        <f>H99-(H99*((MATCH(Table21215[[#This Row],[Evaluators Response (SELECT)]],Table21215[[#This Row],[1]:[11]],0)-1)/(COUNTA(Table21215[[#This Row],[1]:[11]])-COUNTBLANK(Table21215[[#This Row],[1]:[11]])-1)))</f>
        <v>#N/A</v>
      </c>
      <c r="M99" s="38"/>
      <c r="N99" s="29" t="s">
        <v>828</v>
      </c>
      <c r="O99" s="29" t="s">
        <v>829</v>
      </c>
      <c r="P99" s="29" t="s">
        <v>830</v>
      </c>
      <c r="Q99" s="29" t="str" cm="1">
        <f t="array" ref="Q99">IFERROR(INDEX(_xlfn.UNIQUE(TRIM(_xlfn.TEXTSPLIT(Table21215[[#This Row],[Selection Options]:[Selection Options]],","))),,Q$11),"")</f>
        <v xml:space="preserve">
 0%: Not currently supported</v>
      </c>
      <c r="R99" s="29" t="str" cm="1">
        <f t="array" ref="R99">IFERROR(INDEX(_xlfn.UNIQUE(TRIM(_xlfn.TEXTSPLIT(Table21215[[#This Row],[Selection Options]:[Selection Options]],","))),,R$11),"")</f>
        <v/>
      </c>
      <c r="S99" s="29" t="str" cm="1">
        <f t="array" ref="S99">IFERROR(INDEX(_xlfn.UNIQUE(TRIM(_xlfn.TEXTSPLIT(Table21215[[#This Row],[Selection Options]:[Selection Options]],","))),,S$11),"")</f>
        <v/>
      </c>
      <c r="T99" s="29" t="str" cm="1">
        <f t="array" ref="T99">IFERROR(INDEX(_xlfn.UNIQUE(TRIM(_xlfn.TEXTSPLIT(Table21215[[#This Row],[Selection Options]:[Selection Options]],","))),,T$11),"")</f>
        <v/>
      </c>
      <c r="U99" s="29" t="str" cm="1">
        <f t="array" ref="U99">IFERROR(INDEX(_xlfn.UNIQUE(TRIM(_xlfn.TEXTSPLIT(Table21215[[#This Row],[Selection Options]:[Selection Options]],","))),,U$11),"")</f>
        <v/>
      </c>
      <c r="V99" s="29" t="str" cm="1">
        <f t="array" ref="V99">IFERROR(INDEX(_xlfn.UNIQUE(TRIM(_xlfn.TEXTSPLIT(Table21215[[#This Row],[Selection Options]:[Selection Options]],","))),,V$11),"")</f>
        <v/>
      </c>
      <c r="W99" s="29" t="str" cm="1">
        <f t="array" ref="W99">IFERROR(INDEX(_xlfn.UNIQUE(TRIM(_xlfn.TEXTSPLIT(Table21215[[#This Row],[Selection Options]:[Selection Options]],","))),,W$11),"")</f>
        <v/>
      </c>
      <c r="X99" s="29" t="str" cm="1">
        <f t="array" ref="X99">IFERROR(INDEX(_xlfn.UNIQUE(TRIM(_xlfn.TEXTSPLIT(Table21215[[#This Row],[Selection Options]:[Selection Options]],","))),,X$11),"")</f>
        <v/>
      </c>
      <c r="Y99" s="30" cm="1">
        <f t="array" ref="Y99">IF(Table21215[[#This Row],[1]]="","",Table21215[[#This Row],[Weight]:[Weight]]-(Table21215[[#This Row],[Weight]:[Weight]]*((_xlfn.XMATCH(Table21215[[#This Row],[1]],Table21215[[#This Row],[1]:[11]],0))-1)/(COUNTA(Table21215[[#This Row],[1]:[11]])-COUNTBLANK(Table21215[[#This Row],[1]:[11]])-1)))</f>
        <v>3.9714058776806989E-3</v>
      </c>
      <c r="Z99" s="30" cm="1">
        <f t="array" ref="Z99">IF(Table21215[[#This Row],[2]]="","",Table21215[[#This Row],[Weight]:[Weight]]-(Table21215[[#This Row],[Weight]:[Weight]]*((_xlfn.XMATCH(Table21215[[#This Row],[2]],Table21215[[#This Row],[1]:[11]],0))-1)/(COUNTA(Table21215[[#This Row],[1]:[11]])-COUNTBLANK(Table21215[[#This Row],[1]:[11]])-1)))</f>
        <v>2.6476039184537992E-3</v>
      </c>
      <c r="AA99" s="30" cm="1">
        <f t="array" ref="AA99">IF(Table21215[[#This Row],[3]]="","",Table21215[[#This Row],[Weight]:[Weight]]-(Table21215[[#This Row],[Weight]:[Weight]]*((_xlfn.XMATCH(Table21215[[#This Row],[3]],Table21215[[#This Row],[1]:[11]],0))-1)/(COUNTA(Table21215[[#This Row],[1]:[11]])-COUNTBLANK(Table21215[[#This Row],[1]:[11]])-1)))</f>
        <v>1.3238019592268996E-3</v>
      </c>
      <c r="AB99" s="30" cm="1">
        <f t="array" ref="AB99">IF(Table21215[[#This Row],[4]]="","",Table21215[[#This Row],[Weight]:[Weight]]-(Table21215[[#This Row],[Weight]:[Weight]]*((_xlfn.XMATCH(Table21215[[#This Row],[4]],Table21215[[#This Row],[1]:[11]],0))-1)/(COUNTA(Table21215[[#This Row],[1]:[11]])-COUNTBLANK(Table21215[[#This Row],[1]:[11]])-1)))</f>
        <v>0</v>
      </c>
      <c r="AC99" s="30" t="str" cm="1">
        <f t="array" ref="AC99">IF(Table21215[[#This Row],[5]]="","",Table21215[[#This Row],[Weight]:[Weight]]-(Table21215[[#This Row],[Weight]:[Weight]]*((_xlfn.XMATCH(Table21215[[#This Row],[5]],Table21215[[#This Row],[1]:[11]],0))-1)/(COUNTA(Table21215[[#This Row],[1]:[11]])-COUNTBLANK(Table21215[[#This Row],[1]:[11]])-1)))</f>
        <v/>
      </c>
      <c r="AD99" s="30" t="str" cm="1">
        <f t="array" ref="AD99">IF(Table21215[[#This Row],[6]]="","",Table21215[[#This Row],[Weight]:[Weight]]-(Table21215[[#This Row],[Weight]:[Weight]]*((_xlfn.XMATCH(Table21215[[#This Row],[6]],Table21215[[#This Row],[1]:[11]],0))-1)/(COUNTA(Table21215[[#This Row],[1]:[11]])-COUNTBLANK(Table21215[[#This Row],[1]:[11]])-1)))</f>
        <v/>
      </c>
      <c r="AE99" s="30" t="str" cm="1">
        <f t="array" ref="AE99">IF(Table21215[[#This Row],[7]]="","",Table21215[[#This Row],[Weight]:[Weight]]-(Table21215[[#This Row],[Weight]:[Weight]]*((_xlfn.XMATCH(Table21215[[#This Row],[7]],Table21215[[#This Row],[1]:[11]],0))-1)/(COUNTA(Table21215[[#This Row],[1]:[11]])-COUNTBLANK(Table21215[[#This Row],[1]:[11]])-1)))</f>
        <v/>
      </c>
      <c r="AF99" s="30" t="str" cm="1">
        <f t="array" ref="AF99">IF(Table21215[[#This Row],[8]]="","",Table21215[[#This Row],[Weight]:[Weight]]-(Table21215[[#This Row],[Weight]:[Weight]]*((_xlfn.XMATCH(Table21215[[#This Row],[8]],Table21215[[#This Row],[1]:[11]],0))-1)/(COUNTA(Table21215[[#This Row],[1]:[11]])-COUNTBLANK(Table21215[[#This Row],[1]:[11]])-1)))</f>
        <v/>
      </c>
      <c r="AG99" s="30" t="str" cm="1">
        <f t="array" ref="AG99">IF(Table21215[[#This Row],[9]]="","",Table21215[[#This Row],[Weight]:[Weight]]-(Table21215[[#This Row],[Weight]:[Weight]]*((_xlfn.XMATCH(Table21215[[#This Row],[9]],Table21215[[#This Row],[1]:[11]],0))-1)/(COUNTA(Table21215[[#This Row],[1]:[11]])-COUNTBLANK(Table21215[[#This Row],[1]:[11]])-1)))</f>
        <v/>
      </c>
      <c r="AH99" s="30" t="str" cm="1">
        <f t="array" ref="AH99">IF(Table21215[[#This Row],[10]]="","",Table21215[[#This Row],[Weight]:[Weight]]-(Table21215[[#This Row],[Weight]:[Weight]]*((_xlfn.XMATCH(Table21215[[#This Row],[10]],Table21215[[#This Row],[1]:[11]],0))-1)/(COUNTA(Table21215[[#This Row],[1]:[11]])-COUNTBLANK(Table21215[[#This Row],[1]:[11]])-1)))</f>
        <v/>
      </c>
      <c r="AI99" s="30" t="str" cm="1">
        <f t="array" ref="AI99">IF(Table21215[[#This Row],[11]]="","",Table21215[[#This Row],[Weight]:[Weight]]-(Table21215[[#This Row],[Weight]:[Weight]]*((_xlfn.XMATCH(Table21215[[#This Row],[11]],Table21215[[#This Row],[1]:[11]],0))-1)/(COUNTA(Table21215[[#This Row],[1]:[11]])-COUNTBLANK(Table21215[[#This Row],[1]:[11]])-1)))</f>
        <v/>
      </c>
    </row>
    <row r="100" spans="1:35" ht="108" x14ac:dyDescent="0.2">
      <c r="A100" s="20">
        <v>88</v>
      </c>
      <c r="B100" s="165" t="s">
        <v>917</v>
      </c>
      <c r="C100" s="21" t="s">
        <v>826</v>
      </c>
      <c r="D100" s="38"/>
      <c r="E100" s="38"/>
      <c r="F100" s="159" t="s">
        <v>188</v>
      </c>
      <c r="G100" s="160" cm="1">
        <f t="array" ref="G100">_xlfn.IFS(F100="","",F100="No interest",0,F100="Nice to have",1,F100="Useful",2,F100="Important",3,F100="Very important",4,F100="Critical",5,F100="Show stopper",6)</f>
        <v>5</v>
      </c>
      <c r="H100" s="161">
        <f t="shared" si="3"/>
        <v>3.9714058776806989E-3</v>
      </c>
      <c r="I100" s="157" t="s">
        <v>827</v>
      </c>
      <c r="J100" s="35" t="str" cm="1">
        <f t="array" ref="J100">_xlfn.TEXTJOIN(","&amp;CHAR(10),,TEXT(Table21215[[#This Row],[12]:[22]],"0,00%"))</f>
        <v>0,00%,
0,00%,
0,00%,
0,00%</v>
      </c>
      <c r="K100" s="36"/>
      <c r="L100" s="37" t="e">
        <f>H100-(H100*((MATCH(Table21215[[#This Row],[Evaluators Response (SELECT)]],Table21215[[#This Row],[1]:[11]],0)-1)/(COUNTA(Table21215[[#This Row],[1]:[11]])-COUNTBLANK(Table21215[[#This Row],[1]:[11]])-1)))</f>
        <v>#N/A</v>
      </c>
      <c r="M100" s="38"/>
      <c r="N100" s="29" t="s">
        <v>828</v>
      </c>
      <c r="O100" s="29" t="s">
        <v>829</v>
      </c>
      <c r="P100" s="29" t="s">
        <v>830</v>
      </c>
      <c r="Q100" s="29" t="str" cm="1">
        <f t="array" ref="Q100">IFERROR(INDEX(_xlfn.UNIQUE(TRIM(_xlfn.TEXTSPLIT(Table21215[[#This Row],[Selection Options]:[Selection Options]],","))),,Q$11),"")</f>
        <v xml:space="preserve">
 0%: Not currently supported</v>
      </c>
      <c r="R100" s="29" t="str" cm="1">
        <f t="array" ref="R100">IFERROR(INDEX(_xlfn.UNIQUE(TRIM(_xlfn.TEXTSPLIT(Table21215[[#This Row],[Selection Options]:[Selection Options]],","))),,R$11),"")</f>
        <v/>
      </c>
      <c r="S100" s="29" t="str" cm="1">
        <f t="array" ref="S100">IFERROR(INDEX(_xlfn.UNIQUE(TRIM(_xlfn.TEXTSPLIT(Table21215[[#This Row],[Selection Options]:[Selection Options]],","))),,S$11),"")</f>
        <v/>
      </c>
      <c r="T100" s="29" t="str" cm="1">
        <f t="array" ref="T100">IFERROR(INDEX(_xlfn.UNIQUE(TRIM(_xlfn.TEXTSPLIT(Table21215[[#This Row],[Selection Options]:[Selection Options]],","))),,T$11),"")</f>
        <v/>
      </c>
      <c r="U100" s="29" t="str" cm="1">
        <f t="array" ref="U100">IFERROR(INDEX(_xlfn.UNIQUE(TRIM(_xlfn.TEXTSPLIT(Table21215[[#This Row],[Selection Options]:[Selection Options]],","))),,U$11),"")</f>
        <v/>
      </c>
      <c r="V100" s="29" t="str" cm="1">
        <f t="array" ref="V100">IFERROR(INDEX(_xlfn.UNIQUE(TRIM(_xlfn.TEXTSPLIT(Table21215[[#This Row],[Selection Options]:[Selection Options]],","))),,V$11),"")</f>
        <v/>
      </c>
      <c r="W100" s="29" t="str" cm="1">
        <f t="array" ref="W100">IFERROR(INDEX(_xlfn.UNIQUE(TRIM(_xlfn.TEXTSPLIT(Table21215[[#This Row],[Selection Options]:[Selection Options]],","))),,W$11),"")</f>
        <v/>
      </c>
      <c r="X100" s="29" t="str" cm="1">
        <f t="array" ref="X100">IFERROR(INDEX(_xlfn.UNIQUE(TRIM(_xlfn.TEXTSPLIT(Table21215[[#This Row],[Selection Options]:[Selection Options]],","))),,X$11),"")</f>
        <v/>
      </c>
      <c r="Y100" s="30" cm="1">
        <f t="array" ref="Y100">IF(Table21215[[#This Row],[1]]="","",Table21215[[#This Row],[Weight]:[Weight]]-(Table21215[[#This Row],[Weight]:[Weight]]*((_xlfn.XMATCH(Table21215[[#This Row],[1]],Table21215[[#This Row],[1]:[11]],0))-1)/(COUNTA(Table21215[[#This Row],[1]:[11]])-COUNTBLANK(Table21215[[#This Row],[1]:[11]])-1)))</f>
        <v>3.9714058776806989E-3</v>
      </c>
      <c r="Z100" s="30" cm="1">
        <f t="array" ref="Z100">IF(Table21215[[#This Row],[2]]="","",Table21215[[#This Row],[Weight]:[Weight]]-(Table21215[[#This Row],[Weight]:[Weight]]*((_xlfn.XMATCH(Table21215[[#This Row],[2]],Table21215[[#This Row],[1]:[11]],0))-1)/(COUNTA(Table21215[[#This Row],[1]:[11]])-COUNTBLANK(Table21215[[#This Row],[1]:[11]])-1)))</f>
        <v>2.6476039184537992E-3</v>
      </c>
      <c r="AA100" s="30" cm="1">
        <f t="array" ref="AA100">IF(Table21215[[#This Row],[3]]="","",Table21215[[#This Row],[Weight]:[Weight]]-(Table21215[[#This Row],[Weight]:[Weight]]*((_xlfn.XMATCH(Table21215[[#This Row],[3]],Table21215[[#This Row],[1]:[11]],0))-1)/(COUNTA(Table21215[[#This Row],[1]:[11]])-COUNTBLANK(Table21215[[#This Row],[1]:[11]])-1)))</f>
        <v>1.3238019592268996E-3</v>
      </c>
      <c r="AB100" s="30" cm="1">
        <f t="array" ref="AB100">IF(Table21215[[#This Row],[4]]="","",Table21215[[#This Row],[Weight]:[Weight]]-(Table21215[[#This Row],[Weight]:[Weight]]*((_xlfn.XMATCH(Table21215[[#This Row],[4]],Table21215[[#This Row],[1]:[11]],0))-1)/(COUNTA(Table21215[[#This Row],[1]:[11]])-COUNTBLANK(Table21215[[#This Row],[1]:[11]])-1)))</f>
        <v>0</v>
      </c>
      <c r="AC100" s="30" t="str" cm="1">
        <f t="array" ref="AC100">IF(Table21215[[#This Row],[5]]="","",Table21215[[#This Row],[Weight]:[Weight]]-(Table21215[[#This Row],[Weight]:[Weight]]*((_xlfn.XMATCH(Table21215[[#This Row],[5]],Table21215[[#This Row],[1]:[11]],0))-1)/(COUNTA(Table21215[[#This Row],[1]:[11]])-COUNTBLANK(Table21215[[#This Row],[1]:[11]])-1)))</f>
        <v/>
      </c>
      <c r="AD100" s="30" t="str" cm="1">
        <f t="array" ref="AD100">IF(Table21215[[#This Row],[6]]="","",Table21215[[#This Row],[Weight]:[Weight]]-(Table21215[[#This Row],[Weight]:[Weight]]*((_xlfn.XMATCH(Table21215[[#This Row],[6]],Table21215[[#This Row],[1]:[11]],0))-1)/(COUNTA(Table21215[[#This Row],[1]:[11]])-COUNTBLANK(Table21215[[#This Row],[1]:[11]])-1)))</f>
        <v/>
      </c>
      <c r="AE100" s="30" t="str" cm="1">
        <f t="array" ref="AE100">IF(Table21215[[#This Row],[7]]="","",Table21215[[#This Row],[Weight]:[Weight]]-(Table21215[[#This Row],[Weight]:[Weight]]*((_xlfn.XMATCH(Table21215[[#This Row],[7]],Table21215[[#This Row],[1]:[11]],0))-1)/(COUNTA(Table21215[[#This Row],[1]:[11]])-COUNTBLANK(Table21215[[#This Row],[1]:[11]])-1)))</f>
        <v/>
      </c>
      <c r="AF100" s="30" t="str" cm="1">
        <f t="array" ref="AF100">IF(Table21215[[#This Row],[8]]="","",Table21215[[#This Row],[Weight]:[Weight]]-(Table21215[[#This Row],[Weight]:[Weight]]*((_xlfn.XMATCH(Table21215[[#This Row],[8]],Table21215[[#This Row],[1]:[11]],0))-1)/(COUNTA(Table21215[[#This Row],[1]:[11]])-COUNTBLANK(Table21215[[#This Row],[1]:[11]])-1)))</f>
        <v/>
      </c>
      <c r="AG100" s="30" t="str" cm="1">
        <f t="array" ref="AG100">IF(Table21215[[#This Row],[9]]="","",Table21215[[#This Row],[Weight]:[Weight]]-(Table21215[[#This Row],[Weight]:[Weight]]*((_xlfn.XMATCH(Table21215[[#This Row],[9]],Table21215[[#This Row],[1]:[11]],0))-1)/(COUNTA(Table21215[[#This Row],[1]:[11]])-COUNTBLANK(Table21215[[#This Row],[1]:[11]])-1)))</f>
        <v/>
      </c>
      <c r="AH100" s="30" t="str" cm="1">
        <f t="array" ref="AH100">IF(Table21215[[#This Row],[10]]="","",Table21215[[#This Row],[Weight]:[Weight]]-(Table21215[[#This Row],[Weight]:[Weight]]*((_xlfn.XMATCH(Table21215[[#This Row],[10]],Table21215[[#This Row],[1]:[11]],0))-1)/(COUNTA(Table21215[[#This Row],[1]:[11]])-COUNTBLANK(Table21215[[#This Row],[1]:[11]])-1)))</f>
        <v/>
      </c>
      <c r="AI100" s="30" t="str" cm="1">
        <f t="array" ref="AI100">IF(Table21215[[#This Row],[11]]="","",Table21215[[#This Row],[Weight]:[Weight]]-(Table21215[[#This Row],[Weight]:[Weight]]*((_xlfn.XMATCH(Table21215[[#This Row],[11]],Table21215[[#This Row],[1]:[11]],0))-1)/(COUNTA(Table21215[[#This Row],[1]:[11]])-COUNTBLANK(Table21215[[#This Row],[1]:[11]])-1)))</f>
        <v/>
      </c>
    </row>
    <row r="101" spans="1:35" ht="108" x14ac:dyDescent="0.2">
      <c r="A101" s="20">
        <v>89</v>
      </c>
      <c r="B101" s="165" t="s">
        <v>918</v>
      </c>
      <c r="C101" s="21" t="s">
        <v>826</v>
      </c>
      <c r="D101" s="38"/>
      <c r="E101" s="38"/>
      <c r="F101" s="159" t="s">
        <v>188</v>
      </c>
      <c r="G101" s="160" cm="1">
        <f t="array" ref="G101">_xlfn.IFS(F101="","",F101="No interest",0,F101="Nice to have",1,F101="Useful",2,F101="Important",3,F101="Very important",4,F101="Critical",5,F101="Show stopper",6)</f>
        <v>5</v>
      </c>
      <c r="H101" s="161">
        <f t="shared" si="3"/>
        <v>3.9714058776806989E-3</v>
      </c>
      <c r="I101" s="157" t="s">
        <v>827</v>
      </c>
      <c r="J101" s="35" t="str" cm="1">
        <f t="array" ref="J101">_xlfn.TEXTJOIN(","&amp;CHAR(10),,TEXT(Table21215[[#This Row],[12]:[22]],"0,00%"))</f>
        <v>0,00%,
0,00%,
0,00%,
0,00%</v>
      </c>
      <c r="K101" s="36"/>
      <c r="L101" s="37" t="e">
        <f>H101-(H101*((MATCH(Table21215[[#This Row],[Evaluators Response (SELECT)]],Table21215[[#This Row],[1]:[11]],0)-1)/(COUNTA(Table21215[[#This Row],[1]:[11]])-COUNTBLANK(Table21215[[#This Row],[1]:[11]])-1)))</f>
        <v>#N/A</v>
      </c>
      <c r="M101" s="38"/>
      <c r="N101" s="29" t="s">
        <v>828</v>
      </c>
      <c r="O101" s="29" t="s">
        <v>829</v>
      </c>
      <c r="P101" s="29" t="s">
        <v>830</v>
      </c>
      <c r="Q101" s="29" t="str" cm="1">
        <f t="array" ref="Q101">IFERROR(INDEX(_xlfn.UNIQUE(TRIM(_xlfn.TEXTSPLIT(Table21215[[#This Row],[Selection Options]:[Selection Options]],","))),,Q$11),"")</f>
        <v xml:space="preserve">
 0%: Not currently supported</v>
      </c>
      <c r="R101" s="29" t="str" cm="1">
        <f t="array" ref="R101">IFERROR(INDEX(_xlfn.UNIQUE(TRIM(_xlfn.TEXTSPLIT(Table21215[[#This Row],[Selection Options]:[Selection Options]],","))),,R$11),"")</f>
        <v/>
      </c>
      <c r="S101" s="29" t="str" cm="1">
        <f t="array" ref="S101">IFERROR(INDEX(_xlfn.UNIQUE(TRIM(_xlfn.TEXTSPLIT(Table21215[[#This Row],[Selection Options]:[Selection Options]],","))),,S$11),"")</f>
        <v/>
      </c>
      <c r="T101" s="29" t="str" cm="1">
        <f t="array" ref="T101">IFERROR(INDEX(_xlfn.UNIQUE(TRIM(_xlfn.TEXTSPLIT(Table21215[[#This Row],[Selection Options]:[Selection Options]],","))),,T$11),"")</f>
        <v/>
      </c>
      <c r="U101" s="29" t="str" cm="1">
        <f t="array" ref="U101">IFERROR(INDEX(_xlfn.UNIQUE(TRIM(_xlfn.TEXTSPLIT(Table21215[[#This Row],[Selection Options]:[Selection Options]],","))),,U$11),"")</f>
        <v/>
      </c>
      <c r="V101" s="29" t="str" cm="1">
        <f t="array" ref="V101">IFERROR(INDEX(_xlfn.UNIQUE(TRIM(_xlfn.TEXTSPLIT(Table21215[[#This Row],[Selection Options]:[Selection Options]],","))),,V$11),"")</f>
        <v/>
      </c>
      <c r="W101" s="29" t="str" cm="1">
        <f t="array" ref="W101">IFERROR(INDEX(_xlfn.UNIQUE(TRIM(_xlfn.TEXTSPLIT(Table21215[[#This Row],[Selection Options]:[Selection Options]],","))),,W$11),"")</f>
        <v/>
      </c>
      <c r="X101" s="29" t="str" cm="1">
        <f t="array" ref="X101">IFERROR(INDEX(_xlfn.UNIQUE(TRIM(_xlfn.TEXTSPLIT(Table21215[[#This Row],[Selection Options]:[Selection Options]],","))),,X$11),"")</f>
        <v/>
      </c>
      <c r="Y101" s="30" cm="1">
        <f t="array" ref="Y101">IF(Table21215[[#This Row],[1]]="","",Table21215[[#This Row],[Weight]:[Weight]]-(Table21215[[#This Row],[Weight]:[Weight]]*((_xlfn.XMATCH(Table21215[[#This Row],[1]],Table21215[[#This Row],[1]:[11]],0))-1)/(COUNTA(Table21215[[#This Row],[1]:[11]])-COUNTBLANK(Table21215[[#This Row],[1]:[11]])-1)))</f>
        <v>3.9714058776806989E-3</v>
      </c>
      <c r="Z101" s="30" cm="1">
        <f t="array" ref="Z101">IF(Table21215[[#This Row],[2]]="","",Table21215[[#This Row],[Weight]:[Weight]]-(Table21215[[#This Row],[Weight]:[Weight]]*((_xlfn.XMATCH(Table21215[[#This Row],[2]],Table21215[[#This Row],[1]:[11]],0))-1)/(COUNTA(Table21215[[#This Row],[1]:[11]])-COUNTBLANK(Table21215[[#This Row],[1]:[11]])-1)))</f>
        <v>2.6476039184537992E-3</v>
      </c>
      <c r="AA101" s="30" cm="1">
        <f t="array" ref="AA101">IF(Table21215[[#This Row],[3]]="","",Table21215[[#This Row],[Weight]:[Weight]]-(Table21215[[#This Row],[Weight]:[Weight]]*((_xlfn.XMATCH(Table21215[[#This Row],[3]],Table21215[[#This Row],[1]:[11]],0))-1)/(COUNTA(Table21215[[#This Row],[1]:[11]])-COUNTBLANK(Table21215[[#This Row],[1]:[11]])-1)))</f>
        <v>1.3238019592268996E-3</v>
      </c>
      <c r="AB101" s="30" cm="1">
        <f t="array" ref="AB101">IF(Table21215[[#This Row],[4]]="","",Table21215[[#This Row],[Weight]:[Weight]]-(Table21215[[#This Row],[Weight]:[Weight]]*((_xlfn.XMATCH(Table21215[[#This Row],[4]],Table21215[[#This Row],[1]:[11]],0))-1)/(COUNTA(Table21215[[#This Row],[1]:[11]])-COUNTBLANK(Table21215[[#This Row],[1]:[11]])-1)))</f>
        <v>0</v>
      </c>
      <c r="AC101" s="30" t="str" cm="1">
        <f t="array" ref="AC101">IF(Table21215[[#This Row],[5]]="","",Table21215[[#This Row],[Weight]:[Weight]]-(Table21215[[#This Row],[Weight]:[Weight]]*((_xlfn.XMATCH(Table21215[[#This Row],[5]],Table21215[[#This Row],[1]:[11]],0))-1)/(COUNTA(Table21215[[#This Row],[1]:[11]])-COUNTBLANK(Table21215[[#This Row],[1]:[11]])-1)))</f>
        <v/>
      </c>
      <c r="AD101" s="30" t="str" cm="1">
        <f t="array" ref="AD101">IF(Table21215[[#This Row],[6]]="","",Table21215[[#This Row],[Weight]:[Weight]]-(Table21215[[#This Row],[Weight]:[Weight]]*((_xlfn.XMATCH(Table21215[[#This Row],[6]],Table21215[[#This Row],[1]:[11]],0))-1)/(COUNTA(Table21215[[#This Row],[1]:[11]])-COUNTBLANK(Table21215[[#This Row],[1]:[11]])-1)))</f>
        <v/>
      </c>
      <c r="AE101" s="30" t="str" cm="1">
        <f t="array" ref="AE101">IF(Table21215[[#This Row],[7]]="","",Table21215[[#This Row],[Weight]:[Weight]]-(Table21215[[#This Row],[Weight]:[Weight]]*((_xlfn.XMATCH(Table21215[[#This Row],[7]],Table21215[[#This Row],[1]:[11]],0))-1)/(COUNTA(Table21215[[#This Row],[1]:[11]])-COUNTBLANK(Table21215[[#This Row],[1]:[11]])-1)))</f>
        <v/>
      </c>
      <c r="AF101" s="30" t="str" cm="1">
        <f t="array" ref="AF101">IF(Table21215[[#This Row],[8]]="","",Table21215[[#This Row],[Weight]:[Weight]]-(Table21215[[#This Row],[Weight]:[Weight]]*((_xlfn.XMATCH(Table21215[[#This Row],[8]],Table21215[[#This Row],[1]:[11]],0))-1)/(COUNTA(Table21215[[#This Row],[1]:[11]])-COUNTBLANK(Table21215[[#This Row],[1]:[11]])-1)))</f>
        <v/>
      </c>
      <c r="AG101" s="30" t="str" cm="1">
        <f t="array" ref="AG101">IF(Table21215[[#This Row],[9]]="","",Table21215[[#This Row],[Weight]:[Weight]]-(Table21215[[#This Row],[Weight]:[Weight]]*((_xlfn.XMATCH(Table21215[[#This Row],[9]],Table21215[[#This Row],[1]:[11]],0))-1)/(COUNTA(Table21215[[#This Row],[1]:[11]])-COUNTBLANK(Table21215[[#This Row],[1]:[11]])-1)))</f>
        <v/>
      </c>
      <c r="AH101" s="30" t="str" cm="1">
        <f t="array" ref="AH101">IF(Table21215[[#This Row],[10]]="","",Table21215[[#This Row],[Weight]:[Weight]]-(Table21215[[#This Row],[Weight]:[Weight]]*((_xlfn.XMATCH(Table21215[[#This Row],[10]],Table21215[[#This Row],[1]:[11]],0))-1)/(COUNTA(Table21215[[#This Row],[1]:[11]])-COUNTBLANK(Table21215[[#This Row],[1]:[11]])-1)))</f>
        <v/>
      </c>
      <c r="AI101" s="30" t="str" cm="1">
        <f t="array" ref="AI101">IF(Table21215[[#This Row],[11]]="","",Table21215[[#This Row],[Weight]:[Weight]]-(Table21215[[#This Row],[Weight]:[Weight]]*((_xlfn.XMATCH(Table21215[[#This Row],[11]],Table21215[[#This Row],[1]:[11]],0))-1)/(COUNTA(Table21215[[#This Row],[1]:[11]])-COUNTBLANK(Table21215[[#This Row],[1]:[11]])-1)))</f>
        <v/>
      </c>
    </row>
    <row r="102" spans="1:35" ht="108" x14ac:dyDescent="0.2">
      <c r="A102" s="20">
        <v>90</v>
      </c>
      <c r="B102" s="165" t="s">
        <v>919</v>
      </c>
      <c r="C102" s="21" t="s">
        <v>826</v>
      </c>
      <c r="D102" s="38"/>
      <c r="E102" s="38"/>
      <c r="F102" s="159" t="s">
        <v>188</v>
      </c>
      <c r="G102" s="160" cm="1">
        <f t="array" ref="G102">_xlfn.IFS(F102="","",F102="No interest",0,F102="Nice to have",1,F102="Useful",2,F102="Important",3,F102="Very important",4,F102="Critical",5,F102="Show stopper",6)</f>
        <v>5</v>
      </c>
      <c r="H102" s="161">
        <f t="shared" si="3"/>
        <v>3.9714058776806989E-3</v>
      </c>
      <c r="I102" s="157" t="s">
        <v>827</v>
      </c>
      <c r="J102" s="35" t="str" cm="1">
        <f t="array" ref="J102">_xlfn.TEXTJOIN(","&amp;CHAR(10),,TEXT(Table21215[[#This Row],[12]:[22]],"0,00%"))</f>
        <v>0,00%,
0,00%,
0,00%,
0,00%</v>
      </c>
      <c r="K102" s="36"/>
      <c r="L102" s="37" t="e">
        <f>H102-(H102*((MATCH(Table21215[[#This Row],[Evaluators Response (SELECT)]],Table21215[[#This Row],[1]:[11]],0)-1)/(COUNTA(Table21215[[#This Row],[1]:[11]])-COUNTBLANK(Table21215[[#This Row],[1]:[11]])-1)))</f>
        <v>#N/A</v>
      </c>
      <c r="M102" s="38"/>
      <c r="N102" s="29" t="s">
        <v>828</v>
      </c>
      <c r="O102" s="29" t="s">
        <v>829</v>
      </c>
      <c r="P102" s="29" t="s">
        <v>830</v>
      </c>
      <c r="Q102" s="29" t="str" cm="1">
        <f t="array" ref="Q102">IFERROR(INDEX(_xlfn.UNIQUE(TRIM(_xlfn.TEXTSPLIT(Table21215[[#This Row],[Selection Options]:[Selection Options]],","))),,Q$11),"")</f>
        <v xml:space="preserve">
 0%: Not currently supported</v>
      </c>
      <c r="R102" s="29" t="str" cm="1">
        <f t="array" ref="R102">IFERROR(INDEX(_xlfn.UNIQUE(TRIM(_xlfn.TEXTSPLIT(Table21215[[#This Row],[Selection Options]:[Selection Options]],","))),,R$11),"")</f>
        <v/>
      </c>
      <c r="S102" s="29" t="str" cm="1">
        <f t="array" ref="S102">IFERROR(INDEX(_xlfn.UNIQUE(TRIM(_xlfn.TEXTSPLIT(Table21215[[#This Row],[Selection Options]:[Selection Options]],","))),,S$11),"")</f>
        <v/>
      </c>
      <c r="T102" s="29" t="str" cm="1">
        <f t="array" ref="T102">IFERROR(INDEX(_xlfn.UNIQUE(TRIM(_xlfn.TEXTSPLIT(Table21215[[#This Row],[Selection Options]:[Selection Options]],","))),,T$11),"")</f>
        <v/>
      </c>
      <c r="U102" s="29" t="str" cm="1">
        <f t="array" ref="U102">IFERROR(INDEX(_xlfn.UNIQUE(TRIM(_xlfn.TEXTSPLIT(Table21215[[#This Row],[Selection Options]:[Selection Options]],","))),,U$11),"")</f>
        <v/>
      </c>
      <c r="V102" s="29" t="str" cm="1">
        <f t="array" ref="V102">IFERROR(INDEX(_xlfn.UNIQUE(TRIM(_xlfn.TEXTSPLIT(Table21215[[#This Row],[Selection Options]:[Selection Options]],","))),,V$11),"")</f>
        <v/>
      </c>
      <c r="W102" s="29" t="str" cm="1">
        <f t="array" ref="W102">IFERROR(INDEX(_xlfn.UNIQUE(TRIM(_xlfn.TEXTSPLIT(Table21215[[#This Row],[Selection Options]:[Selection Options]],","))),,W$11),"")</f>
        <v/>
      </c>
      <c r="X102" s="29" t="str" cm="1">
        <f t="array" ref="X102">IFERROR(INDEX(_xlfn.UNIQUE(TRIM(_xlfn.TEXTSPLIT(Table21215[[#This Row],[Selection Options]:[Selection Options]],","))),,X$11),"")</f>
        <v/>
      </c>
      <c r="Y102" s="30" cm="1">
        <f t="array" ref="Y102">IF(Table21215[[#This Row],[1]]="","",Table21215[[#This Row],[Weight]:[Weight]]-(Table21215[[#This Row],[Weight]:[Weight]]*((_xlfn.XMATCH(Table21215[[#This Row],[1]],Table21215[[#This Row],[1]:[11]],0))-1)/(COUNTA(Table21215[[#This Row],[1]:[11]])-COUNTBLANK(Table21215[[#This Row],[1]:[11]])-1)))</f>
        <v>3.9714058776806989E-3</v>
      </c>
      <c r="Z102" s="30" cm="1">
        <f t="array" ref="Z102">IF(Table21215[[#This Row],[2]]="","",Table21215[[#This Row],[Weight]:[Weight]]-(Table21215[[#This Row],[Weight]:[Weight]]*((_xlfn.XMATCH(Table21215[[#This Row],[2]],Table21215[[#This Row],[1]:[11]],0))-1)/(COUNTA(Table21215[[#This Row],[1]:[11]])-COUNTBLANK(Table21215[[#This Row],[1]:[11]])-1)))</f>
        <v>2.6476039184537992E-3</v>
      </c>
      <c r="AA102" s="30" cm="1">
        <f t="array" ref="AA102">IF(Table21215[[#This Row],[3]]="","",Table21215[[#This Row],[Weight]:[Weight]]-(Table21215[[#This Row],[Weight]:[Weight]]*((_xlfn.XMATCH(Table21215[[#This Row],[3]],Table21215[[#This Row],[1]:[11]],0))-1)/(COUNTA(Table21215[[#This Row],[1]:[11]])-COUNTBLANK(Table21215[[#This Row],[1]:[11]])-1)))</f>
        <v>1.3238019592268996E-3</v>
      </c>
      <c r="AB102" s="30" cm="1">
        <f t="array" ref="AB102">IF(Table21215[[#This Row],[4]]="","",Table21215[[#This Row],[Weight]:[Weight]]-(Table21215[[#This Row],[Weight]:[Weight]]*((_xlfn.XMATCH(Table21215[[#This Row],[4]],Table21215[[#This Row],[1]:[11]],0))-1)/(COUNTA(Table21215[[#This Row],[1]:[11]])-COUNTBLANK(Table21215[[#This Row],[1]:[11]])-1)))</f>
        <v>0</v>
      </c>
      <c r="AC102" s="30" t="str" cm="1">
        <f t="array" ref="AC102">IF(Table21215[[#This Row],[5]]="","",Table21215[[#This Row],[Weight]:[Weight]]-(Table21215[[#This Row],[Weight]:[Weight]]*((_xlfn.XMATCH(Table21215[[#This Row],[5]],Table21215[[#This Row],[1]:[11]],0))-1)/(COUNTA(Table21215[[#This Row],[1]:[11]])-COUNTBLANK(Table21215[[#This Row],[1]:[11]])-1)))</f>
        <v/>
      </c>
      <c r="AD102" s="30" t="str" cm="1">
        <f t="array" ref="AD102">IF(Table21215[[#This Row],[6]]="","",Table21215[[#This Row],[Weight]:[Weight]]-(Table21215[[#This Row],[Weight]:[Weight]]*((_xlfn.XMATCH(Table21215[[#This Row],[6]],Table21215[[#This Row],[1]:[11]],0))-1)/(COUNTA(Table21215[[#This Row],[1]:[11]])-COUNTBLANK(Table21215[[#This Row],[1]:[11]])-1)))</f>
        <v/>
      </c>
      <c r="AE102" s="30" t="str" cm="1">
        <f t="array" ref="AE102">IF(Table21215[[#This Row],[7]]="","",Table21215[[#This Row],[Weight]:[Weight]]-(Table21215[[#This Row],[Weight]:[Weight]]*((_xlfn.XMATCH(Table21215[[#This Row],[7]],Table21215[[#This Row],[1]:[11]],0))-1)/(COUNTA(Table21215[[#This Row],[1]:[11]])-COUNTBLANK(Table21215[[#This Row],[1]:[11]])-1)))</f>
        <v/>
      </c>
      <c r="AF102" s="30" t="str" cm="1">
        <f t="array" ref="AF102">IF(Table21215[[#This Row],[8]]="","",Table21215[[#This Row],[Weight]:[Weight]]-(Table21215[[#This Row],[Weight]:[Weight]]*((_xlfn.XMATCH(Table21215[[#This Row],[8]],Table21215[[#This Row],[1]:[11]],0))-1)/(COUNTA(Table21215[[#This Row],[1]:[11]])-COUNTBLANK(Table21215[[#This Row],[1]:[11]])-1)))</f>
        <v/>
      </c>
      <c r="AG102" s="30" t="str" cm="1">
        <f t="array" ref="AG102">IF(Table21215[[#This Row],[9]]="","",Table21215[[#This Row],[Weight]:[Weight]]-(Table21215[[#This Row],[Weight]:[Weight]]*((_xlfn.XMATCH(Table21215[[#This Row],[9]],Table21215[[#This Row],[1]:[11]],0))-1)/(COUNTA(Table21215[[#This Row],[1]:[11]])-COUNTBLANK(Table21215[[#This Row],[1]:[11]])-1)))</f>
        <v/>
      </c>
      <c r="AH102" s="30" t="str" cm="1">
        <f t="array" ref="AH102">IF(Table21215[[#This Row],[10]]="","",Table21215[[#This Row],[Weight]:[Weight]]-(Table21215[[#This Row],[Weight]:[Weight]]*((_xlfn.XMATCH(Table21215[[#This Row],[10]],Table21215[[#This Row],[1]:[11]],0))-1)/(COUNTA(Table21215[[#This Row],[1]:[11]])-COUNTBLANK(Table21215[[#This Row],[1]:[11]])-1)))</f>
        <v/>
      </c>
      <c r="AI102" s="30" t="str" cm="1">
        <f t="array" ref="AI102">IF(Table21215[[#This Row],[11]]="","",Table21215[[#This Row],[Weight]:[Weight]]-(Table21215[[#This Row],[Weight]:[Weight]]*((_xlfn.XMATCH(Table21215[[#This Row],[11]],Table21215[[#This Row],[1]:[11]],0))-1)/(COUNTA(Table21215[[#This Row],[1]:[11]])-COUNTBLANK(Table21215[[#This Row],[1]:[11]])-1)))</f>
        <v/>
      </c>
    </row>
    <row r="103" spans="1:35" ht="108" x14ac:dyDescent="0.2">
      <c r="A103" s="20">
        <v>91</v>
      </c>
      <c r="B103" s="165" t="s">
        <v>920</v>
      </c>
      <c r="C103" s="21" t="s">
        <v>826</v>
      </c>
      <c r="D103" s="38"/>
      <c r="E103" s="38"/>
      <c r="F103" s="159" t="s">
        <v>188</v>
      </c>
      <c r="G103" s="160" cm="1">
        <f t="array" ref="G103">_xlfn.IFS(F103="","",F103="No interest",0,F103="Nice to have",1,F103="Useful",2,F103="Important",3,F103="Very important",4,F103="Critical",5,F103="Show stopper",6)</f>
        <v>5</v>
      </c>
      <c r="H103" s="161">
        <f t="shared" si="3"/>
        <v>3.9714058776806989E-3</v>
      </c>
      <c r="I103" s="157" t="s">
        <v>827</v>
      </c>
      <c r="J103" s="35" t="str" cm="1">
        <f t="array" ref="J103">_xlfn.TEXTJOIN(","&amp;CHAR(10),,TEXT(Table21215[[#This Row],[12]:[22]],"0,00%"))</f>
        <v>0,00%,
0,00%,
0,00%,
0,00%</v>
      </c>
      <c r="K103" s="36"/>
      <c r="L103" s="37" t="e">
        <f>H103-(H103*((MATCH(Table21215[[#This Row],[Evaluators Response (SELECT)]],Table21215[[#This Row],[1]:[11]],0)-1)/(COUNTA(Table21215[[#This Row],[1]:[11]])-COUNTBLANK(Table21215[[#This Row],[1]:[11]])-1)))</f>
        <v>#N/A</v>
      </c>
      <c r="M103" s="38"/>
      <c r="N103" s="29" t="s">
        <v>828</v>
      </c>
      <c r="O103" s="29" t="s">
        <v>829</v>
      </c>
      <c r="P103" s="29" t="s">
        <v>830</v>
      </c>
      <c r="Q103" s="29" t="str" cm="1">
        <f t="array" ref="Q103">IFERROR(INDEX(_xlfn.UNIQUE(TRIM(_xlfn.TEXTSPLIT(Table21215[[#This Row],[Selection Options]:[Selection Options]],","))),,Q$11),"")</f>
        <v xml:space="preserve">
 0%: Not currently supported</v>
      </c>
      <c r="R103" s="29" t="str" cm="1">
        <f t="array" ref="R103">IFERROR(INDEX(_xlfn.UNIQUE(TRIM(_xlfn.TEXTSPLIT(Table21215[[#This Row],[Selection Options]:[Selection Options]],","))),,R$11),"")</f>
        <v/>
      </c>
      <c r="S103" s="29" t="str" cm="1">
        <f t="array" ref="S103">IFERROR(INDEX(_xlfn.UNIQUE(TRIM(_xlfn.TEXTSPLIT(Table21215[[#This Row],[Selection Options]:[Selection Options]],","))),,S$11),"")</f>
        <v/>
      </c>
      <c r="T103" s="29" t="str" cm="1">
        <f t="array" ref="T103">IFERROR(INDEX(_xlfn.UNIQUE(TRIM(_xlfn.TEXTSPLIT(Table21215[[#This Row],[Selection Options]:[Selection Options]],","))),,T$11),"")</f>
        <v/>
      </c>
      <c r="U103" s="29" t="str" cm="1">
        <f t="array" ref="U103">IFERROR(INDEX(_xlfn.UNIQUE(TRIM(_xlfn.TEXTSPLIT(Table21215[[#This Row],[Selection Options]:[Selection Options]],","))),,U$11),"")</f>
        <v/>
      </c>
      <c r="V103" s="29" t="str" cm="1">
        <f t="array" ref="V103">IFERROR(INDEX(_xlfn.UNIQUE(TRIM(_xlfn.TEXTSPLIT(Table21215[[#This Row],[Selection Options]:[Selection Options]],","))),,V$11),"")</f>
        <v/>
      </c>
      <c r="W103" s="29" t="str" cm="1">
        <f t="array" ref="W103">IFERROR(INDEX(_xlfn.UNIQUE(TRIM(_xlfn.TEXTSPLIT(Table21215[[#This Row],[Selection Options]:[Selection Options]],","))),,W$11),"")</f>
        <v/>
      </c>
      <c r="X103" s="29" t="str" cm="1">
        <f t="array" ref="X103">IFERROR(INDEX(_xlfn.UNIQUE(TRIM(_xlfn.TEXTSPLIT(Table21215[[#This Row],[Selection Options]:[Selection Options]],","))),,X$11),"")</f>
        <v/>
      </c>
      <c r="Y103" s="30" cm="1">
        <f t="array" ref="Y103">IF(Table21215[[#This Row],[1]]="","",Table21215[[#This Row],[Weight]:[Weight]]-(Table21215[[#This Row],[Weight]:[Weight]]*((_xlfn.XMATCH(Table21215[[#This Row],[1]],Table21215[[#This Row],[1]:[11]],0))-1)/(COUNTA(Table21215[[#This Row],[1]:[11]])-COUNTBLANK(Table21215[[#This Row],[1]:[11]])-1)))</f>
        <v>3.9714058776806989E-3</v>
      </c>
      <c r="Z103" s="30" cm="1">
        <f t="array" ref="Z103">IF(Table21215[[#This Row],[2]]="","",Table21215[[#This Row],[Weight]:[Weight]]-(Table21215[[#This Row],[Weight]:[Weight]]*((_xlfn.XMATCH(Table21215[[#This Row],[2]],Table21215[[#This Row],[1]:[11]],0))-1)/(COUNTA(Table21215[[#This Row],[1]:[11]])-COUNTBLANK(Table21215[[#This Row],[1]:[11]])-1)))</f>
        <v>2.6476039184537992E-3</v>
      </c>
      <c r="AA103" s="30" cm="1">
        <f t="array" ref="AA103">IF(Table21215[[#This Row],[3]]="","",Table21215[[#This Row],[Weight]:[Weight]]-(Table21215[[#This Row],[Weight]:[Weight]]*((_xlfn.XMATCH(Table21215[[#This Row],[3]],Table21215[[#This Row],[1]:[11]],0))-1)/(COUNTA(Table21215[[#This Row],[1]:[11]])-COUNTBLANK(Table21215[[#This Row],[1]:[11]])-1)))</f>
        <v>1.3238019592268996E-3</v>
      </c>
      <c r="AB103" s="30" cm="1">
        <f t="array" ref="AB103">IF(Table21215[[#This Row],[4]]="","",Table21215[[#This Row],[Weight]:[Weight]]-(Table21215[[#This Row],[Weight]:[Weight]]*((_xlfn.XMATCH(Table21215[[#This Row],[4]],Table21215[[#This Row],[1]:[11]],0))-1)/(COUNTA(Table21215[[#This Row],[1]:[11]])-COUNTBLANK(Table21215[[#This Row],[1]:[11]])-1)))</f>
        <v>0</v>
      </c>
      <c r="AC103" s="30" t="str" cm="1">
        <f t="array" ref="AC103">IF(Table21215[[#This Row],[5]]="","",Table21215[[#This Row],[Weight]:[Weight]]-(Table21215[[#This Row],[Weight]:[Weight]]*((_xlfn.XMATCH(Table21215[[#This Row],[5]],Table21215[[#This Row],[1]:[11]],0))-1)/(COUNTA(Table21215[[#This Row],[1]:[11]])-COUNTBLANK(Table21215[[#This Row],[1]:[11]])-1)))</f>
        <v/>
      </c>
      <c r="AD103" s="30" t="str" cm="1">
        <f t="array" ref="AD103">IF(Table21215[[#This Row],[6]]="","",Table21215[[#This Row],[Weight]:[Weight]]-(Table21215[[#This Row],[Weight]:[Weight]]*((_xlfn.XMATCH(Table21215[[#This Row],[6]],Table21215[[#This Row],[1]:[11]],0))-1)/(COUNTA(Table21215[[#This Row],[1]:[11]])-COUNTBLANK(Table21215[[#This Row],[1]:[11]])-1)))</f>
        <v/>
      </c>
      <c r="AE103" s="30" t="str" cm="1">
        <f t="array" ref="AE103">IF(Table21215[[#This Row],[7]]="","",Table21215[[#This Row],[Weight]:[Weight]]-(Table21215[[#This Row],[Weight]:[Weight]]*((_xlfn.XMATCH(Table21215[[#This Row],[7]],Table21215[[#This Row],[1]:[11]],0))-1)/(COUNTA(Table21215[[#This Row],[1]:[11]])-COUNTBLANK(Table21215[[#This Row],[1]:[11]])-1)))</f>
        <v/>
      </c>
      <c r="AF103" s="30" t="str" cm="1">
        <f t="array" ref="AF103">IF(Table21215[[#This Row],[8]]="","",Table21215[[#This Row],[Weight]:[Weight]]-(Table21215[[#This Row],[Weight]:[Weight]]*((_xlfn.XMATCH(Table21215[[#This Row],[8]],Table21215[[#This Row],[1]:[11]],0))-1)/(COUNTA(Table21215[[#This Row],[1]:[11]])-COUNTBLANK(Table21215[[#This Row],[1]:[11]])-1)))</f>
        <v/>
      </c>
      <c r="AG103" s="30" t="str" cm="1">
        <f t="array" ref="AG103">IF(Table21215[[#This Row],[9]]="","",Table21215[[#This Row],[Weight]:[Weight]]-(Table21215[[#This Row],[Weight]:[Weight]]*((_xlfn.XMATCH(Table21215[[#This Row],[9]],Table21215[[#This Row],[1]:[11]],0))-1)/(COUNTA(Table21215[[#This Row],[1]:[11]])-COUNTBLANK(Table21215[[#This Row],[1]:[11]])-1)))</f>
        <v/>
      </c>
      <c r="AH103" s="30" t="str" cm="1">
        <f t="array" ref="AH103">IF(Table21215[[#This Row],[10]]="","",Table21215[[#This Row],[Weight]:[Weight]]-(Table21215[[#This Row],[Weight]:[Weight]]*((_xlfn.XMATCH(Table21215[[#This Row],[10]],Table21215[[#This Row],[1]:[11]],0))-1)/(COUNTA(Table21215[[#This Row],[1]:[11]])-COUNTBLANK(Table21215[[#This Row],[1]:[11]])-1)))</f>
        <v/>
      </c>
      <c r="AI103" s="30" t="str" cm="1">
        <f t="array" ref="AI103">IF(Table21215[[#This Row],[11]]="","",Table21215[[#This Row],[Weight]:[Weight]]-(Table21215[[#This Row],[Weight]:[Weight]]*((_xlfn.XMATCH(Table21215[[#This Row],[11]],Table21215[[#This Row],[1]:[11]],0))-1)/(COUNTA(Table21215[[#This Row],[1]:[11]])-COUNTBLANK(Table21215[[#This Row],[1]:[11]])-1)))</f>
        <v/>
      </c>
    </row>
    <row r="104" spans="1:35" ht="108" x14ac:dyDescent="0.2">
      <c r="A104" s="20">
        <v>92</v>
      </c>
      <c r="B104" s="165" t="s">
        <v>921</v>
      </c>
      <c r="C104" s="21" t="s">
        <v>826</v>
      </c>
      <c r="D104" s="38"/>
      <c r="E104" s="38"/>
      <c r="F104" s="159" t="s">
        <v>188</v>
      </c>
      <c r="G104" s="160" cm="1">
        <f t="array" ref="G104">_xlfn.IFS(F104="","",F104="No interest",0,F104="Nice to have",1,F104="Useful",2,F104="Important",3,F104="Very important",4,F104="Critical",5,F104="Show stopper",6)</f>
        <v>5</v>
      </c>
      <c r="H104" s="161">
        <f t="shared" si="3"/>
        <v>3.9714058776806989E-3</v>
      </c>
      <c r="I104" s="157" t="s">
        <v>827</v>
      </c>
      <c r="J104" s="35" t="str" cm="1">
        <f t="array" ref="J104">_xlfn.TEXTJOIN(","&amp;CHAR(10),,TEXT(Table21215[[#This Row],[12]:[22]],"0,00%"))</f>
        <v>0,00%,
0,00%,
0,00%,
0,00%</v>
      </c>
      <c r="K104" s="36"/>
      <c r="L104" s="37" t="e">
        <f>H104-(H104*((MATCH(Table21215[[#This Row],[Evaluators Response (SELECT)]],Table21215[[#This Row],[1]:[11]],0)-1)/(COUNTA(Table21215[[#This Row],[1]:[11]])-COUNTBLANK(Table21215[[#This Row],[1]:[11]])-1)))</f>
        <v>#N/A</v>
      </c>
      <c r="M104" s="38"/>
      <c r="N104" s="29" t="s">
        <v>828</v>
      </c>
      <c r="O104" s="29" t="s">
        <v>829</v>
      </c>
      <c r="P104" s="29" t="s">
        <v>830</v>
      </c>
      <c r="Q104" s="29" t="str" cm="1">
        <f t="array" ref="Q104">IFERROR(INDEX(_xlfn.UNIQUE(TRIM(_xlfn.TEXTSPLIT(Table21215[[#This Row],[Selection Options]:[Selection Options]],","))),,Q$11),"")</f>
        <v xml:space="preserve">
 0%: Not currently supported</v>
      </c>
      <c r="R104" s="29" t="str" cm="1">
        <f t="array" ref="R104">IFERROR(INDEX(_xlfn.UNIQUE(TRIM(_xlfn.TEXTSPLIT(Table21215[[#This Row],[Selection Options]:[Selection Options]],","))),,R$11),"")</f>
        <v/>
      </c>
      <c r="S104" s="29" t="str" cm="1">
        <f t="array" ref="S104">IFERROR(INDEX(_xlfn.UNIQUE(TRIM(_xlfn.TEXTSPLIT(Table21215[[#This Row],[Selection Options]:[Selection Options]],","))),,S$11),"")</f>
        <v/>
      </c>
      <c r="T104" s="29" t="str" cm="1">
        <f t="array" ref="T104">IFERROR(INDEX(_xlfn.UNIQUE(TRIM(_xlfn.TEXTSPLIT(Table21215[[#This Row],[Selection Options]:[Selection Options]],","))),,T$11),"")</f>
        <v/>
      </c>
      <c r="U104" s="29" t="str" cm="1">
        <f t="array" ref="U104">IFERROR(INDEX(_xlfn.UNIQUE(TRIM(_xlfn.TEXTSPLIT(Table21215[[#This Row],[Selection Options]:[Selection Options]],","))),,U$11),"")</f>
        <v/>
      </c>
      <c r="V104" s="29" t="str" cm="1">
        <f t="array" ref="V104">IFERROR(INDEX(_xlfn.UNIQUE(TRIM(_xlfn.TEXTSPLIT(Table21215[[#This Row],[Selection Options]:[Selection Options]],","))),,V$11),"")</f>
        <v/>
      </c>
      <c r="W104" s="29" t="str" cm="1">
        <f t="array" ref="W104">IFERROR(INDEX(_xlfn.UNIQUE(TRIM(_xlfn.TEXTSPLIT(Table21215[[#This Row],[Selection Options]:[Selection Options]],","))),,W$11),"")</f>
        <v/>
      </c>
      <c r="X104" s="29" t="str" cm="1">
        <f t="array" ref="X104">IFERROR(INDEX(_xlfn.UNIQUE(TRIM(_xlfn.TEXTSPLIT(Table21215[[#This Row],[Selection Options]:[Selection Options]],","))),,X$11),"")</f>
        <v/>
      </c>
      <c r="Y104" s="30" cm="1">
        <f t="array" ref="Y104">IF(Table21215[[#This Row],[1]]="","",Table21215[[#This Row],[Weight]:[Weight]]-(Table21215[[#This Row],[Weight]:[Weight]]*((_xlfn.XMATCH(Table21215[[#This Row],[1]],Table21215[[#This Row],[1]:[11]],0))-1)/(COUNTA(Table21215[[#This Row],[1]:[11]])-COUNTBLANK(Table21215[[#This Row],[1]:[11]])-1)))</f>
        <v>3.9714058776806989E-3</v>
      </c>
      <c r="Z104" s="30" cm="1">
        <f t="array" ref="Z104">IF(Table21215[[#This Row],[2]]="","",Table21215[[#This Row],[Weight]:[Weight]]-(Table21215[[#This Row],[Weight]:[Weight]]*((_xlfn.XMATCH(Table21215[[#This Row],[2]],Table21215[[#This Row],[1]:[11]],0))-1)/(COUNTA(Table21215[[#This Row],[1]:[11]])-COUNTBLANK(Table21215[[#This Row],[1]:[11]])-1)))</f>
        <v>2.6476039184537992E-3</v>
      </c>
      <c r="AA104" s="30" cm="1">
        <f t="array" ref="AA104">IF(Table21215[[#This Row],[3]]="","",Table21215[[#This Row],[Weight]:[Weight]]-(Table21215[[#This Row],[Weight]:[Weight]]*((_xlfn.XMATCH(Table21215[[#This Row],[3]],Table21215[[#This Row],[1]:[11]],0))-1)/(COUNTA(Table21215[[#This Row],[1]:[11]])-COUNTBLANK(Table21215[[#This Row],[1]:[11]])-1)))</f>
        <v>1.3238019592268996E-3</v>
      </c>
      <c r="AB104" s="30" cm="1">
        <f t="array" ref="AB104">IF(Table21215[[#This Row],[4]]="","",Table21215[[#This Row],[Weight]:[Weight]]-(Table21215[[#This Row],[Weight]:[Weight]]*((_xlfn.XMATCH(Table21215[[#This Row],[4]],Table21215[[#This Row],[1]:[11]],0))-1)/(COUNTA(Table21215[[#This Row],[1]:[11]])-COUNTBLANK(Table21215[[#This Row],[1]:[11]])-1)))</f>
        <v>0</v>
      </c>
      <c r="AC104" s="30" t="str" cm="1">
        <f t="array" ref="AC104">IF(Table21215[[#This Row],[5]]="","",Table21215[[#This Row],[Weight]:[Weight]]-(Table21215[[#This Row],[Weight]:[Weight]]*((_xlfn.XMATCH(Table21215[[#This Row],[5]],Table21215[[#This Row],[1]:[11]],0))-1)/(COUNTA(Table21215[[#This Row],[1]:[11]])-COUNTBLANK(Table21215[[#This Row],[1]:[11]])-1)))</f>
        <v/>
      </c>
      <c r="AD104" s="30" t="str" cm="1">
        <f t="array" ref="AD104">IF(Table21215[[#This Row],[6]]="","",Table21215[[#This Row],[Weight]:[Weight]]-(Table21215[[#This Row],[Weight]:[Weight]]*((_xlfn.XMATCH(Table21215[[#This Row],[6]],Table21215[[#This Row],[1]:[11]],0))-1)/(COUNTA(Table21215[[#This Row],[1]:[11]])-COUNTBLANK(Table21215[[#This Row],[1]:[11]])-1)))</f>
        <v/>
      </c>
      <c r="AE104" s="30" t="str" cm="1">
        <f t="array" ref="AE104">IF(Table21215[[#This Row],[7]]="","",Table21215[[#This Row],[Weight]:[Weight]]-(Table21215[[#This Row],[Weight]:[Weight]]*((_xlfn.XMATCH(Table21215[[#This Row],[7]],Table21215[[#This Row],[1]:[11]],0))-1)/(COUNTA(Table21215[[#This Row],[1]:[11]])-COUNTBLANK(Table21215[[#This Row],[1]:[11]])-1)))</f>
        <v/>
      </c>
      <c r="AF104" s="30" t="str" cm="1">
        <f t="array" ref="AF104">IF(Table21215[[#This Row],[8]]="","",Table21215[[#This Row],[Weight]:[Weight]]-(Table21215[[#This Row],[Weight]:[Weight]]*((_xlfn.XMATCH(Table21215[[#This Row],[8]],Table21215[[#This Row],[1]:[11]],0))-1)/(COUNTA(Table21215[[#This Row],[1]:[11]])-COUNTBLANK(Table21215[[#This Row],[1]:[11]])-1)))</f>
        <v/>
      </c>
      <c r="AG104" s="30" t="str" cm="1">
        <f t="array" ref="AG104">IF(Table21215[[#This Row],[9]]="","",Table21215[[#This Row],[Weight]:[Weight]]-(Table21215[[#This Row],[Weight]:[Weight]]*((_xlfn.XMATCH(Table21215[[#This Row],[9]],Table21215[[#This Row],[1]:[11]],0))-1)/(COUNTA(Table21215[[#This Row],[1]:[11]])-COUNTBLANK(Table21215[[#This Row],[1]:[11]])-1)))</f>
        <v/>
      </c>
      <c r="AH104" s="30" t="str" cm="1">
        <f t="array" ref="AH104">IF(Table21215[[#This Row],[10]]="","",Table21215[[#This Row],[Weight]:[Weight]]-(Table21215[[#This Row],[Weight]:[Weight]]*((_xlfn.XMATCH(Table21215[[#This Row],[10]],Table21215[[#This Row],[1]:[11]],0))-1)/(COUNTA(Table21215[[#This Row],[1]:[11]])-COUNTBLANK(Table21215[[#This Row],[1]:[11]])-1)))</f>
        <v/>
      </c>
      <c r="AI104" s="30" t="str" cm="1">
        <f t="array" ref="AI104">IF(Table21215[[#This Row],[11]]="","",Table21215[[#This Row],[Weight]:[Weight]]-(Table21215[[#This Row],[Weight]:[Weight]]*((_xlfn.XMATCH(Table21215[[#This Row],[11]],Table21215[[#This Row],[1]:[11]],0))-1)/(COUNTA(Table21215[[#This Row],[1]:[11]])-COUNTBLANK(Table21215[[#This Row],[1]:[11]])-1)))</f>
        <v/>
      </c>
    </row>
    <row r="105" spans="1:35" ht="108" x14ac:dyDescent="0.2">
      <c r="A105" s="20">
        <v>93</v>
      </c>
      <c r="B105" s="165" t="s">
        <v>922</v>
      </c>
      <c r="C105" s="21" t="s">
        <v>826</v>
      </c>
      <c r="D105" s="38"/>
      <c r="E105" s="38"/>
      <c r="F105" s="159" t="s">
        <v>60</v>
      </c>
      <c r="G105" s="160" cm="1">
        <f t="array" ref="G105">_xlfn.IFS(F105="","",F105="No interest",0,F105="Nice to have",1,F105="Useful",2,F105="Important",3,F105="Very important",4,F105="Critical",5,F105="Show stopper",6)</f>
        <v>6</v>
      </c>
      <c r="H105" s="161">
        <f t="shared" si="3"/>
        <v>4.7656870532168391E-3</v>
      </c>
      <c r="I105" s="157" t="s">
        <v>827</v>
      </c>
      <c r="J105" s="35" t="str" cm="1">
        <f t="array" ref="J105">_xlfn.TEXTJOIN(","&amp;CHAR(10),,TEXT(Table21215[[#This Row],[12]:[22]],"0,00%"))</f>
        <v>0,00%,
0,00%,
0,00%,
0,00%</v>
      </c>
      <c r="K105" s="36"/>
      <c r="L105" s="37" t="e">
        <f>H105-(H105*((MATCH(Table21215[[#This Row],[Evaluators Response (SELECT)]],Table21215[[#This Row],[1]:[11]],0)-1)/(COUNTA(Table21215[[#This Row],[1]:[11]])-COUNTBLANK(Table21215[[#This Row],[1]:[11]])-1)))</f>
        <v>#N/A</v>
      </c>
      <c r="M105" s="38"/>
      <c r="N105" s="29" t="s">
        <v>828</v>
      </c>
      <c r="O105" s="29" t="s">
        <v>829</v>
      </c>
      <c r="P105" s="29" t="s">
        <v>830</v>
      </c>
      <c r="Q105" s="29" t="str" cm="1">
        <f t="array" ref="Q105">IFERROR(INDEX(_xlfn.UNIQUE(TRIM(_xlfn.TEXTSPLIT(Table21215[[#This Row],[Selection Options]:[Selection Options]],","))),,Q$11),"")</f>
        <v xml:space="preserve">
 0%: Not currently supported</v>
      </c>
      <c r="R105" s="29" t="str" cm="1">
        <f t="array" ref="R105">IFERROR(INDEX(_xlfn.UNIQUE(TRIM(_xlfn.TEXTSPLIT(Table21215[[#This Row],[Selection Options]:[Selection Options]],","))),,R$11),"")</f>
        <v/>
      </c>
      <c r="S105" s="29" t="str" cm="1">
        <f t="array" ref="S105">IFERROR(INDEX(_xlfn.UNIQUE(TRIM(_xlfn.TEXTSPLIT(Table21215[[#This Row],[Selection Options]:[Selection Options]],","))),,S$11),"")</f>
        <v/>
      </c>
      <c r="T105" s="29" t="str" cm="1">
        <f t="array" ref="T105">IFERROR(INDEX(_xlfn.UNIQUE(TRIM(_xlfn.TEXTSPLIT(Table21215[[#This Row],[Selection Options]:[Selection Options]],","))),,T$11),"")</f>
        <v/>
      </c>
      <c r="U105" s="29" t="str" cm="1">
        <f t="array" ref="U105">IFERROR(INDEX(_xlfn.UNIQUE(TRIM(_xlfn.TEXTSPLIT(Table21215[[#This Row],[Selection Options]:[Selection Options]],","))),,U$11),"")</f>
        <v/>
      </c>
      <c r="V105" s="29" t="str" cm="1">
        <f t="array" ref="V105">IFERROR(INDEX(_xlfn.UNIQUE(TRIM(_xlfn.TEXTSPLIT(Table21215[[#This Row],[Selection Options]:[Selection Options]],","))),,V$11),"")</f>
        <v/>
      </c>
      <c r="W105" s="29" t="str" cm="1">
        <f t="array" ref="W105">IFERROR(INDEX(_xlfn.UNIQUE(TRIM(_xlfn.TEXTSPLIT(Table21215[[#This Row],[Selection Options]:[Selection Options]],","))),,W$11),"")</f>
        <v/>
      </c>
      <c r="X105" s="29" t="str" cm="1">
        <f t="array" ref="X105">IFERROR(INDEX(_xlfn.UNIQUE(TRIM(_xlfn.TEXTSPLIT(Table21215[[#This Row],[Selection Options]:[Selection Options]],","))),,X$11),"")</f>
        <v/>
      </c>
      <c r="Y105" s="30" cm="1">
        <f t="array" ref="Y105">IF(Table21215[[#This Row],[1]]="","",Table21215[[#This Row],[Weight]:[Weight]]-(Table21215[[#This Row],[Weight]:[Weight]]*((_xlfn.XMATCH(Table21215[[#This Row],[1]],Table21215[[#This Row],[1]:[11]],0))-1)/(COUNTA(Table21215[[#This Row],[1]:[11]])-COUNTBLANK(Table21215[[#This Row],[1]:[11]])-1)))</f>
        <v>4.7656870532168391E-3</v>
      </c>
      <c r="Z105" s="30" cm="1">
        <f t="array" ref="Z105">IF(Table21215[[#This Row],[2]]="","",Table21215[[#This Row],[Weight]:[Weight]]-(Table21215[[#This Row],[Weight]:[Weight]]*((_xlfn.XMATCH(Table21215[[#This Row],[2]],Table21215[[#This Row],[1]:[11]],0))-1)/(COUNTA(Table21215[[#This Row],[1]:[11]])-COUNTBLANK(Table21215[[#This Row],[1]:[11]])-1)))</f>
        <v>3.1771247021445594E-3</v>
      </c>
      <c r="AA105" s="30" cm="1">
        <f t="array" ref="AA105">IF(Table21215[[#This Row],[3]]="","",Table21215[[#This Row],[Weight]:[Weight]]-(Table21215[[#This Row],[Weight]:[Weight]]*((_xlfn.XMATCH(Table21215[[#This Row],[3]],Table21215[[#This Row],[1]:[11]],0))-1)/(COUNTA(Table21215[[#This Row],[1]:[11]])-COUNTBLANK(Table21215[[#This Row],[1]:[11]])-1)))</f>
        <v>1.5885623510722797E-3</v>
      </c>
      <c r="AB105" s="30" cm="1">
        <f t="array" ref="AB105">IF(Table21215[[#This Row],[4]]="","",Table21215[[#This Row],[Weight]:[Weight]]-(Table21215[[#This Row],[Weight]:[Weight]]*((_xlfn.XMATCH(Table21215[[#This Row],[4]],Table21215[[#This Row],[1]:[11]],0))-1)/(COUNTA(Table21215[[#This Row],[1]:[11]])-COUNTBLANK(Table21215[[#This Row],[1]:[11]])-1)))</f>
        <v>0</v>
      </c>
      <c r="AC105" s="30" t="str" cm="1">
        <f t="array" ref="AC105">IF(Table21215[[#This Row],[5]]="","",Table21215[[#This Row],[Weight]:[Weight]]-(Table21215[[#This Row],[Weight]:[Weight]]*((_xlfn.XMATCH(Table21215[[#This Row],[5]],Table21215[[#This Row],[1]:[11]],0))-1)/(COUNTA(Table21215[[#This Row],[1]:[11]])-COUNTBLANK(Table21215[[#This Row],[1]:[11]])-1)))</f>
        <v/>
      </c>
      <c r="AD105" s="30" t="str" cm="1">
        <f t="array" ref="AD105">IF(Table21215[[#This Row],[6]]="","",Table21215[[#This Row],[Weight]:[Weight]]-(Table21215[[#This Row],[Weight]:[Weight]]*((_xlfn.XMATCH(Table21215[[#This Row],[6]],Table21215[[#This Row],[1]:[11]],0))-1)/(COUNTA(Table21215[[#This Row],[1]:[11]])-COUNTBLANK(Table21215[[#This Row],[1]:[11]])-1)))</f>
        <v/>
      </c>
      <c r="AE105" s="30" t="str" cm="1">
        <f t="array" ref="AE105">IF(Table21215[[#This Row],[7]]="","",Table21215[[#This Row],[Weight]:[Weight]]-(Table21215[[#This Row],[Weight]:[Weight]]*((_xlfn.XMATCH(Table21215[[#This Row],[7]],Table21215[[#This Row],[1]:[11]],0))-1)/(COUNTA(Table21215[[#This Row],[1]:[11]])-COUNTBLANK(Table21215[[#This Row],[1]:[11]])-1)))</f>
        <v/>
      </c>
      <c r="AF105" s="30" t="str" cm="1">
        <f t="array" ref="AF105">IF(Table21215[[#This Row],[8]]="","",Table21215[[#This Row],[Weight]:[Weight]]-(Table21215[[#This Row],[Weight]:[Weight]]*((_xlfn.XMATCH(Table21215[[#This Row],[8]],Table21215[[#This Row],[1]:[11]],0))-1)/(COUNTA(Table21215[[#This Row],[1]:[11]])-COUNTBLANK(Table21215[[#This Row],[1]:[11]])-1)))</f>
        <v/>
      </c>
      <c r="AG105" s="30" t="str" cm="1">
        <f t="array" ref="AG105">IF(Table21215[[#This Row],[9]]="","",Table21215[[#This Row],[Weight]:[Weight]]-(Table21215[[#This Row],[Weight]:[Weight]]*((_xlfn.XMATCH(Table21215[[#This Row],[9]],Table21215[[#This Row],[1]:[11]],0))-1)/(COUNTA(Table21215[[#This Row],[1]:[11]])-COUNTBLANK(Table21215[[#This Row],[1]:[11]])-1)))</f>
        <v/>
      </c>
      <c r="AH105" s="30" t="str" cm="1">
        <f t="array" ref="AH105">IF(Table21215[[#This Row],[10]]="","",Table21215[[#This Row],[Weight]:[Weight]]-(Table21215[[#This Row],[Weight]:[Weight]]*((_xlfn.XMATCH(Table21215[[#This Row],[10]],Table21215[[#This Row],[1]:[11]],0))-1)/(COUNTA(Table21215[[#This Row],[1]:[11]])-COUNTBLANK(Table21215[[#This Row],[1]:[11]])-1)))</f>
        <v/>
      </c>
      <c r="AI105" s="30" t="str" cm="1">
        <f t="array" ref="AI105">IF(Table21215[[#This Row],[11]]="","",Table21215[[#This Row],[Weight]:[Weight]]-(Table21215[[#This Row],[Weight]:[Weight]]*((_xlfn.XMATCH(Table21215[[#This Row],[11]],Table21215[[#This Row],[1]:[11]],0))-1)/(COUNTA(Table21215[[#This Row],[1]:[11]])-COUNTBLANK(Table21215[[#This Row],[1]:[11]])-1)))</f>
        <v/>
      </c>
    </row>
    <row r="106" spans="1:35" ht="108" x14ac:dyDescent="0.2">
      <c r="A106" s="20">
        <v>94</v>
      </c>
      <c r="B106" s="165" t="s">
        <v>923</v>
      </c>
      <c r="C106" s="21" t="s">
        <v>826</v>
      </c>
      <c r="D106" s="38"/>
      <c r="E106" s="38"/>
      <c r="F106" s="159" t="s">
        <v>188</v>
      </c>
      <c r="G106" s="160" cm="1">
        <f t="array" ref="G106">_xlfn.IFS(F106="","",F106="No interest",0,F106="Nice to have",1,F106="Useful",2,F106="Important",3,F106="Very important",4,F106="Critical",5,F106="Show stopper",6)</f>
        <v>5</v>
      </c>
      <c r="H106" s="161">
        <f t="shared" si="3"/>
        <v>3.9714058776806989E-3</v>
      </c>
      <c r="I106" s="157" t="s">
        <v>827</v>
      </c>
      <c r="J106" s="35" t="str" cm="1">
        <f t="array" ref="J106">_xlfn.TEXTJOIN(","&amp;CHAR(10),,TEXT(Table21215[[#This Row],[12]:[22]],"0,00%"))</f>
        <v>0,00%,
0,00%,
0,00%,
0,00%</v>
      </c>
      <c r="K106" s="36"/>
      <c r="L106" s="37" t="e">
        <f>H106-(H106*((MATCH(Table21215[[#This Row],[Evaluators Response (SELECT)]],Table21215[[#This Row],[1]:[11]],0)-1)/(COUNTA(Table21215[[#This Row],[1]:[11]])-COUNTBLANK(Table21215[[#This Row],[1]:[11]])-1)))</f>
        <v>#N/A</v>
      </c>
      <c r="M106" s="38"/>
      <c r="N106" s="29" t="s">
        <v>828</v>
      </c>
      <c r="O106" s="29" t="s">
        <v>829</v>
      </c>
      <c r="P106" s="29" t="s">
        <v>830</v>
      </c>
      <c r="Q106" s="29" t="str" cm="1">
        <f t="array" ref="Q106">IFERROR(INDEX(_xlfn.UNIQUE(TRIM(_xlfn.TEXTSPLIT(Table21215[[#This Row],[Selection Options]:[Selection Options]],","))),,Q$11),"")</f>
        <v xml:space="preserve">
 0%: Not currently supported</v>
      </c>
      <c r="R106" s="29" t="str" cm="1">
        <f t="array" ref="R106">IFERROR(INDEX(_xlfn.UNIQUE(TRIM(_xlfn.TEXTSPLIT(Table21215[[#This Row],[Selection Options]:[Selection Options]],","))),,R$11),"")</f>
        <v/>
      </c>
      <c r="S106" s="29" t="str" cm="1">
        <f t="array" ref="S106">IFERROR(INDEX(_xlfn.UNIQUE(TRIM(_xlfn.TEXTSPLIT(Table21215[[#This Row],[Selection Options]:[Selection Options]],","))),,S$11),"")</f>
        <v/>
      </c>
      <c r="T106" s="29" t="str" cm="1">
        <f t="array" ref="T106">IFERROR(INDEX(_xlfn.UNIQUE(TRIM(_xlfn.TEXTSPLIT(Table21215[[#This Row],[Selection Options]:[Selection Options]],","))),,T$11),"")</f>
        <v/>
      </c>
      <c r="U106" s="29" t="str" cm="1">
        <f t="array" ref="U106">IFERROR(INDEX(_xlfn.UNIQUE(TRIM(_xlfn.TEXTSPLIT(Table21215[[#This Row],[Selection Options]:[Selection Options]],","))),,U$11),"")</f>
        <v/>
      </c>
      <c r="V106" s="29" t="str" cm="1">
        <f t="array" ref="V106">IFERROR(INDEX(_xlfn.UNIQUE(TRIM(_xlfn.TEXTSPLIT(Table21215[[#This Row],[Selection Options]:[Selection Options]],","))),,V$11),"")</f>
        <v/>
      </c>
      <c r="W106" s="29" t="str" cm="1">
        <f t="array" ref="W106">IFERROR(INDEX(_xlfn.UNIQUE(TRIM(_xlfn.TEXTSPLIT(Table21215[[#This Row],[Selection Options]:[Selection Options]],","))),,W$11),"")</f>
        <v/>
      </c>
      <c r="X106" s="29" t="str" cm="1">
        <f t="array" ref="X106">IFERROR(INDEX(_xlfn.UNIQUE(TRIM(_xlfn.TEXTSPLIT(Table21215[[#This Row],[Selection Options]:[Selection Options]],","))),,X$11),"")</f>
        <v/>
      </c>
      <c r="Y106" s="30" cm="1">
        <f t="array" ref="Y106">IF(Table21215[[#This Row],[1]]="","",Table21215[[#This Row],[Weight]:[Weight]]-(Table21215[[#This Row],[Weight]:[Weight]]*((_xlfn.XMATCH(Table21215[[#This Row],[1]],Table21215[[#This Row],[1]:[11]],0))-1)/(COUNTA(Table21215[[#This Row],[1]:[11]])-COUNTBLANK(Table21215[[#This Row],[1]:[11]])-1)))</f>
        <v>3.9714058776806989E-3</v>
      </c>
      <c r="Z106" s="30" cm="1">
        <f t="array" ref="Z106">IF(Table21215[[#This Row],[2]]="","",Table21215[[#This Row],[Weight]:[Weight]]-(Table21215[[#This Row],[Weight]:[Weight]]*((_xlfn.XMATCH(Table21215[[#This Row],[2]],Table21215[[#This Row],[1]:[11]],0))-1)/(COUNTA(Table21215[[#This Row],[1]:[11]])-COUNTBLANK(Table21215[[#This Row],[1]:[11]])-1)))</f>
        <v>2.6476039184537992E-3</v>
      </c>
      <c r="AA106" s="30" cm="1">
        <f t="array" ref="AA106">IF(Table21215[[#This Row],[3]]="","",Table21215[[#This Row],[Weight]:[Weight]]-(Table21215[[#This Row],[Weight]:[Weight]]*((_xlfn.XMATCH(Table21215[[#This Row],[3]],Table21215[[#This Row],[1]:[11]],0))-1)/(COUNTA(Table21215[[#This Row],[1]:[11]])-COUNTBLANK(Table21215[[#This Row],[1]:[11]])-1)))</f>
        <v>1.3238019592268996E-3</v>
      </c>
      <c r="AB106" s="30" cm="1">
        <f t="array" ref="AB106">IF(Table21215[[#This Row],[4]]="","",Table21215[[#This Row],[Weight]:[Weight]]-(Table21215[[#This Row],[Weight]:[Weight]]*((_xlfn.XMATCH(Table21215[[#This Row],[4]],Table21215[[#This Row],[1]:[11]],0))-1)/(COUNTA(Table21215[[#This Row],[1]:[11]])-COUNTBLANK(Table21215[[#This Row],[1]:[11]])-1)))</f>
        <v>0</v>
      </c>
      <c r="AC106" s="30" t="str" cm="1">
        <f t="array" ref="AC106">IF(Table21215[[#This Row],[5]]="","",Table21215[[#This Row],[Weight]:[Weight]]-(Table21215[[#This Row],[Weight]:[Weight]]*((_xlfn.XMATCH(Table21215[[#This Row],[5]],Table21215[[#This Row],[1]:[11]],0))-1)/(COUNTA(Table21215[[#This Row],[1]:[11]])-COUNTBLANK(Table21215[[#This Row],[1]:[11]])-1)))</f>
        <v/>
      </c>
      <c r="AD106" s="30" t="str" cm="1">
        <f t="array" ref="AD106">IF(Table21215[[#This Row],[6]]="","",Table21215[[#This Row],[Weight]:[Weight]]-(Table21215[[#This Row],[Weight]:[Weight]]*((_xlfn.XMATCH(Table21215[[#This Row],[6]],Table21215[[#This Row],[1]:[11]],0))-1)/(COUNTA(Table21215[[#This Row],[1]:[11]])-COUNTBLANK(Table21215[[#This Row],[1]:[11]])-1)))</f>
        <v/>
      </c>
      <c r="AE106" s="30" t="str" cm="1">
        <f t="array" ref="AE106">IF(Table21215[[#This Row],[7]]="","",Table21215[[#This Row],[Weight]:[Weight]]-(Table21215[[#This Row],[Weight]:[Weight]]*((_xlfn.XMATCH(Table21215[[#This Row],[7]],Table21215[[#This Row],[1]:[11]],0))-1)/(COUNTA(Table21215[[#This Row],[1]:[11]])-COUNTBLANK(Table21215[[#This Row],[1]:[11]])-1)))</f>
        <v/>
      </c>
      <c r="AF106" s="30" t="str" cm="1">
        <f t="array" ref="AF106">IF(Table21215[[#This Row],[8]]="","",Table21215[[#This Row],[Weight]:[Weight]]-(Table21215[[#This Row],[Weight]:[Weight]]*((_xlfn.XMATCH(Table21215[[#This Row],[8]],Table21215[[#This Row],[1]:[11]],0))-1)/(COUNTA(Table21215[[#This Row],[1]:[11]])-COUNTBLANK(Table21215[[#This Row],[1]:[11]])-1)))</f>
        <v/>
      </c>
      <c r="AG106" s="30" t="str" cm="1">
        <f t="array" ref="AG106">IF(Table21215[[#This Row],[9]]="","",Table21215[[#This Row],[Weight]:[Weight]]-(Table21215[[#This Row],[Weight]:[Weight]]*((_xlfn.XMATCH(Table21215[[#This Row],[9]],Table21215[[#This Row],[1]:[11]],0))-1)/(COUNTA(Table21215[[#This Row],[1]:[11]])-COUNTBLANK(Table21215[[#This Row],[1]:[11]])-1)))</f>
        <v/>
      </c>
      <c r="AH106" s="30" t="str" cm="1">
        <f t="array" ref="AH106">IF(Table21215[[#This Row],[10]]="","",Table21215[[#This Row],[Weight]:[Weight]]-(Table21215[[#This Row],[Weight]:[Weight]]*((_xlfn.XMATCH(Table21215[[#This Row],[10]],Table21215[[#This Row],[1]:[11]],0))-1)/(COUNTA(Table21215[[#This Row],[1]:[11]])-COUNTBLANK(Table21215[[#This Row],[1]:[11]])-1)))</f>
        <v/>
      </c>
      <c r="AI106" s="30" t="str" cm="1">
        <f t="array" ref="AI106">IF(Table21215[[#This Row],[11]]="","",Table21215[[#This Row],[Weight]:[Weight]]-(Table21215[[#This Row],[Weight]:[Weight]]*((_xlfn.XMATCH(Table21215[[#This Row],[11]],Table21215[[#This Row],[1]:[11]],0))-1)/(COUNTA(Table21215[[#This Row],[1]:[11]])-COUNTBLANK(Table21215[[#This Row],[1]:[11]])-1)))</f>
        <v/>
      </c>
    </row>
    <row r="107" spans="1:35" ht="108" x14ac:dyDescent="0.2">
      <c r="A107" s="20">
        <v>95</v>
      </c>
      <c r="B107" s="165" t="s">
        <v>924</v>
      </c>
      <c r="C107" s="21" t="s">
        <v>826</v>
      </c>
      <c r="D107" s="38"/>
      <c r="E107" s="38"/>
      <c r="F107" s="159" t="s">
        <v>188</v>
      </c>
      <c r="G107" s="160" cm="1">
        <f t="array" ref="G107">_xlfn.IFS(F107="","",F107="No interest",0,F107="Nice to have",1,F107="Useful",2,F107="Important",3,F107="Very important",4,F107="Critical",5,F107="Show stopper",6)</f>
        <v>5</v>
      </c>
      <c r="H107" s="161">
        <f t="shared" si="3"/>
        <v>3.9714058776806989E-3</v>
      </c>
      <c r="I107" s="157" t="s">
        <v>827</v>
      </c>
      <c r="J107" s="35" t="str" cm="1">
        <f t="array" ref="J107">_xlfn.TEXTJOIN(","&amp;CHAR(10),,TEXT(Table21215[[#This Row],[12]:[22]],"0,00%"))</f>
        <v>0,00%,
0,00%,
0,00%,
0,00%</v>
      </c>
      <c r="K107" s="36"/>
      <c r="L107" s="37" t="e">
        <f>H107-(H107*((MATCH(Table21215[[#This Row],[Evaluators Response (SELECT)]],Table21215[[#This Row],[1]:[11]],0)-1)/(COUNTA(Table21215[[#This Row],[1]:[11]])-COUNTBLANK(Table21215[[#This Row],[1]:[11]])-1)))</f>
        <v>#N/A</v>
      </c>
      <c r="M107" s="38"/>
      <c r="N107" s="29" t="s">
        <v>828</v>
      </c>
      <c r="O107" s="29" t="s">
        <v>829</v>
      </c>
      <c r="P107" s="29" t="s">
        <v>830</v>
      </c>
      <c r="Q107" s="29" t="str" cm="1">
        <f t="array" ref="Q107">IFERROR(INDEX(_xlfn.UNIQUE(TRIM(_xlfn.TEXTSPLIT(Table21215[[#This Row],[Selection Options]:[Selection Options]],","))),,Q$11),"")</f>
        <v xml:space="preserve">
 0%: Not currently supported</v>
      </c>
      <c r="R107" s="29" t="str" cm="1">
        <f t="array" ref="R107">IFERROR(INDEX(_xlfn.UNIQUE(TRIM(_xlfn.TEXTSPLIT(Table21215[[#This Row],[Selection Options]:[Selection Options]],","))),,R$11),"")</f>
        <v/>
      </c>
      <c r="S107" s="29" t="str" cm="1">
        <f t="array" ref="S107">IFERROR(INDEX(_xlfn.UNIQUE(TRIM(_xlfn.TEXTSPLIT(Table21215[[#This Row],[Selection Options]:[Selection Options]],","))),,S$11),"")</f>
        <v/>
      </c>
      <c r="T107" s="29" t="str" cm="1">
        <f t="array" ref="T107">IFERROR(INDEX(_xlfn.UNIQUE(TRIM(_xlfn.TEXTSPLIT(Table21215[[#This Row],[Selection Options]:[Selection Options]],","))),,T$11),"")</f>
        <v/>
      </c>
      <c r="U107" s="29" t="str" cm="1">
        <f t="array" ref="U107">IFERROR(INDEX(_xlfn.UNIQUE(TRIM(_xlfn.TEXTSPLIT(Table21215[[#This Row],[Selection Options]:[Selection Options]],","))),,U$11),"")</f>
        <v/>
      </c>
      <c r="V107" s="29" t="str" cm="1">
        <f t="array" ref="V107">IFERROR(INDEX(_xlfn.UNIQUE(TRIM(_xlfn.TEXTSPLIT(Table21215[[#This Row],[Selection Options]:[Selection Options]],","))),,V$11),"")</f>
        <v/>
      </c>
      <c r="W107" s="29" t="str" cm="1">
        <f t="array" ref="W107">IFERROR(INDEX(_xlfn.UNIQUE(TRIM(_xlfn.TEXTSPLIT(Table21215[[#This Row],[Selection Options]:[Selection Options]],","))),,W$11),"")</f>
        <v/>
      </c>
      <c r="X107" s="29" t="str" cm="1">
        <f t="array" ref="X107">IFERROR(INDEX(_xlfn.UNIQUE(TRIM(_xlfn.TEXTSPLIT(Table21215[[#This Row],[Selection Options]:[Selection Options]],","))),,X$11),"")</f>
        <v/>
      </c>
      <c r="Y107" s="30" cm="1">
        <f t="array" ref="Y107">IF(Table21215[[#This Row],[1]]="","",Table21215[[#This Row],[Weight]:[Weight]]-(Table21215[[#This Row],[Weight]:[Weight]]*((_xlfn.XMATCH(Table21215[[#This Row],[1]],Table21215[[#This Row],[1]:[11]],0))-1)/(COUNTA(Table21215[[#This Row],[1]:[11]])-COUNTBLANK(Table21215[[#This Row],[1]:[11]])-1)))</f>
        <v>3.9714058776806989E-3</v>
      </c>
      <c r="Z107" s="30" cm="1">
        <f t="array" ref="Z107">IF(Table21215[[#This Row],[2]]="","",Table21215[[#This Row],[Weight]:[Weight]]-(Table21215[[#This Row],[Weight]:[Weight]]*((_xlfn.XMATCH(Table21215[[#This Row],[2]],Table21215[[#This Row],[1]:[11]],0))-1)/(COUNTA(Table21215[[#This Row],[1]:[11]])-COUNTBLANK(Table21215[[#This Row],[1]:[11]])-1)))</f>
        <v>2.6476039184537992E-3</v>
      </c>
      <c r="AA107" s="30" cm="1">
        <f t="array" ref="AA107">IF(Table21215[[#This Row],[3]]="","",Table21215[[#This Row],[Weight]:[Weight]]-(Table21215[[#This Row],[Weight]:[Weight]]*((_xlfn.XMATCH(Table21215[[#This Row],[3]],Table21215[[#This Row],[1]:[11]],0))-1)/(COUNTA(Table21215[[#This Row],[1]:[11]])-COUNTBLANK(Table21215[[#This Row],[1]:[11]])-1)))</f>
        <v>1.3238019592268996E-3</v>
      </c>
      <c r="AB107" s="30" cm="1">
        <f t="array" ref="AB107">IF(Table21215[[#This Row],[4]]="","",Table21215[[#This Row],[Weight]:[Weight]]-(Table21215[[#This Row],[Weight]:[Weight]]*((_xlfn.XMATCH(Table21215[[#This Row],[4]],Table21215[[#This Row],[1]:[11]],0))-1)/(COUNTA(Table21215[[#This Row],[1]:[11]])-COUNTBLANK(Table21215[[#This Row],[1]:[11]])-1)))</f>
        <v>0</v>
      </c>
      <c r="AC107" s="30" t="str" cm="1">
        <f t="array" ref="AC107">IF(Table21215[[#This Row],[5]]="","",Table21215[[#This Row],[Weight]:[Weight]]-(Table21215[[#This Row],[Weight]:[Weight]]*((_xlfn.XMATCH(Table21215[[#This Row],[5]],Table21215[[#This Row],[1]:[11]],0))-1)/(COUNTA(Table21215[[#This Row],[1]:[11]])-COUNTBLANK(Table21215[[#This Row],[1]:[11]])-1)))</f>
        <v/>
      </c>
      <c r="AD107" s="30" t="str" cm="1">
        <f t="array" ref="AD107">IF(Table21215[[#This Row],[6]]="","",Table21215[[#This Row],[Weight]:[Weight]]-(Table21215[[#This Row],[Weight]:[Weight]]*((_xlfn.XMATCH(Table21215[[#This Row],[6]],Table21215[[#This Row],[1]:[11]],0))-1)/(COUNTA(Table21215[[#This Row],[1]:[11]])-COUNTBLANK(Table21215[[#This Row],[1]:[11]])-1)))</f>
        <v/>
      </c>
      <c r="AE107" s="30" t="str" cm="1">
        <f t="array" ref="AE107">IF(Table21215[[#This Row],[7]]="","",Table21215[[#This Row],[Weight]:[Weight]]-(Table21215[[#This Row],[Weight]:[Weight]]*((_xlfn.XMATCH(Table21215[[#This Row],[7]],Table21215[[#This Row],[1]:[11]],0))-1)/(COUNTA(Table21215[[#This Row],[1]:[11]])-COUNTBLANK(Table21215[[#This Row],[1]:[11]])-1)))</f>
        <v/>
      </c>
      <c r="AF107" s="30" t="str" cm="1">
        <f t="array" ref="AF107">IF(Table21215[[#This Row],[8]]="","",Table21215[[#This Row],[Weight]:[Weight]]-(Table21215[[#This Row],[Weight]:[Weight]]*((_xlfn.XMATCH(Table21215[[#This Row],[8]],Table21215[[#This Row],[1]:[11]],0))-1)/(COUNTA(Table21215[[#This Row],[1]:[11]])-COUNTBLANK(Table21215[[#This Row],[1]:[11]])-1)))</f>
        <v/>
      </c>
      <c r="AG107" s="30" t="str" cm="1">
        <f t="array" ref="AG107">IF(Table21215[[#This Row],[9]]="","",Table21215[[#This Row],[Weight]:[Weight]]-(Table21215[[#This Row],[Weight]:[Weight]]*((_xlfn.XMATCH(Table21215[[#This Row],[9]],Table21215[[#This Row],[1]:[11]],0))-1)/(COUNTA(Table21215[[#This Row],[1]:[11]])-COUNTBLANK(Table21215[[#This Row],[1]:[11]])-1)))</f>
        <v/>
      </c>
      <c r="AH107" s="30" t="str" cm="1">
        <f t="array" ref="AH107">IF(Table21215[[#This Row],[10]]="","",Table21215[[#This Row],[Weight]:[Weight]]-(Table21215[[#This Row],[Weight]:[Weight]]*((_xlfn.XMATCH(Table21215[[#This Row],[10]],Table21215[[#This Row],[1]:[11]],0))-1)/(COUNTA(Table21215[[#This Row],[1]:[11]])-COUNTBLANK(Table21215[[#This Row],[1]:[11]])-1)))</f>
        <v/>
      </c>
      <c r="AI107" s="30" t="str" cm="1">
        <f t="array" ref="AI107">IF(Table21215[[#This Row],[11]]="","",Table21215[[#This Row],[Weight]:[Weight]]-(Table21215[[#This Row],[Weight]:[Weight]]*((_xlfn.XMATCH(Table21215[[#This Row],[11]],Table21215[[#This Row],[1]:[11]],0))-1)/(COUNTA(Table21215[[#This Row],[1]:[11]])-COUNTBLANK(Table21215[[#This Row],[1]:[11]])-1)))</f>
        <v/>
      </c>
    </row>
    <row r="108" spans="1:35" ht="108" x14ac:dyDescent="0.2">
      <c r="A108" s="20">
        <v>96</v>
      </c>
      <c r="B108" s="165" t="s">
        <v>925</v>
      </c>
      <c r="C108" s="21" t="s">
        <v>826</v>
      </c>
      <c r="D108" s="38"/>
      <c r="E108" s="38"/>
      <c r="F108" s="159" t="s">
        <v>188</v>
      </c>
      <c r="G108" s="160" cm="1">
        <f t="array" ref="G108">_xlfn.IFS(F108="","",F108="No interest",0,F108="Nice to have",1,F108="Useful",2,F108="Important",3,F108="Very important",4,F108="Critical",5,F108="Show stopper",6)</f>
        <v>5</v>
      </c>
      <c r="H108" s="161">
        <f t="shared" si="3"/>
        <v>3.9714058776806989E-3</v>
      </c>
      <c r="I108" s="157" t="s">
        <v>827</v>
      </c>
      <c r="J108" s="35" t="str" cm="1">
        <f t="array" ref="J108">_xlfn.TEXTJOIN(","&amp;CHAR(10),,TEXT(Table21215[[#This Row],[12]:[22]],"0,00%"))</f>
        <v>0,00%,
0,00%,
0,00%,
0,00%</v>
      </c>
      <c r="K108" s="36"/>
      <c r="L108" s="37" t="e">
        <f>H108-(H108*((MATCH(Table21215[[#This Row],[Evaluators Response (SELECT)]],Table21215[[#This Row],[1]:[11]],0)-1)/(COUNTA(Table21215[[#This Row],[1]:[11]])-COUNTBLANK(Table21215[[#This Row],[1]:[11]])-1)))</f>
        <v>#N/A</v>
      </c>
      <c r="M108" s="38"/>
      <c r="N108" s="29" t="s">
        <v>828</v>
      </c>
      <c r="O108" s="29" t="s">
        <v>829</v>
      </c>
      <c r="P108" s="29" t="s">
        <v>830</v>
      </c>
      <c r="Q108" s="29" t="str" cm="1">
        <f t="array" ref="Q108">IFERROR(INDEX(_xlfn.UNIQUE(TRIM(_xlfn.TEXTSPLIT(Table21215[[#This Row],[Selection Options]:[Selection Options]],","))),,Q$11),"")</f>
        <v xml:space="preserve">
 0%: Not currently supported</v>
      </c>
      <c r="R108" s="29" t="str" cm="1">
        <f t="array" ref="R108">IFERROR(INDEX(_xlfn.UNIQUE(TRIM(_xlfn.TEXTSPLIT(Table21215[[#This Row],[Selection Options]:[Selection Options]],","))),,R$11),"")</f>
        <v/>
      </c>
      <c r="S108" s="29" t="str" cm="1">
        <f t="array" ref="S108">IFERROR(INDEX(_xlfn.UNIQUE(TRIM(_xlfn.TEXTSPLIT(Table21215[[#This Row],[Selection Options]:[Selection Options]],","))),,S$11),"")</f>
        <v/>
      </c>
      <c r="T108" s="29" t="str" cm="1">
        <f t="array" ref="T108">IFERROR(INDEX(_xlfn.UNIQUE(TRIM(_xlfn.TEXTSPLIT(Table21215[[#This Row],[Selection Options]:[Selection Options]],","))),,T$11),"")</f>
        <v/>
      </c>
      <c r="U108" s="29" t="str" cm="1">
        <f t="array" ref="U108">IFERROR(INDEX(_xlfn.UNIQUE(TRIM(_xlfn.TEXTSPLIT(Table21215[[#This Row],[Selection Options]:[Selection Options]],","))),,U$11),"")</f>
        <v/>
      </c>
      <c r="V108" s="29" t="str" cm="1">
        <f t="array" ref="V108">IFERROR(INDEX(_xlfn.UNIQUE(TRIM(_xlfn.TEXTSPLIT(Table21215[[#This Row],[Selection Options]:[Selection Options]],","))),,V$11),"")</f>
        <v/>
      </c>
      <c r="W108" s="29" t="str" cm="1">
        <f t="array" ref="W108">IFERROR(INDEX(_xlfn.UNIQUE(TRIM(_xlfn.TEXTSPLIT(Table21215[[#This Row],[Selection Options]:[Selection Options]],","))),,W$11),"")</f>
        <v/>
      </c>
      <c r="X108" s="29" t="str" cm="1">
        <f t="array" ref="X108">IFERROR(INDEX(_xlfn.UNIQUE(TRIM(_xlfn.TEXTSPLIT(Table21215[[#This Row],[Selection Options]:[Selection Options]],","))),,X$11),"")</f>
        <v/>
      </c>
      <c r="Y108" s="30" cm="1">
        <f t="array" ref="Y108">IF(Table21215[[#This Row],[1]]="","",Table21215[[#This Row],[Weight]:[Weight]]-(Table21215[[#This Row],[Weight]:[Weight]]*((_xlfn.XMATCH(Table21215[[#This Row],[1]],Table21215[[#This Row],[1]:[11]],0))-1)/(COUNTA(Table21215[[#This Row],[1]:[11]])-COUNTBLANK(Table21215[[#This Row],[1]:[11]])-1)))</f>
        <v>3.9714058776806989E-3</v>
      </c>
      <c r="Z108" s="30" cm="1">
        <f t="array" ref="Z108">IF(Table21215[[#This Row],[2]]="","",Table21215[[#This Row],[Weight]:[Weight]]-(Table21215[[#This Row],[Weight]:[Weight]]*((_xlfn.XMATCH(Table21215[[#This Row],[2]],Table21215[[#This Row],[1]:[11]],0))-1)/(COUNTA(Table21215[[#This Row],[1]:[11]])-COUNTBLANK(Table21215[[#This Row],[1]:[11]])-1)))</f>
        <v>2.6476039184537992E-3</v>
      </c>
      <c r="AA108" s="30" cm="1">
        <f t="array" ref="AA108">IF(Table21215[[#This Row],[3]]="","",Table21215[[#This Row],[Weight]:[Weight]]-(Table21215[[#This Row],[Weight]:[Weight]]*((_xlfn.XMATCH(Table21215[[#This Row],[3]],Table21215[[#This Row],[1]:[11]],0))-1)/(COUNTA(Table21215[[#This Row],[1]:[11]])-COUNTBLANK(Table21215[[#This Row],[1]:[11]])-1)))</f>
        <v>1.3238019592268996E-3</v>
      </c>
      <c r="AB108" s="30" cm="1">
        <f t="array" ref="AB108">IF(Table21215[[#This Row],[4]]="","",Table21215[[#This Row],[Weight]:[Weight]]-(Table21215[[#This Row],[Weight]:[Weight]]*((_xlfn.XMATCH(Table21215[[#This Row],[4]],Table21215[[#This Row],[1]:[11]],0))-1)/(COUNTA(Table21215[[#This Row],[1]:[11]])-COUNTBLANK(Table21215[[#This Row],[1]:[11]])-1)))</f>
        <v>0</v>
      </c>
      <c r="AC108" s="30" t="str" cm="1">
        <f t="array" ref="AC108">IF(Table21215[[#This Row],[5]]="","",Table21215[[#This Row],[Weight]:[Weight]]-(Table21215[[#This Row],[Weight]:[Weight]]*((_xlfn.XMATCH(Table21215[[#This Row],[5]],Table21215[[#This Row],[1]:[11]],0))-1)/(COUNTA(Table21215[[#This Row],[1]:[11]])-COUNTBLANK(Table21215[[#This Row],[1]:[11]])-1)))</f>
        <v/>
      </c>
      <c r="AD108" s="30" t="str" cm="1">
        <f t="array" ref="AD108">IF(Table21215[[#This Row],[6]]="","",Table21215[[#This Row],[Weight]:[Weight]]-(Table21215[[#This Row],[Weight]:[Weight]]*((_xlfn.XMATCH(Table21215[[#This Row],[6]],Table21215[[#This Row],[1]:[11]],0))-1)/(COUNTA(Table21215[[#This Row],[1]:[11]])-COUNTBLANK(Table21215[[#This Row],[1]:[11]])-1)))</f>
        <v/>
      </c>
      <c r="AE108" s="30" t="str" cm="1">
        <f t="array" ref="AE108">IF(Table21215[[#This Row],[7]]="","",Table21215[[#This Row],[Weight]:[Weight]]-(Table21215[[#This Row],[Weight]:[Weight]]*((_xlfn.XMATCH(Table21215[[#This Row],[7]],Table21215[[#This Row],[1]:[11]],0))-1)/(COUNTA(Table21215[[#This Row],[1]:[11]])-COUNTBLANK(Table21215[[#This Row],[1]:[11]])-1)))</f>
        <v/>
      </c>
      <c r="AF108" s="30" t="str" cm="1">
        <f t="array" ref="AF108">IF(Table21215[[#This Row],[8]]="","",Table21215[[#This Row],[Weight]:[Weight]]-(Table21215[[#This Row],[Weight]:[Weight]]*((_xlfn.XMATCH(Table21215[[#This Row],[8]],Table21215[[#This Row],[1]:[11]],0))-1)/(COUNTA(Table21215[[#This Row],[1]:[11]])-COUNTBLANK(Table21215[[#This Row],[1]:[11]])-1)))</f>
        <v/>
      </c>
      <c r="AG108" s="30" t="str" cm="1">
        <f t="array" ref="AG108">IF(Table21215[[#This Row],[9]]="","",Table21215[[#This Row],[Weight]:[Weight]]-(Table21215[[#This Row],[Weight]:[Weight]]*((_xlfn.XMATCH(Table21215[[#This Row],[9]],Table21215[[#This Row],[1]:[11]],0))-1)/(COUNTA(Table21215[[#This Row],[1]:[11]])-COUNTBLANK(Table21215[[#This Row],[1]:[11]])-1)))</f>
        <v/>
      </c>
      <c r="AH108" s="30" t="str" cm="1">
        <f t="array" ref="AH108">IF(Table21215[[#This Row],[10]]="","",Table21215[[#This Row],[Weight]:[Weight]]-(Table21215[[#This Row],[Weight]:[Weight]]*((_xlfn.XMATCH(Table21215[[#This Row],[10]],Table21215[[#This Row],[1]:[11]],0))-1)/(COUNTA(Table21215[[#This Row],[1]:[11]])-COUNTBLANK(Table21215[[#This Row],[1]:[11]])-1)))</f>
        <v/>
      </c>
      <c r="AI108" s="30" t="str" cm="1">
        <f t="array" ref="AI108">IF(Table21215[[#This Row],[11]]="","",Table21215[[#This Row],[Weight]:[Weight]]-(Table21215[[#This Row],[Weight]:[Weight]]*((_xlfn.XMATCH(Table21215[[#This Row],[11]],Table21215[[#This Row],[1]:[11]],0))-1)/(COUNTA(Table21215[[#This Row],[1]:[11]])-COUNTBLANK(Table21215[[#This Row],[1]:[11]])-1)))</f>
        <v/>
      </c>
    </row>
    <row r="109" spans="1:35" ht="108" x14ac:dyDescent="0.2">
      <c r="A109" s="20">
        <v>97</v>
      </c>
      <c r="B109" s="165" t="s">
        <v>926</v>
      </c>
      <c r="C109" s="21" t="s">
        <v>826</v>
      </c>
      <c r="D109" s="38"/>
      <c r="E109" s="38"/>
      <c r="F109" s="159" t="s">
        <v>188</v>
      </c>
      <c r="G109" s="160" cm="1">
        <f t="array" ref="G109">_xlfn.IFS(F109="","",F109="No interest",0,F109="Nice to have",1,F109="Useful",2,F109="Important",3,F109="Very important",4,F109="Critical",5,F109="Show stopper",6)</f>
        <v>5</v>
      </c>
      <c r="H109" s="161">
        <f t="shared" si="3"/>
        <v>3.9714058776806989E-3</v>
      </c>
      <c r="I109" s="157" t="s">
        <v>827</v>
      </c>
      <c r="J109" s="35" t="str" cm="1">
        <f t="array" ref="J109">_xlfn.TEXTJOIN(","&amp;CHAR(10),,TEXT(Table21215[[#This Row],[12]:[22]],"0,00%"))</f>
        <v>0,00%,
0,00%,
0,00%,
0,00%</v>
      </c>
      <c r="K109" s="36"/>
      <c r="L109" s="37" t="e">
        <f>H109-(H109*((MATCH(Table21215[[#This Row],[Evaluators Response (SELECT)]],Table21215[[#This Row],[1]:[11]],0)-1)/(COUNTA(Table21215[[#This Row],[1]:[11]])-COUNTBLANK(Table21215[[#This Row],[1]:[11]])-1)))</f>
        <v>#N/A</v>
      </c>
      <c r="M109" s="38"/>
      <c r="N109" s="29" t="s">
        <v>828</v>
      </c>
      <c r="O109" s="29" t="s">
        <v>829</v>
      </c>
      <c r="P109" s="29" t="s">
        <v>830</v>
      </c>
      <c r="Q109" s="29" t="str" cm="1">
        <f t="array" ref="Q109">IFERROR(INDEX(_xlfn.UNIQUE(TRIM(_xlfn.TEXTSPLIT(Table21215[[#This Row],[Selection Options]:[Selection Options]],","))),,Q$11),"")</f>
        <v xml:space="preserve">
 0%: Not currently supported</v>
      </c>
      <c r="R109" s="29" t="str" cm="1">
        <f t="array" ref="R109">IFERROR(INDEX(_xlfn.UNIQUE(TRIM(_xlfn.TEXTSPLIT(Table21215[[#This Row],[Selection Options]:[Selection Options]],","))),,R$11),"")</f>
        <v/>
      </c>
      <c r="S109" s="29" t="str" cm="1">
        <f t="array" ref="S109">IFERROR(INDEX(_xlfn.UNIQUE(TRIM(_xlfn.TEXTSPLIT(Table21215[[#This Row],[Selection Options]:[Selection Options]],","))),,S$11),"")</f>
        <v/>
      </c>
      <c r="T109" s="29" t="str" cm="1">
        <f t="array" ref="T109">IFERROR(INDEX(_xlfn.UNIQUE(TRIM(_xlfn.TEXTSPLIT(Table21215[[#This Row],[Selection Options]:[Selection Options]],","))),,T$11),"")</f>
        <v/>
      </c>
      <c r="U109" s="29" t="str" cm="1">
        <f t="array" ref="U109">IFERROR(INDEX(_xlfn.UNIQUE(TRIM(_xlfn.TEXTSPLIT(Table21215[[#This Row],[Selection Options]:[Selection Options]],","))),,U$11),"")</f>
        <v/>
      </c>
      <c r="V109" s="29" t="str" cm="1">
        <f t="array" ref="V109">IFERROR(INDEX(_xlfn.UNIQUE(TRIM(_xlfn.TEXTSPLIT(Table21215[[#This Row],[Selection Options]:[Selection Options]],","))),,V$11),"")</f>
        <v/>
      </c>
      <c r="W109" s="29" t="str" cm="1">
        <f t="array" ref="W109">IFERROR(INDEX(_xlfn.UNIQUE(TRIM(_xlfn.TEXTSPLIT(Table21215[[#This Row],[Selection Options]:[Selection Options]],","))),,W$11),"")</f>
        <v/>
      </c>
      <c r="X109" s="29" t="str" cm="1">
        <f t="array" ref="X109">IFERROR(INDEX(_xlfn.UNIQUE(TRIM(_xlfn.TEXTSPLIT(Table21215[[#This Row],[Selection Options]:[Selection Options]],","))),,X$11),"")</f>
        <v/>
      </c>
      <c r="Y109" s="30" cm="1">
        <f t="array" ref="Y109">IF(Table21215[[#This Row],[1]]="","",Table21215[[#This Row],[Weight]:[Weight]]-(Table21215[[#This Row],[Weight]:[Weight]]*((_xlfn.XMATCH(Table21215[[#This Row],[1]],Table21215[[#This Row],[1]:[11]],0))-1)/(COUNTA(Table21215[[#This Row],[1]:[11]])-COUNTBLANK(Table21215[[#This Row],[1]:[11]])-1)))</f>
        <v>3.9714058776806989E-3</v>
      </c>
      <c r="Z109" s="30" cm="1">
        <f t="array" ref="Z109">IF(Table21215[[#This Row],[2]]="","",Table21215[[#This Row],[Weight]:[Weight]]-(Table21215[[#This Row],[Weight]:[Weight]]*((_xlfn.XMATCH(Table21215[[#This Row],[2]],Table21215[[#This Row],[1]:[11]],0))-1)/(COUNTA(Table21215[[#This Row],[1]:[11]])-COUNTBLANK(Table21215[[#This Row],[1]:[11]])-1)))</f>
        <v>2.6476039184537992E-3</v>
      </c>
      <c r="AA109" s="30" cm="1">
        <f t="array" ref="AA109">IF(Table21215[[#This Row],[3]]="","",Table21215[[#This Row],[Weight]:[Weight]]-(Table21215[[#This Row],[Weight]:[Weight]]*((_xlfn.XMATCH(Table21215[[#This Row],[3]],Table21215[[#This Row],[1]:[11]],0))-1)/(COUNTA(Table21215[[#This Row],[1]:[11]])-COUNTBLANK(Table21215[[#This Row],[1]:[11]])-1)))</f>
        <v>1.3238019592268996E-3</v>
      </c>
      <c r="AB109" s="30" cm="1">
        <f t="array" ref="AB109">IF(Table21215[[#This Row],[4]]="","",Table21215[[#This Row],[Weight]:[Weight]]-(Table21215[[#This Row],[Weight]:[Weight]]*((_xlfn.XMATCH(Table21215[[#This Row],[4]],Table21215[[#This Row],[1]:[11]],0))-1)/(COUNTA(Table21215[[#This Row],[1]:[11]])-COUNTBLANK(Table21215[[#This Row],[1]:[11]])-1)))</f>
        <v>0</v>
      </c>
      <c r="AC109" s="30" t="str" cm="1">
        <f t="array" ref="AC109">IF(Table21215[[#This Row],[5]]="","",Table21215[[#This Row],[Weight]:[Weight]]-(Table21215[[#This Row],[Weight]:[Weight]]*((_xlfn.XMATCH(Table21215[[#This Row],[5]],Table21215[[#This Row],[1]:[11]],0))-1)/(COUNTA(Table21215[[#This Row],[1]:[11]])-COUNTBLANK(Table21215[[#This Row],[1]:[11]])-1)))</f>
        <v/>
      </c>
      <c r="AD109" s="30" t="str" cm="1">
        <f t="array" ref="AD109">IF(Table21215[[#This Row],[6]]="","",Table21215[[#This Row],[Weight]:[Weight]]-(Table21215[[#This Row],[Weight]:[Weight]]*((_xlfn.XMATCH(Table21215[[#This Row],[6]],Table21215[[#This Row],[1]:[11]],0))-1)/(COUNTA(Table21215[[#This Row],[1]:[11]])-COUNTBLANK(Table21215[[#This Row],[1]:[11]])-1)))</f>
        <v/>
      </c>
      <c r="AE109" s="30" t="str" cm="1">
        <f t="array" ref="AE109">IF(Table21215[[#This Row],[7]]="","",Table21215[[#This Row],[Weight]:[Weight]]-(Table21215[[#This Row],[Weight]:[Weight]]*((_xlfn.XMATCH(Table21215[[#This Row],[7]],Table21215[[#This Row],[1]:[11]],0))-1)/(COUNTA(Table21215[[#This Row],[1]:[11]])-COUNTBLANK(Table21215[[#This Row],[1]:[11]])-1)))</f>
        <v/>
      </c>
      <c r="AF109" s="30" t="str" cm="1">
        <f t="array" ref="AF109">IF(Table21215[[#This Row],[8]]="","",Table21215[[#This Row],[Weight]:[Weight]]-(Table21215[[#This Row],[Weight]:[Weight]]*((_xlfn.XMATCH(Table21215[[#This Row],[8]],Table21215[[#This Row],[1]:[11]],0))-1)/(COUNTA(Table21215[[#This Row],[1]:[11]])-COUNTBLANK(Table21215[[#This Row],[1]:[11]])-1)))</f>
        <v/>
      </c>
      <c r="AG109" s="30" t="str" cm="1">
        <f t="array" ref="AG109">IF(Table21215[[#This Row],[9]]="","",Table21215[[#This Row],[Weight]:[Weight]]-(Table21215[[#This Row],[Weight]:[Weight]]*((_xlfn.XMATCH(Table21215[[#This Row],[9]],Table21215[[#This Row],[1]:[11]],0))-1)/(COUNTA(Table21215[[#This Row],[1]:[11]])-COUNTBLANK(Table21215[[#This Row],[1]:[11]])-1)))</f>
        <v/>
      </c>
      <c r="AH109" s="30" t="str" cm="1">
        <f t="array" ref="AH109">IF(Table21215[[#This Row],[10]]="","",Table21215[[#This Row],[Weight]:[Weight]]-(Table21215[[#This Row],[Weight]:[Weight]]*((_xlfn.XMATCH(Table21215[[#This Row],[10]],Table21215[[#This Row],[1]:[11]],0))-1)/(COUNTA(Table21215[[#This Row],[1]:[11]])-COUNTBLANK(Table21215[[#This Row],[1]:[11]])-1)))</f>
        <v/>
      </c>
      <c r="AI109" s="30" t="str" cm="1">
        <f t="array" ref="AI109">IF(Table21215[[#This Row],[11]]="","",Table21215[[#This Row],[Weight]:[Weight]]-(Table21215[[#This Row],[Weight]:[Weight]]*((_xlfn.XMATCH(Table21215[[#This Row],[11]],Table21215[[#This Row],[1]:[11]],0))-1)/(COUNTA(Table21215[[#This Row],[1]:[11]])-COUNTBLANK(Table21215[[#This Row],[1]:[11]])-1)))</f>
        <v/>
      </c>
    </row>
    <row r="110" spans="1:35" ht="108" x14ac:dyDescent="0.2">
      <c r="A110" s="20">
        <v>98</v>
      </c>
      <c r="B110" s="165" t="s">
        <v>927</v>
      </c>
      <c r="C110" s="21" t="s">
        <v>826</v>
      </c>
      <c r="D110" s="38"/>
      <c r="E110" s="38"/>
      <c r="F110" s="159" t="s">
        <v>188</v>
      </c>
      <c r="G110" s="160" cm="1">
        <f t="array" ref="G110">_xlfn.IFS(F110="","",F110="No interest",0,F110="Nice to have",1,F110="Useful",2,F110="Important",3,F110="Very important",4,F110="Critical",5,F110="Show stopper",6)</f>
        <v>5</v>
      </c>
      <c r="H110" s="161">
        <f t="shared" si="3"/>
        <v>3.9714058776806989E-3</v>
      </c>
      <c r="I110" s="157" t="s">
        <v>827</v>
      </c>
      <c r="J110" s="35" t="str" cm="1">
        <f t="array" ref="J110">_xlfn.TEXTJOIN(","&amp;CHAR(10),,TEXT(Table21215[[#This Row],[12]:[22]],"0,00%"))</f>
        <v>0,00%,
0,00%,
0,00%,
0,00%</v>
      </c>
      <c r="K110" s="36"/>
      <c r="L110" s="37" t="e">
        <f>H110-(H110*((MATCH(Table21215[[#This Row],[Evaluators Response (SELECT)]],Table21215[[#This Row],[1]:[11]],0)-1)/(COUNTA(Table21215[[#This Row],[1]:[11]])-COUNTBLANK(Table21215[[#This Row],[1]:[11]])-1)))</f>
        <v>#N/A</v>
      </c>
      <c r="M110" s="38"/>
      <c r="N110" s="29" t="s">
        <v>828</v>
      </c>
      <c r="O110" s="29" t="s">
        <v>829</v>
      </c>
      <c r="P110" s="29" t="s">
        <v>830</v>
      </c>
      <c r="Q110" s="29" t="str" cm="1">
        <f t="array" ref="Q110">IFERROR(INDEX(_xlfn.UNIQUE(TRIM(_xlfn.TEXTSPLIT(Table21215[[#This Row],[Selection Options]:[Selection Options]],","))),,Q$11),"")</f>
        <v xml:space="preserve">
 0%: Not currently supported</v>
      </c>
      <c r="R110" s="29" t="str" cm="1">
        <f t="array" ref="R110">IFERROR(INDEX(_xlfn.UNIQUE(TRIM(_xlfn.TEXTSPLIT(Table21215[[#This Row],[Selection Options]:[Selection Options]],","))),,R$11),"")</f>
        <v/>
      </c>
      <c r="S110" s="29" t="str" cm="1">
        <f t="array" ref="S110">IFERROR(INDEX(_xlfn.UNIQUE(TRIM(_xlfn.TEXTSPLIT(Table21215[[#This Row],[Selection Options]:[Selection Options]],","))),,S$11),"")</f>
        <v/>
      </c>
      <c r="T110" s="29" t="str" cm="1">
        <f t="array" ref="T110">IFERROR(INDEX(_xlfn.UNIQUE(TRIM(_xlfn.TEXTSPLIT(Table21215[[#This Row],[Selection Options]:[Selection Options]],","))),,T$11),"")</f>
        <v/>
      </c>
      <c r="U110" s="29" t="str" cm="1">
        <f t="array" ref="U110">IFERROR(INDEX(_xlfn.UNIQUE(TRIM(_xlfn.TEXTSPLIT(Table21215[[#This Row],[Selection Options]:[Selection Options]],","))),,U$11),"")</f>
        <v/>
      </c>
      <c r="V110" s="29" t="str" cm="1">
        <f t="array" ref="V110">IFERROR(INDEX(_xlfn.UNIQUE(TRIM(_xlfn.TEXTSPLIT(Table21215[[#This Row],[Selection Options]:[Selection Options]],","))),,V$11),"")</f>
        <v/>
      </c>
      <c r="W110" s="29" t="str" cm="1">
        <f t="array" ref="W110">IFERROR(INDEX(_xlfn.UNIQUE(TRIM(_xlfn.TEXTSPLIT(Table21215[[#This Row],[Selection Options]:[Selection Options]],","))),,W$11),"")</f>
        <v/>
      </c>
      <c r="X110" s="29" t="str" cm="1">
        <f t="array" ref="X110">IFERROR(INDEX(_xlfn.UNIQUE(TRIM(_xlfn.TEXTSPLIT(Table21215[[#This Row],[Selection Options]:[Selection Options]],","))),,X$11),"")</f>
        <v/>
      </c>
      <c r="Y110" s="30" cm="1">
        <f t="array" ref="Y110">IF(Table21215[[#This Row],[1]]="","",Table21215[[#This Row],[Weight]:[Weight]]-(Table21215[[#This Row],[Weight]:[Weight]]*((_xlfn.XMATCH(Table21215[[#This Row],[1]],Table21215[[#This Row],[1]:[11]],0))-1)/(COUNTA(Table21215[[#This Row],[1]:[11]])-COUNTBLANK(Table21215[[#This Row],[1]:[11]])-1)))</f>
        <v>3.9714058776806989E-3</v>
      </c>
      <c r="Z110" s="30" cm="1">
        <f t="array" ref="Z110">IF(Table21215[[#This Row],[2]]="","",Table21215[[#This Row],[Weight]:[Weight]]-(Table21215[[#This Row],[Weight]:[Weight]]*((_xlfn.XMATCH(Table21215[[#This Row],[2]],Table21215[[#This Row],[1]:[11]],0))-1)/(COUNTA(Table21215[[#This Row],[1]:[11]])-COUNTBLANK(Table21215[[#This Row],[1]:[11]])-1)))</f>
        <v>2.6476039184537992E-3</v>
      </c>
      <c r="AA110" s="30" cm="1">
        <f t="array" ref="AA110">IF(Table21215[[#This Row],[3]]="","",Table21215[[#This Row],[Weight]:[Weight]]-(Table21215[[#This Row],[Weight]:[Weight]]*((_xlfn.XMATCH(Table21215[[#This Row],[3]],Table21215[[#This Row],[1]:[11]],0))-1)/(COUNTA(Table21215[[#This Row],[1]:[11]])-COUNTBLANK(Table21215[[#This Row],[1]:[11]])-1)))</f>
        <v>1.3238019592268996E-3</v>
      </c>
      <c r="AB110" s="30" cm="1">
        <f t="array" ref="AB110">IF(Table21215[[#This Row],[4]]="","",Table21215[[#This Row],[Weight]:[Weight]]-(Table21215[[#This Row],[Weight]:[Weight]]*((_xlfn.XMATCH(Table21215[[#This Row],[4]],Table21215[[#This Row],[1]:[11]],0))-1)/(COUNTA(Table21215[[#This Row],[1]:[11]])-COUNTBLANK(Table21215[[#This Row],[1]:[11]])-1)))</f>
        <v>0</v>
      </c>
      <c r="AC110" s="30" t="str" cm="1">
        <f t="array" ref="AC110">IF(Table21215[[#This Row],[5]]="","",Table21215[[#This Row],[Weight]:[Weight]]-(Table21215[[#This Row],[Weight]:[Weight]]*((_xlfn.XMATCH(Table21215[[#This Row],[5]],Table21215[[#This Row],[1]:[11]],0))-1)/(COUNTA(Table21215[[#This Row],[1]:[11]])-COUNTBLANK(Table21215[[#This Row],[1]:[11]])-1)))</f>
        <v/>
      </c>
      <c r="AD110" s="30" t="str" cm="1">
        <f t="array" ref="AD110">IF(Table21215[[#This Row],[6]]="","",Table21215[[#This Row],[Weight]:[Weight]]-(Table21215[[#This Row],[Weight]:[Weight]]*((_xlfn.XMATCH(Table21215[[#This Row],[6]],Table21215[[#This Row],[1]:[11]],0))-1)/(COUNTA(Table21215[[#This Row],[1]:[11]])-COUNTBLANK(Table21215[[#This Row],[1]:[11]])-1)))</f>
        <v/>
      </c>
      <c r="AE110" s="30" t="str" cm="1">
        <f t="array" ref="AE110">IF(Table21215[[#This Row],[7]]="","",Table21215[[#This Row],[Weight]:[Weight]]-(Table21215[[#This Row],[Weight]:[Weight]]*((_xlfn.XMATCH(Table21215[[#This Row],[7]],Table21215[[#This Row],[1]:[11]],0))-1)/(COUNTA(Table21215[[#This Row],[1]:[11]])-COUNTBLANK(Table21215[[#This Row],[1]:[11]])-1)))</f>
        <v/>
      </c>
      <c r="AF110" s="30" t="str" cm="1">
        <f t="array" ref="AF110">IF(Table21215[[#This Row],[8]]="","",Table21215[[#This Row],[Weight]:[Weight]]-(Table21215[[#This Row],[Weight]:[Weight]]*((_xlfn.XMATCH(Table21215[[#This Row],[8]],Table21215[[#This Row],[1]:[11]],0))-1)/(COUNTA(Table21215[[#This Row],[1]:[11]])-COUNTBLANK(Table21215[[#This Row],[1]:[11]])-1)))</f>
        <v/>
      </c>
      <c r="AG110" s="30" t="str" cm="1">
        <f t="array" ref="AG110">IF(Table21215[[#This Row],[9]]="","",Table21215[[#This Row],[Weight]:[Weight]]-(Table21215[[#This Row],[Weight]:[Weight]]*((_xlfn.XMATCH(Table21215[[#This Row],[9]],Table21215[[#This Row],[1]:[11]],0))-1)/(COUNTA(Table21215[[#This Row],[1]:[11]])-COUNTBLANK(Table21215[[#This Row],[1]:[11]])-1)))</f>
        <v/>
      </c>
      <c r="AH110" s="30" t="str" cm="1">
        <f t="array" ref="AH110">IF(Table21215[[#This Row],[10]]="","",Table21215[[#This Row],[Weight]:[Weight]]-(Table21215[[#This Row],[Weight]:[Weight]]*((_xlfn.XMATCH(Table21215[[#This Row],[10]],Table21215[[#This Row],[1]:[11]],0))-1)/(COUNTA(Table21215[[#This Row],[1]:[11]])-COUNTBLANK(Table21215[[#This Row],[1]:[11]])-1)))</f>
        <v/>
      </c>
      <c r="AI110" s="30" t="str" cm="1">
        <f t="array" ref="AI110">IF(Table21215[[#This Row],[11]]="","",Table21215[[#This Row],[Weight]:[Weight]]-(Table21215[[#This Row],[Weight]:[Weight]]*((_xlfn.XMATCH(Table21215[[#This Row],[11]],Table21215[[#This Row],[1]:[11]],0))-1)/(COUNTA(Table21215[[#This Row],[1]:[11]])-COUNTBLANK(Table21215[[#This Row],[1]:[11]])-1)))</f>
        <v/>
      </c>
    </row>
    <row r="111" spans="1:35" ht="108" x14ac:dyDescent="0.2">
      <c r="A111" s="20">
        <v>99</v>
      </c>
      <c r="B111" s="165" t="s">
        <v>928</v>
      </c>
      <c r="C111" s="21" t="s">
        <v>826</v>
      </c>
      <c r="D111" s="38"/>
      <c r="E111" s="38"/>
      <c r="F111" s="159" t="s">
        <v>188</v>
      </c>
      <c r="G111" s="160" cm="1">
        <f t="array" ref="G111">_xlfn.IFS(F111="","",F111="No interest",0,F111="Nice to have",1,F111="Useful",2,F111="Important",3,F111="Very important",4,F111="Critical",5,F111="Show stopper",6)</f>
        <v>5</v>
      </c>
      <c r="H111" s="161">
        <f t="shared" si="3"/>
        <v>3.9714058776806989E-3</v>
      </c>
      <c r="I111" s="157" t="s">
        <v>827</v>
      </c>
      <c r="J111" s="35" t="str" cm="1">
        <f t="array" ref="J111">_xlfn.TEXTJOIN(","&amp;CHAR(10),,TEXT(Table21215[[#This Row],[12]:[22]],"0,00%"))</f>
        <v>0,00%,
0,00%,
0,00%,
0,00%</v>
      </c>
      <c r="K111" s="36"/>
      <c r="L111" s="37" t="e">
        <f>H111-(H111*((MATCH(Table21215[[#This Row],[Evaluators Response (SELECT)]],Table21215[[#This Row],[1]:[11]],0)-1)/(COUNTA(Table21215[[#This Row],[1]:[11]])-COUNTBLANK(Table21215[[#This Row],[1]:[11]])-1)))</f>
        <v>#N/A</v>
      </c>
      <c r="M111" s="38"/>
      <c r="N111" s="29" t="s">
        <v>828</v>
      </c>
      <c r="O111" s="29" t="s">
        <v>829</v>
      </c>
      <c r="P111" s="29" t="s">
        <v>830</v>
      </c>
      <c r="Q111" s="29" t="str" cm="1">
        <f t="array" ref="Q111">IFERROR(INDEX(_xlfn.UNIQUE(TRIM(_xlfn.TEXTSPLIT(Table21215[[#This Row],[Selection Options]:[Selection Options]],","))),,Q$11),"")</f>
        <v xml:space="preserve">
 0%: Not currently supported</v>
      </c>
      <c r="R111" s="29" t="str" cm="1">
        <f t="array" ref="R111">IFERROR(INDEX(_xlfn.UNIQUE(TRIM(_xlfn.TEXTSPLIT(Table21215[[#This Row],[Selection Options]:[Selection Options]],","))),,R$11),"")</f>
        <v/>
      </c>
      <c r="S111" s="29" t="str" cm="1">
        <f t="array" ref="S111">IFERROR(INDEX(_xlfn.UNIQUE(TRIM(_xlfn.TEXTSPLIT(Table21215[[#This Row],[Selection Options]:[Selection Options]],","))),,S$11),"")</f>
        <v/>
      </c>
      <c r="T111" s="29" t="str" cm="1">
        <f t="array" ref="T111">IFERROR(INDEX(_xlfn.UNIQUE(TRIM(_xlfn.TEXTSPLIT(Table21215[[#This Row],[Selection Options]:[Selection Options]],","))),,T$11),"")</f>
        <v/>
      </c>
      <c r="U111" s="29" t="str" cm="1">
        <f t="array" ref="U111">IFERROR(INDEX(_xlfn.UNIQUE(TRIM(_xlfn.TEXTSPLIT(Table21215[[#This Row],[Selection Options]:[Selection Options]],","))),,U$11),"")</f>
        <v/>
      </c>
      <c r="V111" s="29" t="str" cm="1">
        <f t="array" ref="V111">IFERROR(INDEX(_xlfn.UNIQUE(TRIM(_xlfn.TEXTSPLIT(Table21215[[#This Row],[Selection Options]:[Selection Options]],","))),,V$11),"")</f>
        <v/>
      </c>
      <c r="W111" s="29" t="str" cm="1">
        <f t="array" ref="W111">IFERROR(INDEX(_xlfn.UNIQUE(TRIM(_xlfn.TEXTSPLIT(Table21215[[#This Row],[Selection Options]:[Selection Options]],","))),,W$11),"")</f>
        <v/>
      </c>
      <c r="X111" s="29" t="str" cm="1">
        <f t="array" ref="X111">IFERROR(INDEX(_xlfn.UNIQUE(TRIM(_xlfn.TEXTSPLIT(Table21215[[#This Row],[Selection Options]:[Selection Options]],","))),,X$11),"")</f>
        <v/>
      </c>
      <c r="Y111" s="30" cm="1">
        <f t="array" ref="Y111">IF(Table21215[[#This Row],[1]]="","",Table21215[[#This Row],[Weight]:[Weight]]-(Table21215[[#This Row],[Weight]:[Weight]]*((_xlfn.XMATCH(Table21215[[#This Row],[1]],Table21215[[#This Row],[1]:[11]],0))-1)/(COUNTA(Table21215[[#This Row],[1]:[11]])-COUNTBLANK(Table21215[[#This Row],[1]:[11]])-1)))</f>
        <v>3.9714058776806989E-3</v>
      </c>
      <c r="Z111" s="30" cm="1">
        <f t="array" ref="Z111">IF(Table21215[[#This Row],[2]]="","",Table21215[[#This Row],[Weight]:[Weight]]-(Table21215[[#This Row],[Weight]:[Weight]]*((_xlfn.XMATCH(Table21215[[#This Row],[2]],Table21215[[#This Row],[1]:[11]],0))-1)/(COUNTA(Table21215[[#This Row],[1]:[11]])-COUNTBLANK(Table21215[[#This Row],[1]:[11]])-1)))</f>
        <v>2.6476039184537992E-3</v>
      </c>
      <c r="AA111" s="30" cm="1">
        <f t="array" ref="AA111">IF(Table21215[[#This Row],[3]]="","",Table21215[[#This Row],[Weight]:[Weight]]-(Table21215[[#This Row],[Weight]:[Weight]]*((_xlfn.XMATCH(Table21215[[#This Row],[3]],Table21215[[#This Row],[1]:[11]],0))-1)/(COUNTA(Table21215[[#This Row],[1]:[11]])-COUNTBLANK(Table21215[[#This Row],[1]:[11]])-1)))</f>
        <v>1.3238019592268996E-3</v>
      </c>
      <c r="AB111" s="30" cm="1">
        <f t="array" ref="AB111">IF(Table21215[[#This Row],[4]]="","",Table21215[[#This Row],[Weight]:[Weight]]-(Table21215[[#This Row],[Weight]:[Weight]]*((_xlfn.XMATCH(Table21215[[#This Row],[4]],Table21215[[#This Row],[1]:[11]],0))-1)/(COUNTA(Table21215[[#This Row],[1]:[11]])-COUNTBLANK(Table21215[[#This Row],[1]:[11]])-1)))</f>
        <v>0</v>
      </c>
      <c r="AC111" s="30" t="str" cm="1">
        <f t="array" ref="AC111">IF(Table21215[[#This Row],[5]]="","",Table21215[[#This Row],[Weight]:[Weight]]-(Table21215[[#This Row],[Weight]:[Weight]]*((_xlfn.XMATCH(Table21215[[#This Row],[5]],Table21215[[#This Row],[1]:[11]],0))-1)/(COUNTA(Table21215[[#This Row],[1]:[11]])-COUNTBLANK(Table21215[[#This Row],[1]:[11]])-1)))</f>
        <v/>
      </c>
      <c r="AD111" s="30" t="str" cm="1">
        <f t="array" ref="AD111">IF(Table21215[[#This Row],[6]]="","",Table21215[[#This Row],[Weight]:[Weight]]-(Table21215[[#This Row],[Weight]:[Weight]]*((_xlfn.XMATCH(Table21215[[#This Row],[6]],Table21215[[#This Row],[1]:[11]],0))-1)/(COUNTA(Table21215[[#This Row],[1]:[11]])-COUNTBLANK(Table21215[[#This Row],[1]:[11]])-1)))</f>
        <v/>
      </c>
      <c r="AE111" s="30" t="str" cm="1">
        <f t="array" ref="AE111">IF(Table21215[[#This Row],[7]]="","",Table21215[[#This Row],[Weight]:[Weight]]-(Table21215[[#This Row],[Weight]:[Weight]]*((_xlfn.XMATCH(Table21215[[#This Row],[7]],Table21215[[#This Row],[1]:[11]],0))-1)/(COUNTA(Table21215[[#This Row],[1]:[11]])-COUNTBLANK(Table21215[[#This Row],[1]:[11]])-1)))</f>
        <v/>
      </c>
      <c r="AF111" s="30" t="str" cm="1">
        <f t="array" ref="AF111">IF(Table21215[[#This Row],[8]]="","",Table21215[[#This Row],[Weight]:[Weight]]-(Table21215[[#This Row],[Weight]:[Weight]]*((_xlfn.XMATCH(Table21215[[#This Row],[8]],Table21215[[#This Row],[1]:[11]],0))-1)/(COUNTA(Table21215[[#This Row],[1]:[11]])-COUNTBLANK(Table21215[[#This Row],[1]:[11]])-1)))</f>
        <v/>
      </c>
      <c r="AG111" s="30" t="str" cm="1">
        <f t="array" ref="AG111">IF(Table21215[[#This Row],[9]]="","",Table21215[[#This Row],[Weight]:[Weight]]-(Table21215[[#This Row],[Weight]:[Weight]]*((_xlfn.XMATCH(Table21215[[#This Row],[9]],Table21215[[#This Row],[1]:[11]],0))-1)/(COUNTA(Table21215[[#This Row],[1]:[11]])-COUNTBLANK(Table21215[[#This Row],[1]:[11]])-1)))</f>
        <v/>
      </c>
      <c r="AH111" s="30" t="str" cm="1">
        <f t="array" ref="AH111">IF(Table21215[[#This Row],[10]]="","",Table21215[[#This Row],[Weight]:[Weight]]-(Table21215[[#This Row],[Weight]:[Weight]]*((_xlfn.XMATCH(Table21215[[#This Row],[10]],Table21215[[#This Row],[1]:[11]],0))-1)/(COUNTA(Table21215[[#This Row],[1]:[11]])-COUNTBLANK(Table21215[[#This Row],[1]:[11]])-1)))</f>
        <v/>
      </c>
      <c r="AI111" s="30" t="str" cm="1">
        <f t="array" ref="AI111">IF(Table21215[[#This Row],[11]]="","",Table21215[[#This Row],[Weight]:[Weight]]-(Table21215[[#This Row],[Weight]:[Weight]]*((_xlfn.XMATCH(Table21215[[#This Row],[11]],Table21215[[#This Row],[1]:[11]],0))-1)/(COUNTA(Table21215[[#This Row],[1]:[11]])-COUNTBLANK(Table21215[[#This Row],[1]:[11]])-1)))</f>
        <v/>
      </c>
    </row>
    <row r="112" spans="1:35" ht="108" x14ac:dyDescent="0.2">
      <c r="A112" s="20">
        <v>100</v>
      </c>
      <c r="B112" s="165" t="s">
        <v>929</v>
      </c>
      <c r="C112" s="21" t="s">
        <v>826</v>
      </c>
      <c r="D112" s="38"/>
      <c r="E112" s="38"/>
      <c r="F112" s="159" t="s">
        <v>188</v>
      </c>
      <c r="G112" s="160" cm="1">
        <f t="array" ref="G112">_xlfn.IFS(F112="","",F112="No interest",0,F112="Nice to have",1,F112="Useful",2,F112="Important",3,F112="Very important",4,F112="Critical",5,F112="Show stopper",6)</f>
        <v>5</v>
      </c>
      <c r="H112" s="161">
        <f t="shared" si="3"/>
        <v>3.9714058776806989E-3</v>
      </c>
      <c r="I112" s="157" t="s">
        <v>827</v>
      </c>
      <c r="J112" s="35" t="str" cm="1">
        <f t="array" ref="J112">_xlfn.TEXTJOIN(","&amp;CHAR(10),,TEXT(Table21215[[#This Row],[12]:[22]],"0,00%"))</f>
        <v>0,00%,
0,00%,
0,00%,
0,00%</v>
      </c>
      <c r="K112" s="36"/>
      <c r="L112" s="37" t="e">
        <f>H112-(H112*((MATCH(Table21215[[#This Row],[Evaluators Response (SELECT)]],Table21215[[#This Row],[1]:[11]],0)-1)/(COUNTA(Table21215[[#This Row],[1]:[11]])-COUNTBLANK(Table21215[[#This Row],[1]:[11]])-1)))</f>
        <v>#N/A</v>
      </c>
      <c r="M112" s="38"/>
      <c r="N112" s="29" t="s">
        <v>828</v>
      </c>
      <c r="O112" s="29" t="s">
        <v>829</v>
      </c>
      <c r="P112" s="29" t="s">
        <v>830</v>
      </c>
      <c r="Q112" s="29" t="str" cm="1">
        <f t="array" ref="Q112">IFERROR(INDEX(_xlfn.UNIQUE(TRIM(_xlfn.TEXTSPLIT(Table21215[[#This Row],[Selection Options]:[Selection Options]],","))),,Q$11),"")</f>
        <v xml:space="preserve">
 0%: Not currently supported</v>
      </c>
      <c r="R112" s="29" t="str" cm="1">
        <f t="array" ref="R112">IFERROR(INDEX(_xlfn.UNIQUE(TRIM(_xlfn.TEXTSPLIT(Table21215[[#This Row],[Selection Options]:[Selection Options]],","))),,R$11),"")</f>
        <v/>
      </c>
      <c r="S112" s="29" t="str" cm="1">
        <f t="array" ref="S112">IFERROR(INDEX(_xlfn.UNIQUE(TRIM(_xlfn.TEXTSPLIT(Table21215[[#This Row],[Selection Options]:[Selection Options]],","))),,S$11),"")</f>
        <v/>
      </c>
      <c r="T112" s="29" t="str" cm="1">
        <f t="array" ref="T112">IFERROR(INDEX(_xlfn.UNIQUE(TRIM(_xlfn.TEXTSPLIT(Table21215[[#This Row],[Selection Options]:[Selection Options]],","))),,T$11),"")</f>
        <v/>
      </c>
      <c r="U112" s="29" t="str" cm="1">
        <f t="array" ref="U112">IFERROR(INDEX(_xlfn.UNIQUE(TRIM(_xlfn.TEXTSPLIT(Table21215[[#This Row],[Selection Options]:[Selection Options]],","))),,U$11),"")</f>
        <v/>
      </c>
      <c r="V112" s="29" t="str" cm="1">
        <f t="array" ref="V112">IFERROR(INDEX(_xlfn.UNIQUE(TRIM(_xlfn.TEXTSPLIT(Table21215[[#This Row],[Selection Options]:[Selection Options]],","))),,V$11),"")</f>
        <v/>
      </c>
      <c r="W112" s="29" t="str" cm="1">
        <f t="array" ref="W112">IFERROR(INDEX(_xlfn.UNIQUE(TRIM(_xlfn.TEXTSPLIT(Table21215[[#This Row],[Selection Options]:[Selection Options]],","))),,W$11),"")</f>
        <v/>
      </c>
      <c r="X112" s="29" t="str" cm="1">
        <f t="array" ref="X112">IFERROR(INDEX(_xlfn.UNIQUE(TRIM(_xlfn.TEXTSPLIT(Table21215[[#This Row],[Selection Options]:[Selection Options]],","))),,X$11),"")</f>
        <v/>
      </c>
      <c r="Y112" s="30" cm="1">
        <f t="array" ref="Y112">IF(Table21215[[#This Row],[1]]="","",Table21215[[#This Row],[Weight]:[Weight]]-(Table21215[[#This Row],[Weight]:[Weight]]*((_xlfn.XMATCH(Table21215[[#This Row],[1]],Table21215[[#This Row],[1]:[11]],0))-1)/(COUNTA(Table21215[[#This Row],[1]:[11]])-COUNTBLANK(Table21215[[#This Row],[1]:[11]])-1)))</f>
        <v>3.9714058776806989E-3</v>
      </c>
      <c r="Z112" s="30" cm="1">
        <f t="array" ref="Z112">IF(Table21215[[#This Row],[2]]="","",Table21215[[#This Row],[Weight]:[Weight]]-(Table21215[[#This Row],[Weight]:[Weight]]*((_xlfn.XMATCH(Table21215[[#This Row],[2]],Table21215[[#This Row],[1]:[11]],0))-1)/(COUNTA(Table21215[[#This Row],[1]:[11]])-COUNTBLANK(Table21215[[#This Row],[1]:[11]])-1)))</f>
        <v>2.6476039184537992E-3</v>
      </c>
      <c r="AA112" s="30" cm="1">
        <f t="array" ref="AA112">IF(Table21215[[#This Row],[3]]="","",Table21215[[#This Row],[Weight]:[Weight]]-(Table21215[[#This Row],[Weight]:[Weight]]*((_xlfn.XMATCH(Table21215[[#This Row],[3]],Table21215[[#This Row],[1]:[11]],0))-1)/(COUNTA(Table21215[[#This Row],[1]:[11]])-COUNTBLANK(Table21215[[#This Row],[1]:[11]])-1)))</f>
        <v>1.3238019592268996E-3</v>
      </c>
      <c r="AB112" s="30" cm="1">
        <f t="array" ref="AB112">IF(Table21215[[#This Row],[4]]="","",Table21215[[#This Row],[Weight]:[Weight]]-(Table21215[[#This Row],[Weight]:[Weight]]*((_xlfn.XMATCH(Table21215[[#This Row],[4]],Table21215[[#This Row],[1]:[11]],0))-1)/(COUNTA(Table21215[[#This Row],[1]:[11]])-COUNTBLANK(Table21215[[#This Row],[1]:[11]])-1)))</f>
        <v>0</v>
      </c>
      <c r="AC112" s="30" t="str" cm="1">
        <f t="array" ref="AC112">IF(Table21215[[#This Row],[5]]="","",Table21215[[#This Row],[Weight]:[Weight]]-(Table21215[[#This Row],[Weight]:[Weight]]*((_xlfn.XMATCH(Table21215[[#This Row],[5]],Table21215[[#This Row],[1]:[11]],0))-1)/(COUNTA(Table21215[[#This Row],[1]:[11]])-COUNTBLANK(Table21215[[#This Row],[1]:[11]])-1)))</f>
        <v/>
      </c>
      <c r="AD112" s="30" t="str" cm="1">
        <f t="array" ref="AD112">IF(Table21215[[#This Row],[6]]="","",Table21215[[#This Row],[Weight]:[Weight]]-(Table21215[[#This Row],[Weight]:[Weight]]*((_xlfn.XMATCH(Table21215[[#This Row],[6]],Table21215[[#This Row],[1]:[11]],0))-1)/(COUNTA(Table21215[[#This Row],[1]:[11]])-COUNTBLANK(Table21215[[#This Row],[1]:[11]])-1)))</f>
        <v/>
      </c>
      <c r="AE112" s="30" t="str" cm="1">
        <f t="array" ref="AE112">IF(Table21215[[#This Row],[7]]="","",Table21215[[#This Row],[Weight]:[Weight]]-(Table21215[[#This Row],[Weight]:[Weight]]*((_xlfn.XMATCH(Table21215[[#This Row],[7]],Table21215[[#This Row],[1]:[11]],0))-1)/(COUNTA(Table21215[[#This Row],[1]:[11]])-COUNTBLANK(Table21215[[#This Row],[1]:[11]])-1)))</f>
        <v/>
      </c>
      <c r="AF112" s="30" t="str" cm="1">
        <f t="array" ref="AF112">IF(Table21215[[#This Row],[8]]="","",Table21215[[#This Row],[Weight]:[Weight]]-(Table21215[[#This Row],[Weight]:[Weight]]*((_xlfn.XMATCH(Table21215[[#This Row],[8]],Table21215[[#This Row],[1]:[11]],0))-1)/(COUNTA(Table21215[[#This Row],[1]:[11]])-COUNTBLANK(Table21215[[#This Row],[1]:[11]])-1)))</f>
        <v/>
      </c>
      <c r="AG112" s="30" t="str" cm="1">
        <f t="array" ref="AG112">IF(Table21215[[#This Row],[9]]="","",Table21215[[#This Row],[Weight]:[Weight]]-(Table21215[[#This Row],[Weight]:[Weight]]*((_xlfn.XMATCH(Table21215[[#This Row],[9]],Table21215[[#This Row],[1]:[11]],0))-1)/(COUNTA(Table21215[[#This Row],[1]:[11]])-COUNTBLANK(Table21215[[#This Row],[1]:[11]])-1)))</f>
        <v/>
      </c>
      <c r="AH112" s="30" t="str" cm="1">
        <f t="array" ref="AH112">IF(Table21215[[#This Row],[10]]="","",Table21215[[#This Row],[Weight]:[Weight]]-(Table21215[[#This Row],[Weight]:[Weight]]*((_xlfn.XMATCH(Table21215[[#This Row],[10]],Table21215[[#This Row],[1]:[11]],0))-1)/(COUNTA(Table21215[[#This Row],[1]:[11]])-COUNTBLANK(Table21215[[#This Row],[1]:[11]])-1)))</f>
        <v/>
      </c>
      <c r="AI112" s="30" t="str" cm="1">
        <f t="array" ref="AI112">IF(Table21215[[#This Row],[11]]="","",Table21215[[#This Row],[Weight]:[Weight]]-(Table21215[[#This Row],[Weight]:[Weight]]*((_xlfn.XMATCH(Table21215[[#This Row],[11]],Table21215[[#This Row],[1]:[11]],0))-1)/(COUNTA(Table21215[[#This Row],[1]:[11]])-COUNTBLANK(Table21215[[#This Row],[1]:[11]])-1)))</f>
        <v/>
      </c>
    </row>
    <row r="113" spans="1:35" ht="108" x14ac:dyDescent="0.2">
      <c r="A113" s="20">
        <v>101</v>
      </c>
      <c r="B113" s="165" t="s">
        <v>930</v>
      </c>
      <c r="C113" s="21" t="s">
        <v>826</v>
      </c>
      <c r="D113" s="38"/>
      <c r="E113" s="38"/>
      <c r="F113" s="159" t="s">
        <v>188</v>
      </c>
      <c r="G113" s="160" cm="1">
        <f t="array" ref="G113">_xlfn.IFS(F113="","",F113="No interest",0,F113="Nice to have",1,F113="Useful",2,F113="Important",3,F113="Very important",4,F113="Critical",5,F113="Show stopper",6)</f>
        <v>5</v>
      </c>
      <c r="H113" s="161">
        <f t="shared" si="3"/>
        <v>3.9714058776806989E-3</v>
      </c>
      <c r="I113" s="157" t="s">
        <v>827</v>
      </c>
      <c r="J113" s="35" t="str" cm="1">
        <f t="array" ref="J113">_xlfn.TEXTJOIN(","&amp;CHAR(10),,TEXT(Table21215[[#This Row],[12]:[22]],"0,00%"))</f>
        <v>0,00%,
0,00%,
0,00%,
0,00%</v>
      </c>
      <c r="K113" s="36"/>
      <c r="L113" s="37" t="e">
        <f>H113-(H113*((MATCH(Table21215[[#This Row],[Evaluators Response (SELECT)]],Table21215[[#This Row],[1]:[11]],0)-1)/(COUNTA(Table21215[[#This Row],[1]:[11]])-COUNTBLANK(Table21215[[#This Row],[1]:[11]])-1)))</f>
        <v>#N/A</v>
      </c>
      <c r="M113" s="38"/>
      <c r="N113" s="29" t="s">
        <v>828</v>
      </c>
      <c r="O113" s="29" t="s">
        <v>829</v>
      </c>
      <c r="P113" s="29" t="s">
        <v>830</v>
      </c>
      <c r="Q113" s="29" t="str" cm="1">
        <f t="array" ref="Q113">IFERROR(INDEX(_xlfn.UNIQUE(TRIM(_xlfn.TEXTSPLIT(Table21215[[#This Row],[Selection Options]:[Selection Options]],","))),,Q$11),"")</f>
        <v xml:space="preserve">
 0%: Not currently supported</v>
      </c>
      <c r="R113" s="29" t="str" cm="1">
        <f t="array" ref="R113">IFERROR(INDEX(_xlfn.UNIQUE(TRIM(_xlfn.TEXTSPLIT(Table21215[[#This Row],[Selection Options]:[Selection Options]],","))),,R$11),"")</f>
        <v/>
      </c>
      <c r="S113" s="29" t="str" cm="1">
        <f t="array" ref="S113">IFERROR(INDEX(_xlfn.UNIQUE(TRIM(_xlfn.TEXTSPLIT(Table21215[[#This Row],[Selection Options]:[Selection Options]],","))),,S$11),"")</f>
        <v/>
      </c>
      <c r="T113" s="29" t="str" cm="1">
        <f t="array" ref="T113">IFERROR(INDEX(_xlfn.UNIQUE(TRIM(_xlfn.TEXTSPLIT(Table21215[[#This Row],[Selection Options]:[Selection Options]],","))),,T$11),"")</f>
        <v/>
      </c>
      <c r="U113" s="29" t="str" cm="1">
        <f t="array" ref="U113">IFERROR(INDEX(_xlfn.UNIQUE(TRIM(_xlfn.TEXTSPLIT(Table21215[[#This Row],[Selection Options]:[Selection Options]],","))),,U$11),"")</f>
        <v/>
      </c>
      <c r="V113" s="29" t="str" cm="1">
        <f t="array" ref="V113">IFERROR(INDEX(_xlfn.UNIQUE(TRIM(_xlfn.TEXTSPLIT(Table21215[[#This Row],[Selection Options]:[Selection Options]],","))),,V$11),"")</f>
        <v/>
      </c>
      <c r="W113" s="29" t="str" cm="1">
        <f t="array" ref="W113">IFERROR(INDEX(_xlfn.UNIQUE(TRIM(_xlfn.TEXTSPLIT(Table21215[[#This Row],[Selection Options]:[Selection Options]],","))),,W$11),"")</f>
        <v/>
      </c>
      <c r="X113" s="29" t="str" cm="1">
        <f t="array" ref="X113">IFERROR(INDEX(_xlfn.UNIQUE(TRIM(_xlfn.TEXTSPLIT(Table21215[[#This Row],[Selection Options]:[Selection Options]],","))),,X$11),"")</f>
        <v/>
      </c>
      <c r="Y113" s="30" cm="1">
        <f t="array" ref="Y113">IF(Table21215[[#This Row],[1]]="","",Table21215[[#This Row],[Weight]:[Weight]]-(Table21215[[#This Row],[Weight]:[Weight]]*((_xlfn.XMATCH(Table21215[[#This Row],[1]],Table21215[[#This Row],[1]:[11]],0))-1)/(COUNTA(Table21215[[#This Row],[1]:[11]])-COUNTBLANK(Table21215[[#This Row],[1]:[11]])-1)))</f>
        <v>3.9714058776806989E-3</v>
      </c>
      <c r="Z113" s="30" cm="1">
        <f t="array" ref="Z113">IF(Table21215[[#This Row],[2]]="","",Table21215[[#This Row],[Weight]:[Weight]]-(Table21215[[#This Row],[Weight]:[Weight]]*((_xlfn.XMATCH(Table21215[[#This Row],[2]],Table21215[[#This Row],[1]:[11]],0))-1)/(COUNTA(Table21215[[#This Row],[1]:[11]])-COUNTBLANK(Table21215[[#This Row],[1]:[11]])-1)))</f>
        <v>2.6476039184537992E-3</v>
      </c>
      <c r="AA113" s="30" cm="1">
        <f t="array" ref="AA113">IF(Table21215[[#This Row],[3]]="","",Table21215[[#This Row],[Weight]:[Weight]]-(Table21215[[#This Row],[Weight]:[Weight]]*((_xlfn.XMATCH(Table21215[[#This Row],[3]],Table21215[[#This Row],[1]:[11]],0))-1)/(COUNTA(Table21215[[#This Row],[1]:[11]])-COUNTBLANK(Table21215[[#This Row],[1]:[11]])-1)))</f>
        <v>1.3238019592268996E-3</v>
      </c>
      <c r="AB113" s="30" cm="1">
        <f t="array" ref="AB113">IF(Table21215[[#This Row],[4]]="","",Table21215[[#This Row],[Weight]:[Weight]]-(Table21215[[#This Row],[Weight]:[Weight]]*((_xlfn.XMATCH(Table21215[[#This Row],[4]],Table21215[[#This Row],[1]:[11]],0))-1)/(COUNTA(Table21215[[#This Row],[1]:[11]])-COUNTBLANK(Table21215[[#This Row],[1]:[11]])-1)))</f>
        <v>0</v>
      </c>
      <c r="AC113" s="30" t="str" cm="1">
        <f t="array" ref="AC113">IF(Table21215[[#This Row],[5]]="","",Table21215[[#This Row],[Weight]:[Weight]]-(Table21215[[#This Row],[Weight]:[Weight]]*((_xlfn.XMATCH(Table21215[[#This Row],[5]],Table21215[[#This Row],[1]:[11]],0))-1)/(COUNTA(Table21215[[#This Row],[1]:[11]])-COUNTBLANK(Table21215[[#This Row],[1]:[11]])-1)))</f>
        <v/>
      </c>
      <c r="AD113" s="30" t="str" cm="1">
        <f t="array" ref="AD113">IF(Table21215[[#This Row],[6]]="","",Table21215[[#This Row],[Weight]:[Weight]]-(Table21215[[#This Row],[Weight]:[Weight]]*((_xlfn.XMATCH(Table21215[[#This Row],[6]],Table21215[[#This Row],[1]:[11]],0))-1)/(COUNTA(Table21215[[#This Row],[1]:[11]])-COUNTBLANK(Table21215[[#This Row],[1]:[11]])-1)))</f>
        <v/>
      </c>
      <c r="AE113" s="30" t="str" cm="1">
        <f t="array" ref="AE113">IF(Table21215[[#This Row],[7]]="","",Table21215[[#This Row],[Weight]:[Weight]]-(Table21215[[#This Row],[Weight]:[Weight]]*((_xlfn.XMATCH(Table21215[[#This Row],[7]],Table21215[[#This Row],[1]:[11]],0))-1)/(COUNTA(Table21215[[#This Row],[1]:[11]])-COUNTBLANK(Table21215[[#This Row],[1]:[11]])-1)))</f>
        <v/>
      </c>
      <c r="AF113" s="30" t="str" cm="1">
        <f t="array" ref="AF113">IF(Table21215[[#This Row],[8]]="","",Table21215[[#This Row],[Weight]:[Weight]]-(Table21215[[#This Row],[Weight]:[Weight]]*((_xlfn.XMATCH(Table21215[[#This Row],[8]],Table21215[[#This Row],[1]:[11]],0))-1)/(COUNTA(Table21215[[#This Row],[1]:[11]])-COUNTBLANK(Table21215[[#This Row],[1]:[11]])-1)))</f>
        <v/>
      </c>
      <c r="AG113" s="30" t="str" cm="1">
        <f t="array" ref="AG113">IF(Table21215[[#This Row],[9]]="","",Table21215[[#This Row],[Weight]:[Weight]]-(Table21215[[#This Row],[Weight]:[Weight]]*((_xlfn.XMATCH(Table21215[[#This Row],[9]],Table21215[[#This Row],[1]:[11]],0))-1)/(COUNTA(Table21215[[#This Row],[1]:[11]])-COUNTBLANK(Table21215[[#This Row],[1]:[11]])-1)))</f>
        <v/>
      </c>
      <c r="AH113" s="30" t="str" cm="1">
        <f t="array" ref="AH113">IF(Table21215[[#This Row],[10]]="","",Table21215[[#This Row],[Weight]:[Weight]]-(Table21215[[#This Row],[Weight]:[Weight]]*((_xlfn.XMATCH(Table21215[[#This Row],[10]],Table21215[[#This Row],[1]:[11]],0))-1)/(COUNTA(Table21215[[#This Row],[1]:[11]])-COUNTBLANK(Table21215[[#This Row],[1]:[11]])-1)))</f>
        <v/>
      </c>
      <c r="AI113" s="30" t="str" cm="1">
        <f t="array" ref="AI113">IF(Table21215[[#This Row],[11]]="","",Table21215[[#This Row],[Weight]:[Weight]]-(Table21215[[#This Row],[Weight]:[Weight]]*((_xlfn.XMATCH(Table21215[[#This Row],[11]],Table21215[[#This Row],[1]:[11]],0))-1)/(COUNTA(Table21215[[#This Row],[1]:[11]])-COUNTBLANK(Table21215[[#This Row],[1]:[11]])-1)))</f>
        <v/>
      </c>
    </row>
    <row r="114" spans="1:35" ht="108" x14ac:dyDescent="0.2">
      <c r="A114" s="20">
        <v>102</v>
      </c>
      <c r="B114" s="165" t="s">
        <v>931</v>
      </c>
      <c r="C114" s="21" t="s">
        <v>826</v>
      </c>
      <c r="D114" s="38"/>
      <c r="E114" s="38"/>
      <c r="F114" s="159" t="s">
        <v>188</v>
      </c>
      <c r="G114" s="160" cm="1">
        <f t="array" ref="G114">_xlfn.IFS(F114="","",F114="No interest",0,F114="Nice to have",1,F114="Useful",2,F114="Important",3,F114="Very important",4,F114="Critical",5,F114="Show stopper",6)</f>
        <v>5</v>
      </c>
      <c r="H114" s="161">
        <f t="shared" si="3"/>
        <v>3.9714058776806989E-3</v>
      </c>
      <c r="I114" s="157" t="s">
        <v>827</v>
      </c>
      <c r="J114" s="35" t="str" cm="1">
        <f t="array" ref="J114">_xlfn.TEXTJOIN(","&amp;CHAR(10),,TEXT(Table21215[[#This Row],[12]:[22]],"0,00%"))</f>
        <v>0,00%,
0,00%,
0,00%,
0,00%</v>
      </c>
      <c r="K114" s="36"/>
      <c r="L114" s="37" t="e">
        <f>H114-(H114*((MATCH(Table21215[[#This Row],[Evaluators Response (SELECT)]],Table21215[[#This Row],[1]:[11]],0)-1)/(COUNTA(Table21215[[#This Row],[1]:[11]])-COUNTBLANK(Table21215[[#This Row],[1]:[11]])-1)))</f>
        <v>#N/A</v>
      </c>
      <c r="M114" s="38"/>
      <c r="N114" s="29" t="s">
        <v>828</v>
      </c>
      <c r="O114" s="29" t="s">
        <v>829</v>
      </c>
      <c r="P114" s="29" t="s">
        <v>830</v>
      </c>
      <c r="Q114" s="29" t="str" cm="1">
        <f t="array" ref="Q114">IFERROR(INDEX(_xlfn.UNIQUE(TRIM(_xlfn.TEXTSPLIT(Table21215[[#This Row],[Selection Options]:[Selection Options]],","))),,Q$11),"")</f>
        <v xml:space="preserve">
 0%: Not currently supported</v>
      </c>
      <c r="R114" s="29" t="str" cm="1">
        <f t="array" ref="R114">IFERROR(INDEX(_xlfn.UNIQUE(TRIM(_xlfn.TEXTSPLIT(Table21215[[#This Row],[Selection Options]:[Selection Options]],","))),,R$11),"")</f>
        <v/>
      </c>
      <c r="S114" s="29" t="str" cm="1">
        <f t="array" ref="S114">IFERROR(INDEX(_xlfn.UNIQUE(TRIM(_xlfn.TEXTSPLIT(Table21215[[#This Row],[Selection Options]:[Selection Options]],","))),,S$11),"")</f>
        <v/>
      </c>
      <c r="T114" s="29" t="str" cm="1">
        <f t="array" ref="T114">IFERROR(INDEX(_xlfn.UNIQUE(TRIM(_xlfn.TEXTSPLIT(Table21215[[#This Row],[Selection Options]:[Selection Options]],","))),,T$11),"")</f>
        <v/>
      </c>
      <c r="U114" s="29" t="str" cm="1">
        <f t="array" ref="U114">IFERROR(INDEX(_xlfn.UNIQUE(TRIM(_xlfn.TEXTSPLIT(Table21215[[#This Row],[Selection Options]:[Selection Options]],","))),,U$11),"")</f>
        <v/>
      </c>
      <c r="V114" s="29" t="str" cm="1">
        <f t="array" ref="V114">IFERROR(INDEX(_xlfn.UNIQUE(TRIM(_xlfn.TEXTSPLIT(Table21215[[#This Row],[Selection Options]:[Selection Options]],","))),,V$11),"")</f>
        <v/>
      </c>
      <c r="W114" s="29" t="str" cm="1">
        <f t="array" ref="W114">IFERROR(INDEX(_xlfn.UNIQUE(TRIM(_xlfn.TEXTSPLIT(Table21215[[#This Row],[Selection Options]:[Selection Options]],","))),,W$11),"")</f>
        <v/>
      </c>
      <c r="X114" s="29" t="str" cm="1">
        <f t="array" ref="X114">IFERROR(INDEX(_xlfn.UNIQUE(TRIM(_xlfn.TEXTSPLIT(Table21215[[#This Row],[Selection Options]:[Selection Options]],","))),,X$11),"")</f>
        <v/>
      </c>
      <c r="Y114" s="30" cm="1">
        <f t="array" ref="Y114">IF(Table21215[[#This Row],[1]]="","",Table21215[[#This Row],[Weight]:[Weight]]-(Table21215[[#This Row],[Weight]:[Weight]]*((_xlfn.XMATCH(Table21215[[#This Row],[1]],Table21215[[#This Row],[1]:[11]],0))-1)/(COUNTA(Table21215[[#This Row],[1]:[11]])-COUNTBLANK(Table21215[[#This Row],[1]:[11]])-1)))</f>
        <v>3.9714058776806989E-3</v>
      </c>
      <c r="Z114" s="30" cm="1">
        <f t="array" ref="Z114">IF(Table21215[[#This Row],[2]]="","",Table21215[[#This Row],[Weight]:[Weight]]-(Table21215[[#This Row],[Weight]:[Weight]]*((_xlfn.XMATCH(Table21215[[#This Row],[2]],Table21215[[#This Row],[1]:[11]],0))-1)/(COUNTA(Table21215[[#This Row],[1]:[11]])-COUNTBLANK(Table21215[[#This Row],[1]:[11]])-1)))</f>
        <v>2.6476039184537992E-3</v>
      </c>
      <c r="AA114" s="30" cm="1">
        <f t="array" ref="AA114">IF(Table21215[[#This Row],[3]]="","",Table21215[[#This Row],[Weight]:[Weight]]-(Table21215[[#This Row],[Weight]:[Weight]]*((_xlfn.XMATCH(Table21215[[#This Row],[3]],Table21215[[#This Row],[1]:[11]],0))-1)/(COUNTA(Table21215[[#This Row],[1]:[11]])-COUNTBLANK(Table21215[[#This Row],[1]:[11]])-1)))</f>
        <v>1.3238019592268996E-3</v>
      </c>
      <c r="AB114" s="30" cm="1">
        <f t="array" ref="AB114">IF(Table21215[[#This Row],[4]]="","",Table21215[[#This Row],[Weight]:[Weight]]-(Table21215[[#This Row],[Weight]:[Weight]]*((_xlfn.XMATCH(Table21215[[#This Row],[4]],Table21215[[#This Row],[1]:[11]],0))-1)/(COUNTA(Table21215[[#This Row],[1]:[11]])-COUNTBLANK(Table21215[[#This Row],[1]:[11]])-1)))</f>
        <v>0</v>
      </c>
      <c r="AC114" s="30" t="str" cm="1">
        <f t="array" ref="AC114">IF(Table21215[[#This Row],[5]]="","",Table21215[[#This Row],[Weight]:[Weight]]-(Table21215[[#This Row],[Weight]:[Weight]]*((_xlfn.XMATCH(Table21215[[#This Row],[5]],Table21215[[#This Row],[1]:[11]],0))-1)/(COUNTA(Table21215[[#This Row],[1]:[11]])-COUNTBLANK(Table21215[[#This Row],[1]:[11]])-1)))</f>
        <v/>
      </c>
      <c r="AD114" s="30" t="str" cm="1">
        <f t="array" ref="AD114">IF(Table21215[[#This Row],[6]]="","",Table21215[[#This Row],[Weight]:[Weight]]-(Table21215[[#This Row],[Weight]:[Weight]]*((_xlfn.XMATCH(Table21215[[#This Row],[6]],Table21215[[#This Row],[1]:[11]],0))-1)/(COUNTA(Table21215[[#This Row],[1]:[11]])-COUNTBLANK(Table21215[[#This Row],[1]:[11]])-1)))</f>
        <v/>
      </c>
      <c r="AE114" s="30" t="str" cm="1">
        <f t="array" ref="AE114">IF(Table21215[[#This Row],[7]]="","",Table21215[[#This Row],[Weight]:[Weight]]-(Table21215[[#This Row],[Weight]:[Weight]]*((_xlfn.XMATCH(Table21215[[#This Row],[7]],Table21215[[#This Row],[1]:[11]],0))-1)/(COUNTA(Table21215[[#This Row],[1]:[11]])-COUNTBLANK(Table21215[[#This Row],[1]:[11]])-1)))</f>
        <v/>
      </c>
      <c r="AF114" s="30" t="str" cm="1">
        <f t="array" ref="AF114">IF(Table21215[[#This Row],[8]]="","",Table21215[[#This Row],[Weight]:[Weight]]-(Table21215[[#This Row],[Weight]:[Weight]]*((_xlfn.XMATCH(Table21215[[#This Row],[8]],Table21215[[#This Row],[1]:[11]],0))-1)/(COUNTA(Table21215[[#This Row],[1]:[11]])-COUNTBLANK(Table21215[[#This Row],[1]:[11]])-1)))</f>
        <v/>
      </c>
      <c r="AG114" s="30" t="str" cm="1">
        <f t="array" ref="AG114">IF(Table21215[[#This Row],[9]]="","",Table21215[[#This Row],[Weight]:[Weight]]-(Table21215[[#This Row],[Weight]:[Weight]]*((_xlfn.XMATCH(Table21215[[#This Row],[9]],Table21215[[#This Row],[1]:[11]],0))-1)/(COUNTA(Table21215[[#This Row],[1]:[11]])-COUNTBLANK(Table21215[[#This Row],[1]:[11]])-1)))</f>
        <v/>
      </c>
      <c r="AH114" s="30" t="str" cm="1">
        <f t="array" ref="AH114">IF(Table21215[[#This Row],[10]]="","",Table21215[[#This Row],[Weight]:[Weight]]-(Table21215[[#This Row],[Weight]:[Weight]]*((_xlfn.XMATCH(Table21215[[#This Row],[10]],Table21215[[#This Row],[1]:[11]],0))-1)/(COUNTA(Table21215[[#This Row],[1]:[11]])-COUNTBLANK(Table21215[[#This Row],[1]:[11]])-1)))</f>
        <v/>
      </c>
      <c r="AI114" s="30" t="str" cm="1">
        <f t="array" ref="AI114">IF(Table21215[[#This Row],[11]]="","",Table21215[[#This Row],[Weight]:[Weight]]-(Table21215[[#This Row],[Weight]:[Weight]]*((_xlfn.XMATCH(Table21215[[#This Row],[11]],Table21215[[#This Row],[1]:[11]],0))-1)/(COUNTA(Table21215[[#This Row],[1]:[11]])-COUNTBLANK(Table21215[[#This Row],[1]:[11]])-1)))</f>
        <v/>
      </c>
    </row>
    <row r="115" spans="1:35" ht="108" x14ac:dyDescent="0.2">
      <c r="A115" s="20">
        <v>103</v>
      </c>
      <c r="B115" s="165" t="s">
        <v>932</v>
      </c>
      <c r="C115" s="21" t="s">
        <v>826</v>
      </c>
      <c r="D115" s="38"/>
      <c r="E115" s="38"/>
      <c r="F115" s="159" t="s">
        <v>188</v>
      </c>
      <c r="G115" s="160" cm="1">
        <f t="array" ref="G115">_xlfn.IFS(F115="","",F115="No interest",0,F115="Nice to have",1,F115="Useful",2,F115="Important",3,F115="Very important",4,F115="Critical",5,F115="Show stopper",6)</f>
        <v>5</v>
      </c>
      <c r="H115" s="161">
        <f t="shared" si="3"/>
        <v>3.9714058776806989E-3</v>
      </c>
      <c r="I115" s="157" t="s">
        <v>827</v>
      </c>
      <c r="J115" s="35" t="str" cm="1">
        <f t="array" ref="J115">_xlfn.TEXTJOIN(","&amp;CHAR(10),,TEXT(Table21215[[#This Row],[12]:[22]],"0,00%"))</f>
        <v>0,00%,
0,00%,
0,00%,
0,00%</v>
      </c>
      <c r="K115" s="36"/>
      <c r="L115" s="37" t="e">
        <f>H115-(H115*((MATCH(Table21215[[#This Row],[Evaluators Response (SELECT)]],Table21215[[#This Row],[1]:[11]],0)-1)/(COUNTA(Table21215[[#This Row],[1]:[11]])-COUNTBLANK(Table21215[[#This Row],[1]:[11]])-1)))</f>
        <v>#N/A</v>
      </c>
      <c r="M115" s="38"/>
      <c r="N115" s="29" t="s">
        <v>828</v>
      </c>
      <c r="O115" s="29" t="s">
        <v>829</v>
      </c>
      <c r="P115" s="29" t="s">
        <v>830</v>
      </c>
      <c r="Q115" s="29" t="str" cm="1">
        <f t="array" ref="Q115">IFERROR(INDEX(_xlfn.UNIQUE(TRIM(_xlfn.TEXTSPLIT(Table21215[[#This Row],[Selection Options]:[Selection Options]],","))),,Q$11),"")</f>
        <v xml:space="preserve">
 0%: Not currently supported</v>
      </c>
      <c r="R115" s="29" t="str" cm="1">
        <f t="array" ref="R115">IFERROR(INDEX(_xlfn.UNIQUE(TRIM(_xlfn.TEXTSPLIT(Table21215[[#This Row],[Selection Options]:[Selection Options]],","))),,R$11),"")</f>
        <v/>
      </c>
      <c r="S115" s="29" t="str" cm="1">
        <f t="array" ref="S115">IFERROR(INDEX(_xlfn.UNIQUE(TRIM(_xlfn.TEXTSPLIT(Table21215[[#This Row],[Selection Options]:[Selection Options]],","))),,S$11),"")</f>
        <v/>
      </c>
      <c r="T115" s="29" t="str" cm="1">
        <f t="array" ref="T115">IFERROR(INDEX(_xlfn.UNIQUE(TRIM(_xlfn.TEXTSPLIT(Table21215[[#This Row],[Selection Options]:[Selection Options]],","))),,T$11),"")</f>
        <v/>
      </c>
      <c r="U115" s="29" t="str" cm="1">
        <f t="array" ref="U115">IFERROR(INDEX(_xlfn.UNIQUE(TRIM(_xlfn.TEXTSPLIT(Table21215[[#This Row],[Selection Options]:[Selection Options]],","))),,U$11),"")</f>
        <v/>
      </c>
      <c r="V115" s="29" t="str" cm="1">
        <f t="array" ref="V115">IFERROR(INDEX(_xlfn.UNIQUE(TRIM(_xlfn.TEXTSPLIT(Table21215[[#This Row],[Selection Options]:[Selection Options]],","))),,V$11),"")</f>
        <v/>
      </c>
      <c r="W115" s="29" t="str" cm="1">
        <f t="array" ref="W115">IFERROR(INDEX(_xlfn.UNIQUE(TRIM(_xlfn.TEXTSPLIT(Table21215[[#This Row],[Selection Options]:[Selection Options]],","))),,W$11),"")</f>
        <v/>
      </c>
      <c r="X115" s="29" t="str" cm="1">
        <f t="array" ref="X115">IFERROR(INDEX(_xlfn.UNIQUE(TRIM(_xlfn.TEXTSPLIT(Table21215[[#This Row],[Selection Options]:[Selection Options]],","))),,X$11),"")</f>
        <v/>
      </c>
      <c r="Y115" s="30" cm="1">
        <f t="array" ref="Y115">IF(Table21215[[#This Row],[1]]="","",Table21215[[#This Row],[Weight]:[Weight]]-(Table21215[[#This Row],[Weight]:[Weight]]*((_xlfn.XMATCH(Table21215[[#This Row],[1]],Table21215[[#This Row],[1]:[11]],0))-1)/(COUNTA(Table21215[[#This Row],[1]:[11]])-COUNTBLANK(Table21215[[#This Row],[1]:[11]])-1)))</f>
        <v>3.9714058776806989E-3</v>
      </c>
      <c r="Z115" s="30" cm="1">
        <f t="array" ref="Z115">IF(Table21215[[#This Row],[2]]="","",Table21215[[#This Row],[Weight]:[Weight]]-(Table21215[[#This Row],[Weight]:[Weight]]*((_xlfn.XMATCH(Table21215[[#This Row],[2]],Table21215[[#This Row],[1]:[11]],0))-1)/(COUNTA(Table21215[[#This Row],[1]:[11]])-COUNTBLANK(Table21215[[#This Row],[1]:[11]])-1)))</f>
        <v>2.6476039184537992E-3</v>
      </c>
      <c r="AA115" s="30" cm="1">
        <f t="array" ref="AA115">IF(Table21215[[#This Row],[3]]="","",Table21215[[#This Row],[Weight]:[Weight]]-(Table21215[[#This Row],[Weight]:[Weight]]*((_xlfn.XMATCH(Table21215[[#This Row],[3]],Table21215[[#This Row],[1]:[11]],0))-1)/(COUNTA(Table21215[[#This Row],[1]:[11]])-COUNTBLANK(Table21215[[#This Row],[1]:[11]])-1)))</f>
        <v>1.3238019592268996E-3</v>
      </c>
      <c r="AB115" s="30" cm="1">
        <f t="array" ref="AB115">IF(Table21215[[#This Row],[4]]="","",Table21215[[#This Row],[Weight]:[Weight]]-(Table21215[[#This Row],[Weight]:[Weight]]*((_xlfn.XMATCH(Table21215[[#This Row],[4]],Table21215[[#This Row],[1]:[11]],0))-1)/(COUNTA(Table21215[[#This Row],[1]:[11]])-COUNTBLANK(Table21215[[#This Row],[1]:[11]])-1)))</f>
        <v>0</v>
      </c>
      <c r="AC115" s="30" t="str" cm="1">
        <f t="array" ref="AC115">IF(Table21215[[#This Row],[5]]="","",Table21215[[#This Row],[Weight]:[Weight]]-(Table21215[[#This Row],[Weight]:[Weight]]*((_xlfn.XMATCH(Table21215[[#This Row],[5]],Table21215[[#This Row],[1]:[11]],0))-1)/(COUNTA(Table21215[[#This Row],[1]:[11]])-COUNTBLANK(Table21215[[#This Row],[1]:[11]])-1)))</f>
        <v/>
      </c>
      <c r="AD115" s="30" t="str" cm="1">
        <f t="array" ref="AD115">IF(Table21215[[#This Row],[6]]="","",Table21215[[#This Row],[Weight]:[Weight]]-(Table21215[[#This Row],[Weight]:[Weight]]*((_xlfn.XMATCH(Table21215[[#This Row],[6]],Table21215[[#This Row],[1]:[11]],0))-1)/(COUNTA(Table21215[[#This Row],[1]:[11]])-COUNTBLANK(Table21215[[#This Row],[1]:[11]])-1)))</f>
        <v/>
      </c>
      <c r="AE115" s="30" t="str" cm="1">
        <f t="array" ref="AE115">IF(Table21215[[#This Row],[7]]="","",Table21215[[#This Row],[Weight]:[Weight]]-(Table21215[[#This Row],[Weight]:[Weight]]*((_xlfn.XMATCH(Table21215[[#This Row],[7]],Table21215[[#This Row],[1]:[11]],0))-1)/(COUNTA(Table21215[[#This Row],[1]:[11]])-COUNTBLANK(Table21215[[#This Row],[1]:[11]])-1)))</f>
        <v/>
      </c>
      <c r="AF115" s="30" t="str" cm="1">
        <f t="array" ref="AF115">IF(Table21215[[#This Row],[8]]="","",Table21215[[#This Row],[Weight]:[Weight]]-(Table21215[[#This Row],[Weight]:[Weight]]*((_xlfn.XMATCH(Table21215[[#This Row],[8]],Table21215[[#This Row],[1]:[11]],0))-1)/(COUNTA(Table21215[[#This Row],[1]:[11]])-COUNTBLANK(Table21215[[#This Row],[1]:[11]])-1)))</f>
        <v/>
      </c>
      <c r="AG115" s="30" t="str" cm="1">
        <f t="array" ref="AG115">IF(Table21215[[#This Row],[9]]="","",Table21215[[#This Row],[Weight]:[Weight]]-(Table21215[[#This Row],[Weight]:[Weight]]*((_xlfn.XMATCH(Table21215[[#This Row],[9]],Table21215[[#This Row],[1]:[11]],0))-1)/(COUNTA(Table21215[[#This Row],[1]:[11]])-COUNTBLANK(Table21215[[#This Row],[1]:[11]])-1)))</f>
        <v/>
      </c>
      <c r="AH115" s="30" t="str" cm="1">
        <f t="array" ref="AH115">IF(Table21215[[#This Row],[10]]="","",Table21215[[#This Row],[Weight]:[Weight]]-(Table21215[[#This Row],[Weight]:[Weight]]*((_xlfn.XMATCH(Table21215[[#This Row],[10]],Table21215[[#This Row],[1]:[11]],0))-1)/(COUNTA(Table21215[[#This Row],[1]:[11]])-COUNTBLANK(Table21215[[#This Row],[1]:[11]])-1)))</f>
        <v/>
      </c>
      <c r="AI115" s="30" t="str" cm="1">
        <f t="array" ref="AI115">IF(Table21215[[#This Row],[11]]="","",Table21215[[#This Row],[Weight]:[Weight]]-(Table21215[[#This Row],[Weight]:[Weight]]*((_xlfn.XMATCH(Table21215[[#This Row],[11]],Table21215[[#This Row],[1]:[11]],0))-1)/(COUNTA(Table21215[[#This Row],[1]:[11]])-COUNTBLANK(Table21215[[#This Row],[1]:[11]])-1)))</f>
        <v/>
      </c>
    </row>
    <row r="116" spans="1:35" ht="108" x14ac:dyDescent="0.2">
      <c r="A116" s="20">
        <v>104</v>
      </c>
      <c r="B116" s="165" t="s">
        <v>933</v>
      </c>
      <c r="C116" s="21" t="s">
        <v>826</v>
      </c>
      <c r="D116" s="38"/>
      <c r="E116" s="38"/>
      <c r="F116" s="159" t="s">
        <v>188</v>
      </c>
      <c r="G116" s="160" cm="1">
        <f t="array" ref="G116">_xlfn.IFS(F116="","",F116="No interest",0,F116="Nice to have",1,F116="Useful",2,F116="Important",3,F116="Very important",4,F116="Critical",5,F116="Show stopper",6)</f>
        <v>5</v>
      </c>
      <c r="H116" s="161">
        <f t="shared" si="3"/>
        <v>3.9714058776806989E-3</v>
      </c>
      <c r="I116" s="157" t="s">
        <v>827</v>
      </c>
      <c r="J116" s="35" t="str" cm="1">
        <f t="array" ref="J116">_xlfn.TEXTJOIN(","&amp;CHAR(10),,TEXT(Table21215[[#This Row],[12]:[22]],"0,00%"))</f>
        <v>0,00%,
0,00%,
0,00%,
0,00%</v>
      </c>
      <c r="K116" s="36"/>
      <c r="L116" s="37" t="e">
        <f>H116-(H116*((MATCH(Table21215[[#This Row],[Evaluators Response (SELECT)]],Table21215[[#This Row],[1]:[11]],0)-1)/(COUNTA(Table21215[[#This Row],[1]:[11]])-COUNTBLANK(Table21215[[#This Row],[1]:[11]])-1)))</f>
        <v>#N/A</v>
      </c>
      <c r="M116" s="38"/>
      <c r="N116" s="29" t="s">
        <v>828</v>
      </c>
      <c r="O116" s="29" t="s">
        <v>829</v>
      </c>
      <c r="P116" s="29" t="s">
        <v>830</v>
      </c>
      <c r="Q116" s="29" t="str" cm="1">
        <f t="array" ref="Q116">IFERROR(INDEX(_xlfn.UNIQUE(TRIM(_xlfn.TEXTSPLIT(Table21215[[#This Row],[Selection Options]:[Selection Options]],","))),,Q$11),"")</f>
        <v xml:space="preserve">
 0%: Not currently supported</v>
      </c>
      <c r="R116" s="29" t="str" cm="1">
        <f t="array" ref="R116">IFERROR(INDEX(_xlfn.UNIQUE(TRIM(_xlfn.TEXTSPLIT(Table21215[[#This Row],[Selection Options]:[Selection Options]],","))),,R$11),"")</f>
        <v/>
      </c>
      <c r="S116" s="29" t="str" cm="1">
        <f t="array" ref="S116">IFERROR(INDEX(_xlfn.UNIQUE(TRIM(_xlfn.TEXTSPLIT(Table21215[[#This Row],[Selection Options]:[Selection Options]],","))),,S$11),"")</f>
        <v/>
      </c>
      <c r="T116" s="29" t="str" cm="1">
        <f t="array" ref="T116">IFERROR(INDEX(_xlfn.UNIQUE(TRIM(_xlfn.TEXTSPLIT(Table21215[[#This Row],[Selection Options]:[Selection Options]],","))),,T$11),"")</f>
        <v/>
      </c>
      <c r="U116" s="29" t="str" cm="1">
        <f t="array" ref="U116">IFERROR(INDEX(_xlfn.UNIQUE(TRIM(_xlfn.TEXTSPLIT(Table21215[[#This Row],[Selection Options]:[Selection Options]],","))),,U$11),"")</f>
        <v/>
      </c>
      <c r="V116" s="29" t="str" cm="1">
        <f t="array" ref="V116">IFERROR(INDEX(_xlfn.UNIQUE(TRIM(_xlfn.TEXTSPLIT(Table21215[[#This Row],[Selection Options]:[Selection Options]],","))),,V$11),"")</f>
        <v/>
      </c>
      <c r="W116" s="29" t="str" cm="1">
        <f t="array" ref="W116">IFERROR(INDEX(_xlfn.UNIQUE(TRIM(_xlfn.TEXTSPLIT(Table21215[[#This Row],[Selection Options]:[Selection Options]],","))),,W$11),"")</f>
        <v/>
      </c>
      <c r="X116" s="29" t="str" cm="1">
        <f t="array" ref="X116">IFERROR(INDEX(_xlfn.UNIQUE(TRIM(_xlfn.TEXTSPLIT(Table21215[[#This Row],[Selection Options]:[Selection Options]],","))),,X$11),"")</f>
        <v/>
      </c>
      <c r="Y116" s="30" cm="1">
        <f t="array" ref="Y116">IF(Table21215[[#This Row],[1]]="","",Table21215[[#This Row],[Weight]:[Weight]]-(Table21215[[#This Row],[Weight]:[Weight]]*((_xlfn.XMATCH(Table21215[[#This Row],[1]],Table21215[[#This Row],[1]:[11]],0))-1)/(COUNTA(Table21215[[#This Row],[1]:[11]])-COUNTBLANK(Table21215[[#This Row],[1]:[11]])-1)))</f>
        <v>3.9714058776806989E-3</v>
      </c>
      <c r="Z116" s="30" cm="1">
        <f t="array" ref="Z116">IF(Table21215[[#This Row],[2]]="","",Table21215[[#This Row],[Weight]:[Weight]]-(Table21215[[#This Row],[Weight]:[Weight]]*((_xlfn.XMATCH(Table21215[[#This Row],[2]],Table21215[[#This Row],[1]:[11]],0))-1)/(COUNTA(Table21215[[#This Row],[1]:[11]])-COUNTBLANK(Table21215[[#This Row],[1]:[11]])-1)))</f>
        <v>2.6476039184537992E-3</v>
      </c>
      <c r="AA116" s="30" cm="1">
        <f t="array" ref="AA116">IF(Table21215[[#This Row],[3]]="","",Table21215[[#This Row],[Weight]:[Weight]]-(Table21215[[#This Row],[Weight]:[Weight]]*((_xlfn.XMATCH(Table21215[[#This Row],[3]],Table21215[[#This Row],[1]:[11]],0))-1)/(COUNTA(Table21215[[#This Row],[1]:[11]])-COUNTBLANK(Table21215[[#This Row],[1]:[11]])-1)))</f>
        <v>1.3238019592268996E-3</v>
      </c>
      <c r="AB116" s="30" cm="1">
        <f t="array" ref="AB116">IF(Table21215[[#This Row],[4]]="","",Table21215[[#This Row],[Weight]:[Weight]]-(Table21215[[#This Row],[Weight]:[Weight]]*((_xlfn.XMATCH(Table21215[[#This Row],[4]],Table21215[[#This Row],[1]:[11]],0))-1)/(COUNTA(Table21215[[#This Row],[1]:[11]])-COUNTBLANK(Table21215[[#This Row],[1]:[11]])-1)))</f>
        <v>0</v>
      </c>
      <c r="AC116" s="30" t="str" cm="1">
        <f t="array" ref="AC116">IF(Table21215[[#This Row],[5]]="","",Table21215[[#This Row],[Weight]:[Weight]]-(Table21215[[#This Row],[Weight]:[Weight]]*((_xlfn.XMATCH(Table21215[[#This Row],[5]],Table21215[[#This Row],[1]:[11]],0))-1)/(COUNTA(Table21215[[#This Row],[1]:[11]])-COUNTBLANK(Table21215[[#This Row],[1]:[11]])-1)))</f>
        <v/>
      </c>
      <c r="AD116" s="30" t="str" cm="1">
        <f t="array" ref="AD116">IF(Table21215[[#This Row],[6]]="","",Table21215[[#This Row],[Weight]:[Weight]]-(Table21215[[#This Row],[Weight]:[Weight]]*((_xlfn.XMATCH(Table21215[[#This Row],[6]],Table21215[[#This Row],[1]:[11]],0))-1)/(COUNTA(Table21215[[#This Row],[1]:[11]])-COUNTBLANK(Table21215[[#This Row],[1]:[11]])-1)))</f>
        <v/>
      </c>
      <c r="AE116" s="30" t="str" cm="1">
        <f t="array" ref="AE116">IF(Table21215[[#This Row],[7]]="","",Table21215[[#This Row],[Weight]:[Weight]]-(Table21215[[#This Row],[Weight]:[Weight]]*((_xlfn.XMATCH(Table21215[[#This Row],[7]],Table21215[[#This Row],[1]:[11]],0))-1)/(COUNTA(Table21215[[#This Row],[1]:[11]])-COUNTBLANK(Table21215[[#This Row],[1]:[11]])-1)))</f>
        <v/>
      </c>
      <c r="AF116" s="30" t="str" cm="1">
        <f t="array" ref="AF116">IF(Table21215[[#This Row],[8]]="","",Table21215[[#This Row],[Weight]:[Weight]]-(Table21215[[#This Row],[Weight]:[Weight]]*((_xlfn.XMATCH(Table21215[[#This Row],[8]],Table21215[[#This Row],[1]:[11]],0))-1)/(COUNTA(Table21215[[#This Row],[1]:[11]])-COUNTBLANK(Table21215[[#This Row],[1]:[11]])-1)))</f>
        <v/>
      </c>
      <c r="AG116" s="30" t="str" cm="1">
        <f t="array" ref="AG116">IF(Table21215[[#This Row],[9]]="","",Table21215[[#This Row],[Weight]:[Weight]]-(Table21215[[#This Row],[Weight]:[Weight]]*((_xlfn.XMATCH(Table21215[[#This Row],[9]],Table21215[[#This Row],[1]:[11]],0))-1)/(COUNTA(Table21215[[#This Row],[1]:[11]])-COUNTBLANK(Table21215[[#This Row],[1]:[11]])-1)))</f>
        <v/>
      </c>
      <c r="AH116" s="30" t="str" cm="1">
        <f t="array" ref="AH116">IF(Table21215[[#This Row],[10]]="","",Table21215[[#This Row],[Weight]:[Weight]]-(Table21215[[#This Row],[Weight]:[Weight]]*((_xlfn.XMATCH(Table21215[[#This Row],[10]],Table21215[[#This Row],[1]:[11]],0))-1)/(COUNTA(Table21215[[#This Row],[1]:[11]])-COUNTBLANK(Table21215[[#This Row],[1]:[11]])-1)))</f>
        <v/>
      </c>
      <c r="AI116" s="30" t="str" cm="1">
        <f t="array" ref="AI116">IF(Table21215[[#This Row],[11]]="","",Table21215[[#This Row],[Weight]:[Weight]]-(Table21215[[#This Row],[Weight]:[Weight]]*((_xlfn.XMATCH(Table21215[[#This Row],[11]],Table21215[[#This Row],[1]:[11]],0))-1)/(COUNTA(Table21215[[#This Row],[1]:[11]])-COUNTBLANK(Table21215[[#This Row],[1]:[11]])-1)))</f>
        <v/>
      </c>
    </row>
    <row r="117" spans="1:35" ht="108" x14ac:dyDescent="0.2">
      <c r="A117" s="20">
        <v>105</v>
      </c>
      <c r="B117" s="165" t="s">
        <v>934</v>
      </c>
      <c r="C117" s="21" t="s">
        <v>826</v>
      </c>
      <c r="D117" s="38"/>
      <c r="E117" s="38"/>
      <c r="F117" s="159" t="s">
        <v>188</v>
      </c>
      <c r="G117" s="160" cm="1">
        <f t="array" ref="G117">_xlfn.IFS(F117="","",F117="No interest",0,F117="Nice to have",1,F117="Useful",2,F117="Important",3,F117="Very important",4,F117="Critical",5,F117="Show stopper",6)</f>
        <v>5</v>
      </c>
      <c r="H117" s="161">
        <f t="shared" si="3"/>
        <v>3.9714058776806989E-3</v>
      </c>
      <c r="I117" s="157" t="s">
        <v>827</v>
      </c>
      <c r="J117" s="35" t="str" cm="1">
        <f t="array" ref="J117">_xlfn.TEXTJOIN(","&amp;CHAR(10),,TEXT(Table21215[[#This Row],[12]:[22]],"0,00%"))</f>
        <v>0,00%,
0,00%,
0,00%,
0,00%</v>
      </c>
      <c r="K117" s="36"/>
      <c r="L117" s="37" t="e">
        <f>H117-(H117*((MATCH(Table21215[[#This Row],[Evaluators Response (SELECT)]],Table21215[[#This Row],[1]:[11]],0)-1)/(COUNTA(Table21215[[#This Row],[1]:[11]])-COUNTBLANK(Table21215[[#This Row],[1]:[11]])-1)))</f>
        <v>#N/A</v>
      </c>
      <c r="M117" s="38"/>
      <c r="N117" s="29" t="s">
        <v>828</v>
      </c>
      <c r="O117" s="29" t="s">
        <v>829</v>
      </c>
      <c r="P117" s="29" t="s">
        <v>830</v>
      </c>
      <c r="Q117" s="29" t="str" cm="1">
        <f t="array" ref="Q117">IFERROR(INDEX(_xlfn.UNIQUE(TRIM(_xlfn.TEXTSPLIT(Table21215[[#This Row],[Selection Options]:[Selection Options]],","))),,Q$11),"")</f>
        <v xml:space="preserve">
 0%: Not currently supported</v>
      </c>
      <c r="R117" s="29" t="str" cm="1">
        <f t="array" ref="R117">IFERROR(INDEX(_xlfn.UNIQUE(TRIM(_xlfn.TEXTSPLIT(Table21215[[#This Row],[Selection Options]:[Selection Options]],","))),,R$11),"")</f>
        <v/>
      </c>
      <c r="S117" s="29" t="str" cm="1">
        <f t="array" ref="S117">IFERROR(INDEX(_xlfn.UNIQUE(TRIM(_xlfn.TEXTSPLIT(Table21215[[#This Row],[Selection Options]:[Selection Options]],","))),,S$11),"")</f>
        <v/>
      </c>
      <c r="T117" s="29" t="str" cm="1">
        <f t="array" ref="T117">IFERROR(INDEX(_xlfn.UNIQUE(TRIM(_xlfn.TEXTSPLIT(Table21215[[#This Row],[Selection Options]:[Selection Options]],","))),,T$11),"")</f>
        <v/>
      </c>
      <c r="U117" s="29" t="str" cm="1">
        <f t="array" ref="U117">IFERROR(INDEX(_xlfn.UNIQUE(TRIM(_xlfn.TEXTSPLIT(Table21215[[#This Row],[Selection Options]:[Selection Options]],","))),,U$11),"")</f>
        <v/>
      </c>
      <c r="V117" s="29" t="str" cm="1">
        <f t="array" ref="V117">IFERROR(INDEX(_xlfn.UNIQUE(TRIM(_xlfn.TEXTSPLIT(Table21215[[#This Row],[Selection Options]:[Selection Options]],","))),,V$11),"")</f>
        <v/>
      </c>
      <c r="W117" s="29" t="str" cm="1">
        <f t="array" ref="W117">IFERROR(INDEX(_xlfn.UNIQUE(TRIM(_xlfn.TEXTSPLIT(Table21215[[#This Row],[Selection Options]:[Selection Options]],","))),,W$11),"")</f>
        <v/>
      </c>
      <c r="X117" s="29" t="str" cm="1">
        <f t="array" ref="X117">IFERROR(INDEX(_xlfn.UNIQUE(TRIM(_xlfn.TEXTSPLIT(Table21215[[#This Row],[Selection Options]:[Selection Options]],","))),,X$11),"")</f>
        <v/>
      </c>
      <c r="Y117" s="30" cm="1">
        <f t="array" ref="Y117">IF(Table21215[[#This Row],[1]]="","",Table21215[[#This Row],[Weight]:[Weight]]-(Table21215[[#This Row],[Weight]:[Weight]]*((_xlfn.XMATCH(Table21215[[#This Row],[1]],Table21215[[#This Row],[1]:[11]],0))-1)/(COUNTA(Table21215[[#This Row],[1]:[11]])-COUNTBLANK(Table21215[[#This Row],[1]:[11]])-1)))</f>
        <v>3.9714058776806989E-3</v>
      </c>
      <c r="Z117" s="30" cm="1">
        <f t="array" ref="Z117">IF(Table21215[[#This Row],[2]]="","",Table21215[[#This Row],[Weight]:[Weight]]-(Table21215[[#This Row],[Weight]:[Weight]]*((_xlfn.XMATCH(Table21215[[#This Row],[2]],Table21215[[#This Row],[1]:[11]],0))-1)/(COUNTA(Table21215[[#This Row],[1]:[11]])-COUNTBLANK(Table21215[[#This Row],[1]:[11]])-1)))</f>
        <v>2.6476039184537992E-3</v>
      </c>
      <c r="AA117" s="30" cm="1">
        <f t="array" ref="AA117">IF(Table21215[[#This Row],[3]]="","",Table21215[[#This Row],[Weight]:[Weight]]-(Table21215[[#This Row],[Weight]:[Weight]]*((_xlfn.XMATCH(Table21215[[#This Row],[3]],Table21215[[#This Row],[1]:[11]],0))-1)/(COUNTA(Table21215[[#This Row],[1]:[11]])-COUNTBLANK(Table21215[[#This Row],[1]:[11]])-1)))</f>
        <v>1.3238019592268996E-3</v>
      </c>
      <c r="AB117" s="30" cm="1">
        <f t="array" ref="AB117">IF(Table21215[[#This Row],[4]]="","",Table21215[[#This Row],[Weight]:[Weight]]-(Table21215[[#This Row],[Weight]:[Weight]]*((_xlfn.XMATCH(Table21215[[#This Row],[4]],Table21215[[#This Row],[1]:[11]],0))-1)/(COUNTA(Table21215[[#This Row],[1]:[11]])-COUNTBLANK(Table21215[[#This Row],[1]:[11]])-1)))</f>
        <v>0</v>
      </c>
      <c r="AC117" s="30" t="str" cm="1">
        <f t="array" ref="AC117">IF(Table21215[[#This Row],[5]]="","",Table21215[[#This Row],[Weight]:[Weight]]-(Table21215[[#This Row],[Weight]:[Weight]]*((_xlfn.XMATCH(Table21215[[#This Row],[5]],Table21215[[#This Row],[1]:[11]],0))-1)/(COUNTA(Table21215[[#This Row],[1]:[11]])-COUNTBLANK(Table21215[[#This Row],[1]:[11]])-1)))</f>
        <v/>
      </c>
      <c r="AD117" s="30" t="str" cm="1">
        <f t="array" ref="AD117">IF(Table21215[[#This Row],[6]]="","",Table21215[[#This Row],[Weight]:[Weight]]-(Table21215[[#This Row],[Weight]:[Weight]]*((_xlfn.XMATCH(Table21215[[#This Row],[6]],Table21215[[#This Row],[1]:[11]],0))-1)/(COUNTA(Table21215[[#This Row],[1]:[11]])-COUNTBLANK(Table21215[[#This Row],[1]:[11]])-1)))</f>
        <v/>
      </c>
      <c r="AE117" s="30" t="str" cm="1">
        <f t="array" ref="AE117">IF(Table21215[[#This Row],[7]]="","",Table21215[[#This Row],[Weight]:[Weight]]-(Table21215[[#This Row],[Weight]:[Weight]]*((_xlfn.XMATCH(Table21215[[#This Row],[7]],Table21215[[#This Row],[1]:[11]],0))-1)/(COUNTA(Table21215[[#This Row],[1]:[11]])-COUNTBLANK(Table21215[[#This Row],[1]:[11]])-1)))</f>
        <v/>
      </c>
      <c r="AF117" s="30" t="str" cm="1">
        <f t="array" ref="AF117">IF(Table21215[[#This Row],[8]]="","",Table21215[[#This Row],[Weight]:[Weight]]-(Table21215[[#This Row],[Weight]:[Weight]]*((_xlfn.XMATCH(Table21215[[#This Row],[8]],Table21215[[#This Row],[1]:[11]],0))-1)/(COUNTA(Table21215[[#This Row],[1]:[11]])-COUNTBLANK(Table21215[[#This Row],[1]:[11]])-1)))</f>
        <v/>
      </c>
      <c r="AG117" s="30" t="str" cm="1">
        <f t="array" ref="AG117">IF(Table21215[[#This Row],[9]]="","",Table21215[[#This Row],[Weight]:[Weight]]-(Table21215[[#This Row],[Weight]:[Weight]]*((_xlfn.XMATCH(Table21215[[#This Row],[9]],Table21215[[#This Row],[1]:[11]],0))-1)/(COUNTA(Table21215[[#This Row],[1]:[11]])-COUNTBLANK(Table21215[[#This Row],[1]:[11]])-1)))</f>
        <v/>
      </c>
      <c r="AH117" s="30" t="str" cm="1">
        <f t="array" ref="AH117">IF(Table21215[[#This Row],[10]]="","",Table21215[[#This Row],[Weight]:[Weight]]-(Table21215[[#This Row],[Weight]:[Weight]]*((_xlfn.XMATCH(Table21215[[#This Row],[10]],Table21215[[#This Row],[1]:[11]],0))-1)/(COUNTA(Table21215[[#This Row],[1]:[11]])-COUNTBLANK(Table21215[[#This Row],[1]:[11]])-1)))</f>
        <v/>
      </c>
      <c r="AI117" s="30" t="str" cm="1">
        <f t="array" ref="AI117">IF(Table21215[[#This Row],[11]]="","",Table21215[[#This Row],[Weight]:[Weight]]-(Table21215[[#This Row],[Weight]:[Weight]]*((_xlfn.XMATCH(Table21215[[#This Row],[11]],Table21215[[#This Row],[1]:[11]],0))-1)/(COUNTA(Table21215[[#This Row],[1]:[11]])-COUNTBLANK(Table21215[[#This Row],[1]:[11]])-1)))</f>
        <v/>
      </c>
    </row>
    <row r="118" spans="1:35" ht="108" x14ac:dyDescent="0.2">
      <c r="A118" s="20">
        <v>106</v>
      </c>
      <c r="B118" s="165" t="s">
        <v>935</v>
      </c>
      <c r="C118" s="21" t="s">
        <v>826</v>
      </c>
      <c r="D118" s="38"/>
      <c r="E118" s="38"/>
      <c r="F118" s="159" t="s">
        <v>188</v>
      </c>
      <c r="G118" s="160" cm="1">
        <f t="array" ref="G118">_xlfn.IFS(F118="","",F118="No interest",0,F118="Nice to have",1,F118="Useful",2,F118="Important",3,F118="Very important",4,F118="Critical",5,F118="Show stopper",6)</f>
        <v>5</v>
      </c>
      <c r="H118" s="161">
        <f t="shared" si="3"/>
        <v>3.9714058776806989E-3</v>
      </c>
      <c r="I118" s="157" t="s">
        <v>827</v>
      </c>
      <c r="J118" s="35" t="str" cm="1">
        <f t="array" ref="J118">_xlfn.TEXTJOIN(","&amp;CHAR(10),,TEXT(Table21215[[#This Row],[12]:[22]],"0,00%"))</f>
        <v>0,00%,
0,00%,
0,00%,
0,00%</v>
      </c>
      <c r="K118" s="36"/>
      <c r="L118" s="37" t="e">
        <f>H118-(H118*((MATCH(Table21215[[#This Row],[Evaluators Response (SELECT)]],Table21215[[#This Row],[1]:[11]],0)-1)/(COUNTA(Table21215[[#This Row],[1]:[11]])-COUNTBLANK(Table21215[[#This Row],[1]:[11]])-1)))</f>
        <v>#N/A</v>
      </c>
      <c r="M118" s="38"/>
      <c r="N118" s="29" t="s">
        <v>828</v>
      </c>
      <c r="O118" s="29" t="s">
        <v>829</v>
      </c>
      <c r="P118" s="29" t="s">
        <v>830</v>
      </c>
      <c r="Q118" s="29" t="str" cm="1">
        <f t="array" ref="Q118">IFERROR(INDEX(_xlfn.UNIQUE(TRIM(_xlfn.TEXTSPLIT(Table21215[[#This Row],[Selection Options]:[Selection Options]],","))),,Q$11),"")</f>
        <v xml:space="preserve">
 0%: Not currently supported</v>
      </c>
      <c r="R118" s="29" t="str" cm="1">
        <f t="array" ref="R118">IFERROR(INDEX(_xlfn.UNIQUE(TRIM(_xlfn.TEXTSPLIT(Table21215[[#This Row],[Selection Options]:[Selection Options]],","))),,R$11),"")</f>
        <v/>
      </c>
      <c r="S118" s="29" t="str" cm="1">
        <f t="array" ref="S118">IFERROR(INDEX(_xlfn.UNIQUE(TRIM(_xlfn.TEXTSPLIT(Table21215[[#This Row],[Selection Options]:[Selection Options]],","))),,S$11),"")</f>
        <v/>
      </c>
      <c r="T118" s="29" t="str" cm="1">
        <f t="array" ref="T118">IFERROR(INDEX(_xlfn.UNIQUE(TRIM(_xlfn.TEXTSPLIT(Table21215[[#This Row],[Selection Options]:[Selection Options]],","))),,T$11),"")</f>
        <v/>
      </c>
      <c r="U118" s="29" t="str" cm="1">
        <f t="array" ref="U118">IFERROR(INDEX(_xlfn.UNIQUE(TRIM(_xlfn.TEXTSPLIT(Table21215[[#This Row],[Selection Options]:[Selection Options]],","))),,U$11),"")</f>
        <v/>
      </c>
      <c r="V118" s="29" t="str" cm="1">
        <f t="array" ref="V118">IFERROR(INDEX(_xlfn.UNIQUE(TRIM(_xlfn.TEXTSPLIT(Table21215[[#This Row],[Selection Options]:[Selection Options]],","))),,V$11),"")</f>
        <v/>
      </c>
      <c r="W118" s="29" t="str" cm="1">
        <f t="array" ref="W118">IFERROR(INDEX(_xlfn.UNIQUE(TRIM(_xlfn.TEXTSPLIT(Table21215[[#This Row],[Selection Options]:[Selection Options]],","))),,W$11),"")</f>
        <v/>
      </c>
      <c r="X118" s="29" t="str" cm="1">
        <f t="array" ref="X118">IFERROR(INDEX(_xlfn.UNIQUE(TRIM(_xlfn.TEXTSPLIT(Table21215[[#This Row],[Selection Options]:[Selection Options]],","))),,X$11),"")</f>
        <v/>
      </c>
      <c r="Y118" s="30" cm="1">
        <f t="array" ref="Y118">IF(Table21215[[#This Row],[1]]="","",Table21215[[#This Row],[Weight]:[Weight]]-(Table21215[[#This Row],[Weight]:[Weight]]*((_xlfn.XMATCH(Table21215[[#This Row],[1]],Table21215[[#This Row],[1]:[11]],0))-1)/(COUNTA(Table21215[[#This Row],[1]:[11]])-COUNTBLANK(Table21215[[#This Row],[1]:[11]])-1)))</f>
        <v>3.9714058776806989E-3</v>
      </c>
      <c r="Z118" s="30" cm="1">
        <f t="array" ref="Z118">IF(Table21215[[#This Row],[2]]="","",Table21215[[#This Row],[Weight]:[Weight]]-(Table21215[[#This Row],[Weight]:[Weight]]*((_xlfn.XMATCH(Table21215[[#This Row],[2]],Table21215[[#This Row],[1]:[11]],0))-1)/(COUNTA(Table21215[[#This Row],[1]:[11]])-COUNTBLANK(Table21215[[#This Row],[1]:[11]])-1)))</f>
        <v>2.6476039184537992E-3</v>
      </c>
      <c r="AA118" s="30" cm="1">
        <f t="array" ref="AA118">IF(Table21215[[#This Row],[3]]="","",Table21215[[#This Row],[Weight]:[Weight]]-(Table21215[[#This Row],[Weight]:[Weight]]*((_xlfn.XMATCH(Table21215[[#This Row],[3]],Table21215[[#This Row],[1]:[11]],0))-1)/(COUNTA(Table21215[[#This Row],[1]:[11]])-COUNTBLANK(Table21215[[#This Row],[1]:[11]])-1)))</f>
        <v>1.3238019592268996E-3</v>
      </c>
      <c r="AB118" s="30" cm="1">
        <f t="array" ref="AB118">IF(Table21215[[#This Row],[4]]="","",Table21215[[#This Row],[Weight]:[Weight]]-(Table21215[[#This Row],[Weight]:[Weight]]*((_xlfn.XMATCH(Table21215[[#This Row],[4]],Table21215[[#This Row],[1]:[11]],0))-1)/(COUNTA(Table21215[[#This Row],[1]:[11]])-COUNTBLANK(Table21215[[#This Row],[1]:[11]])-1)))</f>
        <v>0</v>
      </c>
      <c r="AC118" s="30" t="str" cm="1">
        <f t="array" ref="AC118">IF(Table21215[[#This Row],[5]]="","",Table21215[[#This Row],[Weight]:[Weight]]-(Table21215[[#This Row],[Weight]:[Weight]]*((_xlfn.XMATCH(Table21215[[#This Row],[5]],Table21215[[#This Row],[1]:[11]],0))-1)/(COUNTA(Table21215[[#This Row],[1]:[11]])-COUNTBLANK(Table21215[[#This Row],[1]:[11]])-1)))</f>
        <v/>
      </c>
      <c r="AD118" s="30" t="str" cm="1">
        <f t="array" ref="AD118">IF(Table21215[[#This Row],[6]]="","",Table21215[[#This Row],[Weight]:[Weight]]-(Table21215[[#This Row],[Weight]:[Weight]]*((_xlfn.XMATCH(Table21215[[#This Row],[6]],Table21215[[#This Row],[1]:[11]],0))-1)/(COUNTA(Table21215[[#This Row],[1]:[11]])-COUNTBLANK(Table21215[[#This Row],[1]:[11]])-1)))</f>
        <v/>
      </c>
      <c r="AE118" s="30" t="str" cm="1">
        <f t="array" ref="AE118">IF(Table21215[[#This Row],[7]]="","",Table21215[[#This Row],[Weight]:[Weight]]-(Table21215[[#This Row],[Weight]:[Weight]]*((_xlfn.XMATCH(Table21215[[#This Row],[7]],Table21215[[#This Row],[1]:[11]],0))-1)/(COUNTA(Table21215[[#This Row],[1]:[11]])-COUNTBLANK(Table21215[[#This Row],[1]:[11]])-1)))</f>
        <v/>
      </c>
      <c r="AF118" s="30" t="str" cm="1">
        <f t="array" ref="AF118">IF(Table21215[[#This Row],[8]]="","",Table21215[[#This Row],[Weight]:[Weight]]-(Table21215[[#This Row],[Weight]:[Weight]]*((_xlfn.XMATCH(Table21215[[#This Row],[8]],Table21215[[#This Row],[1]:[11]],0))-1)/(COUNTA(Table21215[[#This Row],[1]:[11]])-COUNTBLANK(Table21215[[#This Row],[1]:[11]])-1)))</f>
        <v/>
      </c>
      <c r="AG118" s="30" t="str" cm="1">
        <f t="array" ref="AG118">IF(Table21215[[#This Row],[9]]="","",Table21215[[#This Row],[Weight]:[Weight]]-(Table21215[[#This Row],[Weight]:[Weight]]*((_xlfn.XMATCH(Table21215[[#This Row],[9]],Table21215[[#This Row],[1]:[11]],0))-1)/(COUNTA(Table21215[[#This Row],[1]:[11]])-COUNTBLANK(Table21215[[#This Row],[1]:[11]])-1)))</f>
        <v/>
      </c>
      <c r="AH118" s="30" t="str" cm="1">
        <f t="array" ref="AH118">IF(Table21215[[#This Row],[10]]="","",Table21215[[#This Row],[Weight]:[Weight]]-(Table21215[[#This Row],[Weight]:[Weight]]*((_xlfn.XMATCH(Table21215[[#This Row],[10]],Table21215[[#This Row],[1]:[11]],0))-1)/(COUNTA(Table21215[[#This Row],[1]:[11]])-COUNTBLANK(Table21215[[#This Row],[1]:[11]])-1)))</f>
        <v/>
      </c>
      <c r="AI118" s="30" t="str" cm="1">
        <f t="array" ref="AI118">IF(Table21215[[#This Row],[11]]="","",Table21215[[#This Row],[Weight]:[Weight]]-(Table21215[[#This Row],[Weight]:[Weight]]*((_xlfn.XMATCH(Table21215[[#This Row],[11]],Table21215[[#This Row],[1]:[11]],0))-1)/(COUNTA(Table21215[[#This Row],[1]:[11]])-COUNTBLANK(Table21215[[#This Row],[1]:[11]])-1)))</f>
        <v/>
      </c>
    </row>
    <row r="119" spans="1:35" ht="108" x14ac:dyDescent="0.2">
      <c r="A119" s="20">
        <v>107</v>
      </c>
      <c r="B119" s="165" t="s">
        <v>936</v>
      </c>
      <c r="C119" s="21" t="s">
        <v>826</v>
      </c>
      <c r="D119" s="38"/>
      <c r="E119" s="38"/>
      <c r="F119" s="159" t="s">
        <v>188</v>
      </c>
      <c r="G119" s="160" cm="1">
        <f t="array" ref="G119">_xlfn.IFS(F119="","",F119="No interest",0,F119="Nice to have",1,F119="Useful",2,F119="Important",3,F119="Very important",4,F119="Critical",5,F119="Show stopper",6)</f>
        <v>5</v>
      </c>
      <c r="H119" s="161">
        <f t="shared" si="3"/>
        <v>3.9714058776806989E-3</v>
      </c>
      <c r="I119" s="157" t="s">
        <v>827</v>
      </c>
      <c r="J119" s="35" t="str" cm="1">
        <f t="array" ref="J119">_xlfn.TEXTJOIN(","&amp;CHAR(10),,TEXT(Table21215[[#This Row],[12]:[22]],"0,00%"))</f>
        <v>0,00%,
0,00%,
0,00%,
0,00%</v>
      </c>
      <c r="K119" s="36"/>
      <c r="L119" s="37" t="e">
        <f>H119-(H119*((MATCH(Table21215[[#This Row],[Evaluators Response (SELECT)]],Table21215[[#This Row],[1]:[11]],0)-1)/(COUNTA(Table21215[[#This Row],[1]:[11]])-COUNTBLANK(Table21215[[#This Row],[1]:[11]])-1)))</f>
        <v>#N/A</v>
      </c>
      <c r="M119" s="38"/>
      <c r="N119" s="29" t="s">
        <v>828</v>
      </c>
      <c r="O119" s="29" t="s">
        <v>829</v>
      </c>
      <c r="P119" s="29" t="s">
        <v>830</v>
      </c>
      <c r="Q119" s="29" t="str" cm="1">
        <f t="array" ref="Q119">IFERROR(INDEX(_xlfn.UNIQUE(TRIM(_xlfn.TEXTSPLIT(Table21215[[#This Row],[Selection Options]:[Selection Options]],","))),,Q$11),"")</f>
        <v xml:space="preserve">
 0%: Not currently supported</v>
      </c>
      <c r="R119" s="29" t="str" cm="1">
        <f t="array" ref="R119">IFERROR(INDEX(_xlfn.UNIQUE(TRIM(_xlfn.TEXTSPLIT(Table21215[[#This Row],[Selection Options]:[Selection Options]],","))),,R$11),"")</f>
        <v/>
      </c>
      <c r="S119" s="29" t="str" cm="1">
        <f t="array" ref="S119">IFERROR(INDEX(_xlfn.UNIQUE(TRIM(_xlfn.TEXTSPLIT(Table21215[[#This Row],[Selection Options]:[Selection Options]],","))),,S$11),"")</f>
        <v/>
      </c>
      <c r="T119" s="29" t="str" cm="1">
        <f t="array" ref="T119">IFERROR(INDEX(_xlfn.UNIQUE(TRIM(_xlfn.TEXTSPLIT(Table21215[[#This Row],[Selection Options]:[Selection Options]],","))),,T$11),"")</f>
        <v/>
      </c>
      <c r="U119" s="29" t="str" cm="1">
        <f t="array" ref="U119">IFERROR(INDEX(_xlfn.UNIQUE(TRIM(_xlfn.TEXTSPLIT(Table21215[[#This Row],[Selection Options]:[Selection Options]],","))),,U$11),"")</f>
        <v/>
      </c>
      <c r="V119" s="29" t="str" cm="1">
        <f t="array" ref="V119">IFERROR(INDEX(_xlfn.UNIQUE(TRIM(_xlfn.TEXTSPLIT(Table21215[[#This Row],[Selection Options]:[Selection Options]],","))),,V$11),"")</f>
        <v/>
      </c>
      <c r="W119" s="29" t="str" cm="1">
        <f t="array" ref="W119">IFERROR(INDEX(_xlfn.UNIQUE(TRIM(_xlfn.TEXTSPLIT(Table21215[[#This Row],[Selection Options]:[Selection Options]],","))),,W$11),"")</f>
        <v/>
      </c>
      <c r="X119" s="29" t="str" cm="1">
        <f t="array" ref="X119">IFERROR(INDEX(_xlfn.UNIQUE(TRIM(_xlfn.TEXTSPLIT(Table21215[[#This Row],[Selection Options]:[Selection Options]],","))),,X$11),"")</f>
        <v/>
      </c>
      <c r="Y119" s="30" cm="1">
        <f t="array" ref="Y119">IF(Table21215[[#This Row],[1]]="","",Table21215[[#This Row],[Weight]:[Weight]]-(Table21215[[#This Row],[Weight]:[Weight]]*((_xlfn.XMATCH(Table21215[[#This Row],[1]],Table21215[[#This Row],[1]:[11]],0))-1)/(COUNTA(Table21215[[#This Row],[1]:[11]])-COUNTBLANK(Table21215[[#This Row],[1]:[11]])-1)))</f>
        <v>3.9714058776806989E-3</v>
      </c>
      <c r="Z119" s="30" cm="1">
        <f t="array" ref="Z119">IF(Table21215[[#This Row],[2]]="","",Table21215[[#This Row],[Weight]:[Weight]]-(Table21215[[#This Row],[Weight]:[Weight]]*((_xlfn.XMATCH(Table21215[[#This Row],[2]],Table21215[[#This Row],[1]:[11]],0))-1)/(COUNTA(Table21215[[#This Row],[1]:[11]])-COUNTBLANK(Table21215[[#This Row],[1]:[11]])-1)))</f>
        <v>2.6476039184537992E-3</v>
      </c>
      <c r="AA119" s="30" cm="1">
        <f t="array" ref="AA119">IF(Table21215[[#This Row],[3]]="","",Table21215[[#This Row],[Weight]:[Weight]]-(Table21215[[#This Row],[Weight]:[Weight]]*((_xlfn.XMATCH(Table21215[[#This Row],[3]],Table21215[[#This Row],[1]:[11]],0))-1)/(COUNTA(Table21215[[#This Row],[1]:[11]])-COUNTBLANK(Table21215[[#This Row],[1]:[11]])-1)))</f>
        <v>1.3238019592268996E-3</v>
      </c>
      <c r="AB119" s="30" cm="1">
        <f t="array" ref="AB119">IF(Table21215[[#This Row],[4]]="","",Table21215[[#This Row],[Weight]:[Weight]]-(Table21215[[#This Row],[Weight]:[Weight]]*((_xlfn.XMATCH(Table21215[[#This Row],[4]],Table21215[[#This Row],[1]:[11]],0))-1)/(COUNTA(Table21215[[#This Row],[1]:[11]])-COUNTBLANK(Table21215[[#This Row],[1]:[11]])-1)))</f>
        <v>0</v>
      </c>
      <c r="AC119" s="30" t="str" cm="1">
        <f t="array" ref="AC119">IF(Table21215[[#This Row],[5]]="","",Table21215[[#This Row],[Weight]:[Weight]]-(Table21215[[#This Row],[Weight]:[Weight]]*((_xlfn.XMATCH(Table21215[[#This Row],[5]],Table21215[[#This Row],[1]:[11]],0))-1)/(COUNTA(Table21215[[#This Row],[1]:[11]])-COUNTBLANK(Table21215[[#This Row],[1]:[11]])-1)))</f>
        <v/>
      </c>
      <c r="AD119" s="30" t="str" cm="1">
        <f t="array" ref="AD119">IF(Table21215[[#This Row],[6]]="","",Table21215[[#This Row],[Weight]:[Weight]]-(Table21215[[#This Row],[Weight]:[Weight]]*((_xlfn.XMATCH(Table21215[[#This Row],[6]],Table21215[[#This Row],[1]:[11]],0))-1)/(COUNTA(Table21215[[#This Row],[1]:[11]])-COUNTBLANK(Table21215[[#This Row],[1]:[11]])-1)))</f>
        <v/>
      </c>
      <c r="AE119" s="30" t="str" cm="1">
        <f t="array" ref="AE119">IF(Table21215[[#This Row],[7]]="","",Table21215[[#This Row],[Weight]:[Weight]]-(Table21215[[#This Row],[Weight]:[Weight]]*((_xlfn.XMATCH(Table21215[[#This Row],[7]],Table21215[[#This Row],[1]:[11]],0))-1)/(COUNTA(Table21215[[#This Row],[1]:[11]])-COUNTBLANK(Table21215[[#This Row],[1]:[11]])-1)))</f>
        <v/>
      </c>
      <c r="AF119" s="30" t="str" cm="1">
        <f t="array" ref="AF119">IF(Table21215[[#This Row],[8]]="","",Table21215[[#This Row],[Weight]:[Weight]]-(Table21215[[#This Row],[Weight]:[Weight]]*((_xlfn.XMATCH(Table21215[[#This Row],[8]],Table21215[[#This Row],[1]:[11]],0))-1)/(COUNTA(Table21215[[#This Row],[1]:[11]])-COUNTBLANK(Table21215[[#This Row],[1]:[11]])-1)))</f>
        <v/>
      </c>
      <c r="AG119" s="30" t="str" cm="1">
        <f t="array" ref="AG119">IF(Table21215[[#This Row],[9]]="","",Table21215[[#This Row],[Weight]:[Weight]]-(Table21215[[#This Row],[Weight]:[Weight]]*((_xlfn.XMATCH(Table21215[[#This Row],[9]],Table21215[[#This Row],[1]:[11]],0))-1)/(COUNTA(Table21215[[#This Row],[1]:[11]])-COUNTBLANK(Table21215[[#This Row],[1]:[11]])-1)))</f>
        <v/>
      </c>
      <c r="AH119" s="30" t="str" cm="1">
        <f t="array" ref="AH119">IF(Table21215[[#This Row],[10]]="","",Table21215[[#This Row],[Weight]:[Weight]]-(Table21215[[#This Row],[Weight]:[Weight]]*((_xlfn.XMATCH(Table21215[[#This Row],[10]],Table21215[[#This Row],[1]:[11]],0))-1)/(COUNTA(Table21215[[#This Row],[1]:[11]])-COUNTBLANK(Table21215[[#This Row],[1]:[11]])-1)))</f>
        <v/>
      </c>
      <c r="AI119" s="30" t="str" cm="1">
        <f t="array" ref="AI119">IF(Table21215[[#This Row],[11]]="","",Table21215[[#This Row],[Weight]:[Weight]]-(Table21215[[#This Row],[Weight]:[Weight]]*((_xlfn.XMATCH(Table21215[[#This Row],[11]],Table21215[[#This Row],[1]:[11]],0))-1)/(COUNTA(Table21215[[#This Row],[1]:[11]])-COUNTBLANK(Table21215[[#This Row],[1]:[11]])-1)))</f>
        <v/>
      </c>
    </row>
    <row r="120" spans="1:35" ht="108" x14ac:dyDescent="0.2">
      <c r="A120" s="20">
        <v>108</v>
      </c>
      <c r="B120" s="165" t="s">
        <v>937</v>
      </c>
      <c r="C120" s="21" t="s">
        <v>826</v>
      </c>
      <c r="D120" s="38"/>
      <c r="E120" s="38"/>
      <c r="F120" s="159" t="s">
        <v>188</v>
      </c>
      <c r="G120" s="160" cm="1">
        <f t="array" ref="G120">_xlfn.IFS(F120="","",F120="No interest",0,F120="Nice to have",1,F120="Useful",2,F120="Important",3,F120="Very important",4,F120="Critical",5,F120="Show stopper",6)</f>
        <v>5</v>
      </c>
      <c r="H120" s="161">
        <f t="shared" si="3"/>
        <v>3.9714058776806989E-3</v>
      </c>
      <c r="I120" s="157" t="s">
        <v>827</v>
      </c>
      <c r="J120" s="35" t="str" cm="1">
        <f t="array" ref="J120">_xlfn.TEXTJOIN(","&amp;CHAR(10),,TEXT(Table21215[[#This Row],[12]:[22]],"0,00%"))</f>
        <v>0,00%,
0,00%,
0,00%,
0,00%</v>
      </c>
      <c r="K120" s="36"/>
      <c r="L120" s="37" t="e">
        <f>H120-(H120*((MATCH(Table21215[[#This Row],[Evaluators Response (SELECT)]],Table21215[[#This Row],[1]:[11]],0)-1)/(COUNTA(Table21215[[#This Row],[1]:[11]])-COUNTBLANK(Table21215[[#This Row],[1]:[11]])-1)))</f>
        <v>#N/A</v>
      </c>
      <c r="M120" s="38"/>
      <c r="N120" s="29" t="s">
        <v>828</v>
      </c>
      <c r="O120" s="29" t="s">
        <v>829</v>
      </c>
      <c r="P120" s="29" t="s">
        <v>830</v>
      </c>
      <c r="Q120" s="29" t="str" cm="1">
        <f t="array" ref="Q120">IFERROR(INDEX(_xlfn.UNIQUE(TRIM(_xlfn.TEXTSPLIT(Table21215[[#This Row],[Selection Options]:[Selection Options]],","))),,Q$11),"")</f>
        <v xml:space="preserve">
 0%: Not currently supported</v>
      </c>
      <c r="R120" s="29" t="str" cm="1">
        <f t="array" ref="R120">IFERROR(INDEX(_xlfn.UNIQUE(TRIM(_xlfn.TEXTSPLIT(Table21215[[#This Row],[Selection Options]:[Selection Options]],","))),,R$11),"")</f>
        <v/>
      </c>
      <c r="S120" s="29" t="str" cm="1">
        <f t="array" ref="S120">IFERROR(INDEX(_xlfn.UNIQUE(TRIM(_xlfn.TEXTSPLIT(Table21215[[#This Row],[Selection Options]:[Selection Options]],","))),,S$11),"")</f>
        <v/>
      </c>
      <c r="T120" s="29" t="str" cm="1">
        <f t="array" ref="T120">IFERROR(INDEX(_xlfn.UNIQUE(TRIM(_xlfn.TEXTSPLIT(Table21215[[#This Row],[Selection Options]:[Selection Options]],","))),,T$11),"")</f>
        <v/>
      </c>
      <c r="U120" s="29" t="str" cm="1">
        <f t="array" ref="U120">IFERROR(INDEX(_xlfn.UNIQUE(TRIM(_xlfn.TEXTSPLIT(Table21215[[#This Row],[Selection Options]:[Selection Options]],","))),,U$11),"")</f>
        <v/>
      </c>
      <c r="V120" s="29" t="str" cm="1">
        <f t="array" ref="V120">IFERROR(INDEX(_xlfn.UNIQUE(TRIM(_xlfn.TEXTSPLIT(Table21215[[#This Row],[Selection Options]:[Selection Options]],","))),,V$11),"")</f>
        <v/>
      </c>
      <c r="W120" s="29" t="str" cm="1">
        <f t="array" ref="W120">IFERROR(INDEX(_xlfn.UNIQUE(TRIM(_xlfn.TEXTSPLIT(Table21215[[#This Row],[Selection Options]:[Selection Options]],","))),,W$11),"")</f>
        <v/>
      </c>
      <c r="X120" s="29" t="str" cm="1">
        <f t="array" ref="X120">IFERROR(INDEX(_xlfn.UNIQUE(TRIM(_xlfn.TEXTSPLIT(Table21215[[#This Row],[Selection Options]:[Selection Options]],","))),,X$11),"")</f>
        <v/>
      </c>
      <c r="Y120" s="30" cm="1">
        <f t="array" ref="Y120">IF(Table21215[[#This Row],[1]]="","",Table21215[[#This Row],[Weight]:[Weight]]-(Table21215[[#This Row],[Weight]:[Weight]]*((_xlfn.XMATCH(Table21215[[#This Row],[1]],Table21215[[#This Row],[1]:[11]],0))-1)/(COUNTA(Table21215[[#This Row],[1]:[11]])-COUNTBLANK(Table21215[[#This Row],[1]:[11]])-1)))</f>
        <v>3.9714058776806989E-3</v>
      </c>
      <c r="Z120" s="30" cm="1">
        <f t="array" ref="Z120">IF(Table21215[[#This Row],[2]]="","",Table21215[[#This Row],[Weight]:[Weight]]-(Table21215[[#This Row],[Weight]:[Weight]]*((_xlfn.XMATCH(Table21215[[#This Row],[2]],Table21215[[#This Row],[1]:[11]],0))-1)/(COUNTA(Table21215[[#This Row],[1]:[11]])-COUNTBLANK(Table21215[[#This Row],[1]:[11]])-1)))</f>
        <v>2.6476039184537992E-3</v>
      </c>
      <c r="AA120" s="30" cm="1">
        <f t="array" ref="AA120">IF(Table21215[[#This Row],[3]]="","",Table21215[[#This Row],[Weight]:[Weight]]-(Table21215[[#This Row],[Weight]:[Weight]]*((_xlfn.XMATCH(Table21215[[#This Row],[3]],Table21215[[#This Row],[1]:[11]],0))-1)/(COUNTA(Table21215[[#This Row],[1]:[11]])-COUNTBLANK(Table21215[[#This Row],[1]:[11]])-1)))</f>
        <v>1.3238019592268996E-3</v>
      </c>
      <c r="AB120" s="30" cm="1">
        <f t="array" ref="AB120">IF(Table21215[[#This Row],[4]]="","",Table21215[[#This Row],[Weight]:[Weight]]-(Table21215[[#This Row],[Weight]:[Weight]]*((_xlfn.XMATCH(Table21215[[#This Row],[4]],Table21215[[#This Row],[1]:[11]],0))-1)/(COUNTA(Table21215[[#This Row],[1]:[11]])-COUNTBLANK(Table21215[[#This Row],[1]:[11]])-1)))</f>
        <v>0</v>
      </c>
      <c r="AC120" s="30" t="str" cm="1">
        <f t="array" ref="AC120">IF(Table21215[[#This Row],[5]]="","",Table21215[[#This Row],[Weight]:[Weight]]-(Table21215[[#This Row],[Weight]:[Weight]]*((_xlfn.XMATCH(Table21215[[#This Row],[5]],Table21215[[#This Row],[1]:[11]],0))-1)/(COUNTA(Table21215[[#This Row],[1]:[11]])-COUNTBLANK(Table21215[[#This Row],[1]:[11]])-1)))</f>
        <v/>
      </c>
      <c r="AD120" s="30" t="str" cm="1">
        <f t="array" ref="AD120">IF(Table21215[[#This Row],[6]]="","",Table21215[[#This Row],[Weight]:[Weight]]-(Table21215[[#This Row],[Weight]:[Weight]]*((_xlfn.XMATCH(Table21215[[#This Row],[6]],Table21215[[#This Row],[1]:[11]],0))-1)/(COUNTA(Table21215[[#This Row],[1]:[11]])-COUNTBLANK(Table21215[[#This Row],[1]:[11]])-1)))</f>
        <v/>
      </c>
      <c r="AE120" s="30" t="str" cm="1">
        <f t="array" ref="AE120">IF(Table21215[[#This Row],[7]]="","",Table21215[[#This Row],[Weight]:[Weight]]-(Table21215[[#This Row],[Weight]:[Weight]]*((_xlfn.XMATCH(Table21215[[#This Row],[7]],Table21215[[#This Row],[1]:[11]],0))-1)/(COUNTA(Table21215[[#This Row],[1]:[11]])-COUNTBLANK(Table21215[[#This Row],[1]:[11]])-1)))</f>
        <v/>
      </c>
      <c r="AF120" s="30" t="str" cm="1">
        <f t="array" ref="AF120">IF(Table21215[[#This Row],[8]]="","",Table21215[[#This Row],[Weight]:[Weight]]-(Table21215[[#This Row],[Weight]:[Weight]]*((_xlfn.XMATCH(Table21215[[#This Row],[8]],Table21215[[#This Row],[1]:[11]],0))-1)/(COUNTA(Table21215[[#This Row],[1]:[11]])-COUNTBLANK(Table21215[[#This Row],[1]:[11]])-1)))</f>
        <v/>
      </c>
      <c r="AG120" s="30" t="str" cm="1">
        <f t="array" ref="AG120">IF(Table21215[[#This Row],[9]]="","",Table21215[[#This Row],[Weight]:[Weight]]-(Table21215[[#This Row],[Weight]:[Weight]]*((_xlfn.XMATCH(Table21215[[#This Row],[9]],Table21215[[#This Row],[1]:[11]],0))-1)/(COUNTA(Table21215[[#This Row],[1]:[11]])-COUNTBLANK(Table21215[[#This Row],[1]:[11]])-1)))</f>
        <v/>
      </c>
      <c r="AH120" s="30" t="str" cm="1">
        <f t="array" ref="AH120">IF(Table21215[[#This Row],[10]]="","",Table21215[[#This Row],[Weight]:[Weight]]-(Table21215[[#This Row],[Weight]:[Weight]]*((_xlfn.XMATCH(Table21215[[#This Row],[10]],Table21215[[#This Row],[1]:[11]],0))-1)/(COUNTA(Table21215[[#This Row],[1]:[11]])-COUNTBLANK(Table21215[[#This Row],[1]:[11]])-1)))</f>
        <v/>
      </c>
      <c r="AI120" s="30" t="str" cm="1">
        <f t="array" ref="AI120">IF(Table21215[[#This Row],[11]]="","",Table21215[[#This Row],[Weight]:[Weight]]-(Table21215[[#This Row],[Weight]:[Weight]]*((_xlfn.XMATCH(Table21215[[#This Row],[11]],Table21215[[#This Row],[1]:[11]],0))-1)/(COUNTA(Table21215[[#This Row],[1]:[11]])-COUNTBLANK(Table21215[[#This Row],[1]:[11]])-1)))</f>
        <v/>
      </c>
    </row>
    <row r="121" spans="1:35" ht="108" x14ac:dyDescent="0.2">
      <c r="A121" s="20">
        <v>109</v>
      </c>
      <c r="B121" s="165" t="s">
        <v>938</v>
      </c>
      <c r="C121" s="21" t="s">
        <v>826</v>
      </c>
      <c r="D121" s="38"/>
      <c r="E121" s="38"/>
      <c r="F121" s="159" t="s">
        <v>188</v>
      </c>
      <c r="G121" s="160" cm="1">
        <f t="array" ref="G121">_xlfn.IFS(F121="","",F121="No interest",0,F121="Nice to have",1,F121="Useful",2,F121="Important",3,F121="Very important",4,F121="Critical",5,F121="Show stopper",6)</f>
        <v>5</v>
      </c>
      <c r="H121" s="161">
        <f t="shared" si="3"/>
        <v>3.9714058776806989E-3</v>
      </c>
      <c r="I121" s="157" t="s">
        <v>827</v>
      </c>
      <c r="J121" s="35" t="str" cm="1">
        <f t="array" ref="J121">_xlfn.TEXTJOIN(","&amp;CHAR(10),,TEXT(Table21215[[#This Row],[12]:[22]],"0,00%"))</f>
        <v>0,00%,
0,00%,
0,00%,
0,00%</v>
      </c>
      <c r="K121" s="36"/>
      <c r="L121" s="37" t="e">
        <f>H121-(H121*((MATCH(Table21215[[#This Row],[Evaluators Response (SELECT)]],Table21215[[#This Row],[1]:[11]],0)-1)/(COUNTA(Table21215[[#This Row],[1]:[11]])-COUNTBLANK(Table21215[[#This Row],[1]:[11]])-1)))</f>
        <v>#N/A</v>
      </c>
      <c r="M121" s="38"/>
      <c r="N121" s="29" t="s">
        <v>828</v>
      </c>
      <c r="O121" s="29" t="s">
        <v>829</v>
      </c>
      <c r="P121" s="29" t="s">
        <v>830</v>
      </c>
      <c r="Q121" s="29" t="str" cm="1">
        <f t="array" ref="Q121">IFERROR(INDEX(_xlfn.UNIQUE(TRIM(_xlfn.TEXTSPLIT(Table21215[[#This Row],[Selection Options]:[Selection Options]],","))),,Q$11),"")</f>
        <v xml:space="preserve">
 0%: Not currently supported</v>
      </c>
      <c r="R121" s="29" t="str" cm="1">
        <f t="array" ref="R121">IFERROR(INDEX(_xlfn.UNIQUE(TRIM(_xlfn.TEXTSPLIT(Table21215[[#This Row],[Selection Options]:[Selection Options]],","))),,R$11),"")</f>
        <v/>
      </c>
      <c r="S121" s="29" t="str" cm="1">
        <f t="array" ref="S121">IFERROR(INDEX(_xlfn.UNIQUE(TRIM(_xlfn.TEXTSPLIT(Table21215[[#This Row],[Selection Options]:[Selection Options]],","))),,S$11),"")</f>
        <v/>
      </c>
      <c r="T121" s="29" t="str" cm="1">
        <f t="array" ref="T121">IFERROR(INDEX(_xlfn.UNIQUE(TRIM(_xlfn.TEXTSPLIT(Table21215[[#This Row],[Selection Options]:[Selection Options]],","))),,T$11),"")</f>
        <v/>
      </c>
      <c r="U121" s="29" t="str" cm="1">
        <f t="array" ref="U121">IFERROR(INDEX(_xlfn.UNIQUE(TRIM(_xlfn.TEXTSPLIT(Table21215[[#This Row],[Selection Options]:[Selection Options]],","))),,U$11),"")</f>
        <v/>
      </c>
      <c r="V121" s="29" t="str" cm="1">
        <f t="array" ref="V121">IFERROR(INDEX(_xlfn.UNIQUE(TRIM(_xlfn.TEXTSPLIT(Table21215[[#This Row],[Selection Options]:[Selection Options]],","))),,V$11),"")</f>
        <v/>
      </c>
      <c r="W121" s="29" t="str" cm="1">
        <f t="array" ref="W121">IFERROR(INDEX(_xlfn.UNIQUE(TRIM(_xlfn.TEXTSPLIT(Table21215[[#This Row],[Selection Options]:[Selection Options]],","))),,W$11),"")</f>
        <v/>
      </c>
      <c r="X121" s="29" t="str" cm="1">
        <f t="array" ref="X121">IFERROR(INDEX(_xlfn.UNIQUE(TRIM(_xlfn.TEXTSPLIT(Table21215[[#This Row],[Selection Options]:[Selection Options]],","))),,X$11),"")</f>
        <v/>
      </c>
      <c r="Y121" s="30" cm="1">
        <f t="array" ref="Y121">IF(Table21215[[#This Row],[1]]="","",Table21215[[#This Row],[Weight]:[Weight]]-(Table21215[[#This Row],[Weight]:[Weight]]*((_xlfn.XMATCH(Table21215[[#This Row],[1]],Table21215[[#This Row],[1]:[11]],0))-1)/(COUNTA(Table21215[[#This Row],[1]:[11]])-COUNTBLANK(Table21215[[#This Row],[1]:[11]])-1)))</f>
        <v>3.9714058776806989E-3</v>
      </c>
      <c r="Z121" s="30" cm="1">
        <f t="array" ref="Z121">IF(Table21215[[#This Row],[2]]="","",Table21215[[#This Row],[Weight]:[Weight]]-(Table21215[[#This Row],[Weight]:[Weight]]*((_xlfn.XMATCH(Table21215[[#This Row],[2]],Table21215[[#This Row],[1]:[11]],0))-1)/(COUNTA(Table21215[[#This Row],[1]:[11]])-COUNTBLANK(Table21215[[#This Row],[1]:[11]])-1)))</f>
        <v>2.6476039184537992E-3</v>
      </c>
      <c r="AA121" s="30" cm="1">
        <f t="array" ref="AA121">IF(Table21215[[#This Row],[3]]="","",Table21215[[#This Row],[Weight]:[Weight]]-(Table21215[[#This Row],[Weight]:[Weight]]*((_xlfn.XMATCH(Table21215[[#This Row],[3]],Table21215[[#This Row],[1]:[11]],0))-1)/(COUNTA(Table21215[[#This Row],[1]:[11]])-COUNTBLANK(Table21215[[#This Row],[1]:[11]])-1)))</f>
        <v>1.3238019592268996E-3</v>
      </c>
      <c r="AB121" s="30" cm="1">
        <f t="array" ref="AB121">IF(Table21215[[#This Row],[4]]="","",Table21215[[#This Row],[Weight]:[Weight]]-(Table21215[[#This Row],[Weight]:[Weight]]*((_xlfn.XMATCH(Table21215[[#This Row],[4]],Table21215[[#This Row],[1]:[11]],0))-1)/(COUNTA(Table21215[[#This Row],[1]:[11]])-COUNTBLANK(Table21215[[#This Row],[1]:[11]])-1)))</f>
        <v>0</v>
      </c>
      <c r="AC121" s="30" t="str" cm="1">
        <f t="array" ref="AC121">IF(Table21215[[#This Row],[5]]="","",Table21215[[#This Row],[Weight]:[Weight]]-(Table21215[[#This Row],[Weight]:[Weight]]*((_xlfn.XMATCH(Table21215[[#This Row],[5]],Table21215[[#This Row],[1]:[11]],0))-1)/(COUNTA(Table21215[[#This Row],[1]:[11]])-COUNTBLANK(Table21215[[#This Row],[1]:[11]])-1)))</f>
        <v/>
      </c>
      <c r="AD121" s="30" t="str" cm="1">
        <f t="array" ref="AD121">IF(Table21215[[#This Row],[6]]="","",Table21215[[#This Row],[Weight]:[Weight]]-(Table21215[[#This Row],[Weight]:[Weight]]*((_xlfn.XMATCH(Table21215[[#This Row],[6]],Table21215[[#This Row],[1]:[11]],0))-1)/(COUNTA(Table21215[[#This Row],[1]:[11]])-COUNTBLANK(Table21215[[#This Row],[1]:[11]])-1)))</f>
        <v/>
      </c>
      <c r="AE121" s="30" t="str" cm="1">
        <f t="array" ref="AE121">IF(Table21215[[#This Row],[7]]="","",Table21215[[#This Row],[Weight]:[Weight]]-(Table21215[[#This Row],[Weight]:[Weight]]*((_xlfn.XMATCH(Table21215[[#This Row],[7]],Table21215[[#This Row],[1]:[11]],0))-1)/(COUNTA(Table21215[[#This Row],[1]:[11]])-COUNTBLANK(Table21215[[#This Row],[1]:[11]])-1)))</f>
        <v/>
      </c>
      <c r="AF121" s="30" t="str" cm="1">
        <f t="array" ref="AF121">IF(Table21215[[#This Row],[8]]="","",Table21215[[#This Row],[Weight]:[Weight]]-(Table21215[[#This Row],[Weight]:[Weight]]*((_xlfn.XMATCH(Table21215[[#This Row],[8]],Table21215[[#This Row],[1]:[11]],0))-1)/(COUNTA(Table21215[[#This Row],[1]:[11]])-COUNTBLANK(Table21215[[#This Row],[1]:[11]])-1)))</f>
        <v/>
      </c>
      <c r="AG121" s="30" t="str" cm="1">
        <f t="array" ref="AG121">IF(Table21215[[#This Row],[9]]="","",Table21215[[#This Row],[Weight]:[Weight]]-(Table21215[[#This Row],[Weight]:[Weight]]*((_xlfn.XMATCH(Table21215[[#This Row],[9]],Table21215[[#This Row],[1]:[11]],0))-1)/(COUNTA(Table21215[[#This Row],[1]:[11]])-COUNTBLANK(Table21215[[#This Row],[1]:[11]])-1)))</f>
        <v/>
      </c>
      <c r="AH121" s="30" t="str" cm="1">
        <f t="array" ref="AH121">IF(Table21215[[#This Row],[10]]="","",Table21215[[#This Row],[Weight]:[Weight]]-(Table21215[[#This Row],[Weight]:[Weight]]*((_xlfn.XMATCH(Table21215[[#This Row],[10]],Table21215[[#This Row],[1]:[11]],0))-1)/(COUNTA(Table21215[[#This Row],[1]:[11]])-COUNTBLANK(Table21215[[#This Row],[1]:[11]])-1)))</f>
        <v/>
      </c>
      <c r="AI121" s="30" t="str" cm="1">
        <f t="array" ref="AI121">IF(Table21215[[#This Row],[11]]="","",Table21215[[#This Row],[Weight]:[Weight]]-(Table21215[[#This Row],[Weight]:[Weight]]*((_xlfn.XMATCH(Table21215[[#This Row],[11]],Table21215[[#This Row],[1]:[11]],0))-1)/(COUNTA(Table21215[[#This Row],[1]:[11]])-COUNTBLANK(Table21215[[#This Row],[1]:[11]])-1)))</f>
        <v/>
      </c>
    </row>
    <row r="122" spans="1:35" ht="108" x14ac:dyDescent="0.2">
      <c r="A122" s="20">
        <v>110</v>
      </c>
      <c r="B122" s="165" t="s">
        <v>939</v>
      </c>
      <c r="C122" s="21" t="s">
        <v>826</v>
      </c>
      <c r="D122" s="38"/>
      <c r="E122" s="38"/>
      <c r="F122" s="159" t="s">
        <v>188</v>
      </c>
      <c r="G122" s="160" cm="1">
        <f t="array" ref="G122">_xlfn.IFS(F122="","",F122="No interest",0,F122="Nice to have",1,F122="Useful",2,F122="Important",3,F122="Very important",4,F122="Critical",5,F122="Show stopper",6)</f>
        <v>5</v>
      </c>
      <c r="H122" s="161">
        <f t="shared" si="3"/>
        <v>3.9714058776806989E-3</v>
      </c>
      <c r="I122" s="157" t="s">
        <v>827</v>
      </c>
      <c r="J122" s="35" t="str" cm="1">
        <f t="array" ref="J122">_xlfn.TEXTJOIN(","&amp;CHAR(10),,TEXT(Table21215[[#This Row],[12]:[22]],"0,00%"))</f>
        <v>0,00%,
0,00%,
0,00%,
0,00%</v>
      </c>
      <c r="K122" s="36"/>
      <c r="L122" s="37" t="e">
        <f>H122-(H122*((MATCH(Table21215[[#This Row],[Evaluators Response (SELECT)]],Table21215[[#This Row],[1]:[11]],0)-1)/(COUNTA(Table21215[[#This Row],[1]:[11]])-COUNTBLANK(Table21215[[#This Row],[1]:[11]])-1)))</f>
        <v>#N/A</v>
      </c>
      <c r="M122" s="38"/>
      <c r="N122" s="29" t="s">
        <v>828</v>
      </c>
      <c r="O122" s="29" t="s">
        <v>829</v>
      </c>
      <c r="P122" s="29" t="s">
        <v>830</v>
      </c>
      <c r="Q122" s="29" t="str" cm="1">
        <f t="array" ref="Q122">IFERROR(INDEX(_xlfn.UNIQUE(TRIM(_xlfn.TEXTSPLIT(Table21215[[#This Row],[Selection Options]:[Selection Options]],","))),,Q$11),"")</f>
        <v xml:space="preserve">
 0%: Not currently supported</v>
      </c>
      <c r="R122" s="29" t="str" cm="1">
        <f t="array" ref="R122">IFERROR(INDEX(_xlfn.UNIQUE(TRIM(_xlfn.TEXTSPLIT(Table21215[[#This Row],[Selection Options]:[Selection Options]],","))),,R$11),"")</f>
        <v/>
      </c>
      <c r="S122" s="29" t="str" cm="1">
        <f t="array" ref="S122">IFERROR(INDEX(_xlfn.UNIQUE(TRIM(_xlfn.TEXTSPLIT(Table21215[[#This Row],[Selection Options]:[Selection Options]],","))),,S$11),"")</f>
        <v/>
      </c>
      <c r="T122" s="29" t="str" cm="1">
        <f t="array" ref="T122">IFERROR(INDEX(_xlfn.UNIQUE(TRIM(_xlfn.TEXTSPLIT(Table21215[[#This Row],[Selection Options]:[Selection Options]],","))),,T$11),"")</f>
        <v/>
      </c>
      <c r="U122" s="29" t="str" cm="1">
        <f t="array" ref="U122">IFERROR(INDEX(_xlfn.UNIQUE(TRIM(_xlfn.TEXTSPLIT(Table21215[[#This Row],[Selection Options]:[Selection Options]],","))),,U$11),"")</f>
        <v/>
      </c>
      <c r="V122" s="29" t="str" cm="1">
        <f t="array" ref="V122">IFERROR(INDEX(_xlfn.UNIQUE(TRIM(_xlfn.TEXTSPLIT(Table21215[[#This Row],[Selection Options]:[Selection Options]],","))),,V$11),"")</f>
        <v/>
      </c>
      <c r="W122" s="29" t="str" cm="1">
        <f t="array" ref="W122">IFERROR(INDEX(_xlfn.UNIQUE(TRIM(_xlfn.TEXTSPLIT(Table21215[[#This Row],[Selection Options]:[Selection Options]],","))),,W$11),"")</f>
        <v/>
      </c>
      <c r="X122" s="29" t="str" cm="1">
        <f t="array" ref="X122">IFERROR(INDEX(_xlfn.UNIQUE(TRIM(_xlfn.TEXTSPLIT(Table21215[[#This Row],[Selection Options]:[Selection Options]],","))),,X$11),"")</f>
        <v/>
      </c>
      <c r="Y122" s="30" cm="1">
        <f t="array" ref="Y122">IF(Table21215[[#This Row],[1]]="","",Table21215[[#This Row],[Weight]:[Weight]]-(Table21215[[#This Row],[Weight]:[Weight]]*((_xlfn.XMATCH(Table21215[[#This Row],[1]],Table21215[[#This Row],[1]:[11]],0))-1)/(COUNTA(Table21215[[#This Row],[1]:[11]])-COUNTBLANK(Table21215[[#This Row],[1]:[11]])-1)))</f>
        <v>3.9714058776806989E-3</v>
      </c>
      <c r="Z122" s="30" cm="1">
        <f t="array" ref="Z122">IF(Table21215[[#This Row],[2]]="","",Table21215[[#This Row],[Weight]:[Weight]]-(Table21215[[#This Row],[Weight]:[Weight]]*((_xlfn.XMATCH(Table21215[[#This Row],[2]],Table21215[[#This Row],[1]:[11]],0))-1)/(COUNTA(Table21215[[#This Row],[1]:[11]])-COUNTBLANK(Table21215[[#This Row],[1]:[11]])-1)))</f>
        <v>2.6476039184537992E-3</v>
      </c>
      <c r="AA122" s="30" cm="1">
        <f t="array" ref="AA122">IF(Table21215[[#This Row],[3]]="","",Table21215[[#This Row],[Weight]:[Weight]]-(Table21215[[#This Row],[Weight]:[Weight]]*((_xlfn.XMATCH(Table21215[[#This Row],[3]],Table21215[[#This Row],[1]:[11]],0))-1)/(COUNTA(Table21215[[#This Row],[1]:[11]])-COUNTBLANK(Table21215[[#This Row],[1]:[11]])-1)))</f>
        <v>1.3238019592268996E-3</v>
      </c>
      <c r="AB122" s="30" cm="1">
        <f t="array" ref="AB122">IF(Table21215[[#This Row],[4]]="","",Table21215[[#This Row],[Weight]:[Weight]]-(Table21215[[#This Row],[Weight]:[Weight]]*((_xlfn.XMATCH(Table21215[[#This Row],[4]],Table21215[[#This Row],[1]:[11]],0))-1)/(COUNTA(Table21215[[#This Row],[1]:[11]])-COUNTBLANK(Table21215[[#This Row],[1]:[11]])-1)))</f>
        <v>0</v>
      </c>
      <c r="AC122" s="30" t="str" cm="1">
        <f t="array" ref="AC122">IF(Table21215[[#This Row],[5]]="","",Table21215[[#This Row],[Weight]:[Weight]]-(Table21215[[#This Row],[Weight]:[Weight]]*((_xlfn.XMATCH(Table21215[[#This Row],[5]],Table21215[[#This Row],[1]:[11]],0))-1)/(COUNTA(Table21215[[#This Row],[1]:[11]])-COUNTBLANK(Table21215[[#This Row],[1]:[11]])-1)))</f>
        <v/>
      </c>
      <c r="AD122" s="30" t="str" cm="1">
        <f t="array" ref="AD122">IF(Table21215[[#This Row],[6]]="","",Table21215[[#This Row],[Weight]:[Weight]]-(Table21215[[#This Row],[Weight]:[Weight]]*((_xlfn.XMATCH(Table21215[[#This Row],[6]],Table21215[[#This Row],[1]:[11]],0))-1)/(COUNTA(Table21215[[#This Row],[1]:[11]])-COUNTBLANK(Table21215[[#This Row],[1]:[11]])-1)))</f>
        <v/>
      </c>
      <c r="AE122" s="30" t="str" cm="1">
        <f t="array" ref="AE122">IF(Table21215[[#This Row],[7]]="","",Table21215[[#This Row],[Weight]:[Weight]]-(Table21215[[#This Row],[Weight]:[Weight]]*((_xlfn.XMATCH(Table21215[[#This Row],[7]],Table21215[[#This Row],[1]:[11]],0))-1)/(COUNTA(Table21215[[#This Row],[1]:[11]])-COUNTBLANK(Table21215[[#This Row],[1]:[11]])-1)))</f>
        <v/>
      </c>
      <c r="AF122" s="30" t="str" cm="1">
        <f t="array" ref="AF122">IF(Table21215[[#This Row],[8]]="","",Table21215[[#This Row],[Weight]:[Weight]]-(Table21215[[#This Row],[Weight]:[Weight]]*((_xlfn.XMATCH(Table21215[[#This Row],[8]],Table21215[[#This Row],[1]:[11]],0))-1)/(COUNTA(Table21215[[#This Row],[1]:[11]])-COUNTBLANK(Table21215[[#This Row],[1]:[11]])-1)))</f>
        <v/>
      </c>
      <c r="AG122" s="30" t="str" cm="1">
        <f t="array" ref="AG122">IF(Table21215[[#This Row],[9]]="","",Table21215[[#This Row],[Weight]:[Weight]]-(Table21215[[#This Row],[Weight]:[Weight]]*((_xlfn.XMATCH(Table21215[[#This Row],[9]],Table21215[[#This Row],[1]:[11]],0))-1)/(COUNTA(Table21215[[#This Row],[1]:[11]])-COUNTBLANK(Table21215[[#This Row],[1]:[11]])-1)))</f>
        <v/>
      </c>
      <c r="AH122" s="30" t="str" cm="1">
        <f t="array" ref="AH122">IF(Table21215[[#This Row],[10]]="","",Table21215[[#This Row],[Weight]:[Weight]]-(Table21215[[#This Row],[Weight]:[Weight]]*((_xlfn.XMATCH(Table21215[[#This Row],[10]],Table21215[[#This Row],[1]:[11]],0))-1)/(COUNTA(Table21215[[#This Row],[1]:[11]])-COUNTBLANK(Table21215[[#This Row],[1]:[11]])-1)))</f>
        <v/>
      </c>
      <c r="AI122" s="30" t="str" cm="1">
        <f t="array" ref="AI122">IF(Table21215[[#This Row],[11]]="","",Table21215[[#This Row],[Weight]:[Weight]]-(Table21215[[#This Row],[Weight]:[Weight]]*((_xlfn.XMATCH(Table21215[[#This Row],[11]],Table21215[[#This Row],[1]:[11]],0))-1)/(COUNTA(Table21215[[#This Row],[1]:[11]])-COUNTBLANK(Table21215[[#This Row],[1]:[11]])-1)))</f>
        <v/>
      </c>
    </row>
    <row r="123" spans="1:35" ht="108" x14ac:dyDescent="0.2">
      <c r="A123" s="20">
        <v>111</v>
      </c>
      <c r="B123" s="165" t="s">
        <v>940</v>
      </c>
      <c r="C123" s="21" t="s">
        <v>826</v>
      </c>
      <c r="D123" s="38"/>
      <c r="E123" s="38"/>
      <c r="F123" s="159" t="s">
        <v>188</v>
      </c>
      <c r="G123" s="160" cm="1">
        <f t="array" ref="G123">_xlfn.IFS(F123="","",F123="No interest",0,F123="Nice to have",1,F123="Useful",2,F123="Important",3,F123="Very important",4,F123="Critical",5,F123="Show stopper",6)</f>
        <v>5</v>
      </c>
      <c r="H123" s="161">
        <f t="shared" si="3"/>
        <v>3.9714058776806989E-3</v>
      </c>
      <c r="I123" s="157" t="s">
        <v>827</v>
      </c>
      <c r="J123" s="35" t="str" cm="1">
        <f t="array" ref="J123">_xlfn.TEXTJOIN(","&amp;CHAR(10),,TEXT(Table21215[[#This Row],[12]:[22]],"0,00%"))</f>
        <v>0,00%,
0,00%,
0,00%,
0,00%</v>
      </c>
      <c r="K123" s="36"/>
      <c r="L123" s="37" t="e">
        <f>H123-(H123*((MATCH(Table21215[[#This Row],[Evaluators Response (SELECT)]],Table21215[[#This Row],[1]:[11]],0)-1)/(COUNTA(Table21215[[#This Row],[1]:[11]])-COUNTBLANK(Table21215[[#This Row],[1]:[11]])-1)))</f>
        <v>#N/A</v>
      </c>
      <c r="M123" s="38"/>
      <c r="N123" s="29" t="s">
        <v>828</v>
      </c>
      <c r="O123" s="29" t="s">
        <v>829</v>
      </c>
      <c r="P123" s="29" t="s">
        <v>830</v>
      </c>
      <c r="Q123" s="29" t="str" cm="1">
        <f t="array" ref="Q123">IFERROR(INDEX(_xlfn.UNIQUE(TRIM(_xlfn.TEXTSPLIT(Table21215[[#This Row],[Selection Options]:[Selection Options]],","))),,Q$11),"")</f>
        <v xml:space="preserve">
 0%: Not currently supported</v>
      </c>
      <c r="R123" s="29" t="str" cm="1">
        <f t="array" ref="R123">IFERROR(INDEX(_xlfn.UNIQUE(TRIM(_xlfn.TEXTSPLIT(Table21215[[#This Row],[Selection Options]:[Selection Options]],","))),,R$11),"")</f>
        <v/>
      </c>
      <c r="S123" s="29" t="str" cm="1">
        <f t="array" ref="S123">IFERROR(INDEX(_xlfn.UNIQUE(TRIM(_xlfn.TEXTSPLIT(Table21215[[#This Row],[Selection Options]:[Selection Options]],","))),,S$11),"")</f>
        <v/>
      </c>
      <c r="T123" s="29" t="str" cm="1">
        <f t="array" ref="T123">IFERROR(INDEX(_xlfn.UNIQUE(TRIM(_xlfn.TEXTSPLIT(Table21215[[#This Row],[Selection Options]:[Selection Options]],","))),,T$11),"")</f>
        <v/>
      </c>
      <c r="U123" s="29" t="str" cm="1">
        <f t="array" ref="U123">IFERROR(INDEX(_xlfn.UNIQUE(TRIM(_xlfn.TEXTSPLIT(Table21215[[#This Row],[Selection Options]:[Selection Options]],","))),,U$11),"")</f>
        <v/>
      </c>
      <c r="V123" s="29" t="str" cm="1">
        <f t="array" ref="V123">IFERROR(INDEX(_xlfn.UNIQUE(TRIM(_xlfn.TEXTSPLIT(Table21215[[#This Row],[Selection Options]:[Selection Options]],","))),,V$11),"")</f>
        <v/>
      </c>
      <c r="W123" s="29" t="str" cm="1">
        <f t="array" ref="W123">IFERROR(INDEX(_xlfn.UNIQUE(TRIM(_xlfn.TEXTSPLIT(Table21215[[#This Row],[Selection Options]:[Selection Options]],","))),,W$11),"")</f>
        <v/>
      </c>
      <c r="X123" s="29" t="str" cm="1">
        <f t="array" ref="X123">IFERROR(INDEX(_xlfn.UNIQUE(TRIM(_xlfn.TEXTSPLIT(Table21215[[#This Row],[Selection Options]:[Selection Options]],","))),,X$11),"")</f>
        <v/>
      </c>
      <c r="Y123" s="30" cm="1">
        <f t="array" ref="Y123">IF(Table21215[[#This Row],[1]]="","",Table21215[[#This Row],[Weight]:[Weight]]-(Table21215[[#This Row],[Weight]:[Weight]]*((_xlfn.XMATCH(Table21215[[#This Row],[1]],Table21215[[#This Row],[1]:[11]],0))-1)/(COUNTA(Table21215[[#This Row],[1]:[11]])-COUNTBLANK(Table21215[[#This Row],[1]:[11]])-1)))</f>
        <v>3.9714058776806989E-3</v>
      </c>
      <c r="Z123" s="30" cm="1">
        <f t="array" ref="Z123">IF(Table21215[[#This Row],[2]]="","",Table21215[[#This Row],[Weight]:[Weight]]-(Table21215[[#This Row],[Weight]:[Weight]]*((_xlfn.XMATCH(Table21215[[#This Row],[2]],Table21215[[#This Row],[1]:[11]],0))-1)/(COUNTA(Table21215[[#This Row],[1]:[11]])-COUNTBLANK(Table21215[[#This Row],[1]:[11]])-1)))</f>
        <v>2.6476039184537992E-3</v>
      </c>
      <c r="AA123" s="30" cm="1">
        <f t="array" ref="AA123">IF(Table21215[[#This Row],[3]]="","",Table21215[[#This Row],[Weight]:[Weight]]-(Table21215[[#This Row],[Weight]:[Weight]]*((_xlfn.XMATCH(Table21215[[#This Row],[3]],Table21215[[#This Row],[1]:[11]],0))-1)/(COUNTA(Table21215[[#This Row],[1]:[11]])-COUNTBLANK(Table21215[[#This Row],[1]:[11]])-1)))</f>
        <v>1.3238019592268996E-3</v>
      </c>
      <c r="AB123" s="30" cm="1">
        <f t="array" ref="AB123">IF(Table21215[[#This Row],[4]]="","",Table21215[[#This Row],[Weight]:[Weight]]-(Table21215[[#This Row],[Weight]:[Weight]]*((_xlfn.XMATCH(Table21215[[#This Row],[4]],Table21215[[#This Row],[1]:[11]],0))-1)/(COUNTA(Table21215[[#This Row],[1]:[11]])-COUNTBLANK(Table21215[[#This Row],[1]:[11]])-1)))</f>
        <v>0</v>
      </c>
      <c r="AC123" s="30" t="str" cm="1">
        <f t="array" ref="AC123">IF(Table21215[[#This Row],[5]]="","",Table21215[[#This Row],[Weight]:[Weight]]-(Table21215[[#This Row],[Weight]:[Weight]]*((_xlfn.XMATCH(Table21215[[#This Row],[5]],Table21215[[#This Row],[1]:[11]],0))-1)/(COUNTA(Table21215[[#This Row],[1]:[11]])-COUNTBLANK(Table21215[[#This Row],[1]:[11]])-1)))</f>
        <v/>
      </c>
      <c r="AD123" s="30" t="str" cm="1">
        <f t="array" ref="AD123">IF(Table21215[[#This Row],[6]]="","",Table21215[[#This Row],[Weight]:[Weight]]-(Table21215[[#This Row],[Weight]:[Weight]]*((_xlfn.XMATCH(Table21215[[#This Row],[6]],Table21215[[#This Row],[1]:[11]],0))-1)/(COUNTA(Table21215[[#This Row],[1]:[11]])-COUNTBLANK(Table21215[[#This Row],[1]:[11]])-1)))</f>
        <v/>
      </c>
      <c r="AE123" s="30" t="str" cm="1">
        <f t="array" ref="AE123">IF(Table21215[[#This Row],[7]]="","",Table21215[[#This Row],[Weight]:[Weight]]-(Table21215[[#This Row],[Weight]:[Weight]]*((_xlfn.XMATCH(Table21215[[#This Row],[7]],Table21215[[#This Row],[1]:[11]],0))-1)/(COUNTA(Table21215[[#This Row],[1]:[11]])-COUNTBLANK(Table21215[[#This Row],[1]:[11]])-1)))</f>
        <v/>
      </c>
      <c r="AF123" s="30" t="str" cm="1">
        <f t="array" ref="AF123">IF(Table21215[[#This Row],[8]]="","",Table21215[[#This Row],[Weight]:[Weight]]-(Table21215[[#This Row],[Weight]:[Weight]]*((_xlfn.XMATCH(Table21215[[#This Row],[8]],Table21215[[#This Row],[1]:[11]],0))-1)/(COUNTA(Table21215[[#This Row],[1]:[11]])-COUNTBLANK(Table21215[[#This Row],[1]:[11]])-1)))</f>
        <v/>
      </c>
      <c r="AG123" s="30" t="str" cm="1">
        <f t="array" ref="AG123">IF(Table21215[[#This Row],[9]]="","",Table21215[[#This Row],[Weight]:[Weight]]-(Table21215[[#This Row],[Weight]:[Weight]]*((_xlfn.XMATCH(Table21215[[#This Row],[9]],Table21215[[#This Row],[1]:[11]],0))-1)/(COUNTA(Table21215[[#This Row],[1]:[11]])-COUNTBLANK(Table21215[[#This Row],[1]:[11]])-1)))</f>
        <v/>
      </c>
      <c r="AH123" s="30" t="str" cm="1">
        <f t="array" ref="AH123">IF(Table21215[[#This Row],[10]]="","",Table21215[[#This Row],[Weight]:[Weight]]-(Table21215[[#This Row],[Weight]:[Weight]]*((_xlfn.XMATCH(Table21215[[#This Row],[10]],Table21215[[#This Row],[1]:[11]],0))-1)/(COUNTA(Table21215[[#This Row],[1]:[11]])-COUNTBLANK(Table21215[[#This Row],[1]:[11]])-1)))</f>
        <v/>
      </c>
      <c r="AI123" s="30" t="str" cm="1">
        <f t="array" ref="AI123">IF(Table21215[[#This Row],[11]]="","",Table21215[[#This Row],[Weight]:[Weight]]-(Table21215[[#This Row],[Weight]:[Weight]]*((_xlfn.XMATCH(Table21215[[#This Row],[11]],Table21215[[#This Row],[1]:[11]],0))-1)/(COUNTA(Table21215[[#This Row],[1]:[11]])-COUNTBLANK(Table21215[[#This Row],[1]:[11]])-1)))</f>
        <v/>
      </c>
    </row>
    <row r="124" spans="1:35" ht="108" x14ac:dyDescent="0.2">
      <c r="A124" s="20">
        <v>112</v>
      </c>
      <c r="B124" s="165" t="s">
        <v>941</v>
      </c>
      <c r="C124" s="21" t="s">
        <v>826</v>
      </c>
      <c r="D124" s="38"/>
      <c r="E124" s="38"/>
      <c r="F124" s="159" t="s">
        <v>188</v>
      </c>
      <c r="G124" s="160" cm="1">
        <f t="array" ref="G124">_xlfn.IFS(F124="","",F124="No interest",0,F124="Nice to have",1,F124="Useful",2,F124="Important",3,F124="Very important",4,F124="Critical",5,F124="Show stopper",6)</f>
        <v>5</v>
      </c>
      <c r="H124" s="161">
        <f t="shared" si="3"/>
        <v>3.9714058776806989E-3</v>
      </c>
      <c r="I124" s="157" t="s">
        <v>827</v>
      </c>
      <c r="J124" s="35" t="str" cm="1">
        <f t="array" ref="J124">_xlfn.TEXTJOIN(","&amp;CHAR(10),,TEXT(Table21215[[#This Row],[12]:[22]],"0,00%"))</f>
        <v>0,00%,
0,00%,
0,00%,
0,00%</v>
      </c>
      <c r="K124" s="36"/>
      <c r="L124" s="37" t="e">
        <f>H124-(H124*((MATCH(Table21215[[#This Row],[Evaluators Response (SELECT)]],Table21215[[#This Row],[1]:[11]],0)-1)/(COUNTA(Table21215[[#This Row],[1]:[11]])-COUNTBLANK(Table21215[[#This Row],[1]:[11]])-1)))</f>
        <v>#N/A</v>
      </c>
      <c r="M124" s="38"/>
      <c r="N124" s="29" t="s">
        <v>828</v>
      </c>
      <c r="O124" s="29" t="s">
        <v>829</v>
      </c>
      <c r="P124" s="29" t="s">
        <v>830</v>
      </c>
      <c r="Q124" s="29" t="str" cm="1">
        <f t="array" ref="Q124">IFERROR(INDEX(_xlfn.UNIQUE(TRIM(_xlfn.TEXTSPLIT(Table21215[[#This Row],[Selection Options]:[Selection Options]],","))),,Q$11),"")</f>
        <v xml:space="preserve">
 0%: Not currently supported</v>
      </c>
      <c r="R124" s="29" t="str" cm="1">
        <f t="array" ref="R124">IFERROR(INDEX(_xlfn.UNIQUE(TRIM(_xlfn.TEXTSPLIT(Table21215[[#This Row],[Selection Options]:[Selection Options]],","))),,R$11),"")</f>
        <v/>
      </c>
      <c r="S124" s="29" t="str" cm="1">
        <f t="array" ref="S124">IFERROR(INDEX(_xlfn.UNIQUE(TRIM(_xlfn.TEXTSPLIT(Table21215[[#This Row],[Selection Options]:[Selection Options]],","))),,S$11),"")</f>
        <v/>
      </c>
      <c r="T124" s="29" t="str" cm="1">
        <f t="array" ref="T124">IFERROR(INDEX(_xlfn.UNIQUE(TRIM(_xlfn.TEXTSPLIT(Table21215[[#This Row],[Selection Options]:[Selection Options]],","))),,T$11),"")</f>
        <v/>
      </c>
      <c r="U124" s="29" t="str" cm="1">
        <f t="array" ref="U124">IFERROR(INDEX(_xlfn.UNIQUE(TRIM(_xlfn.TEXTSPLIT(Table21215[[#This Row],[Selection Options]:[Selection Options]],","))),,U$11),"")</f>
        <v/>
      </c>
      <c r="V124" s="29" t="str" cm="1">
        <f t="array" ref="V124">IFERROR(INDEX(_xlfn.UNIQUE(TRIM(_xlfn.TEXTSPLIT(Table21215[[#This Row],[Selection Options]:[Selection Options]],","))),,V$11),"")</f>
        <v/>
      </c>
      <c r="W124" s="29" t="str" cm="1">
        <f t="array" ref="W124">IFERROR(INDEX(_xlfn.UNIQUE(TRIM(_xlfn.TEXTSPLIT(Table21215[[#This Row],[Selection Options]:[Selection Options]],","))),,W$11),"")</f>
        <v/>
      </c>
      <c r="X124" s="29" t="str" cm="1">
        <f t="array" ref="X124">IFERROR(INDEX(_xlfn.UNIQUE(TRIM(_xlfn.TEXTSPLIT(Table21215[[#This Row],[Selection Options]:[Selection Options]],","))),,X$11),"")</f>
        <v/>
      </c>
      <c r="Y124" s="30" cm="1">
        <f t="array" ref="Y124">IF(Table21215[[#This Row],[1]]="","",Table21215[[#This Row],[Weight]:[Weight]]-(Table21215[[#This Row],[Weight]:[Weight]]*((_xlfn.XMATCH(Table21215[[#This Row],[1]],Table21215[[#This Row],[1]:[11]],0))-1)/(COUNTA(Table21215[[#This Row],[1]:[11]])-COUNTBLANK(Table21215[[#This Row],[1]:[11]])-1)))</f>
        <v>3.9714058776806989E-3</v>
      </c>
      <c r="Z124" s="30" cm="1">
        <f t="array" ref="Z124">IF(Table21215[[#This Row],[2]]="","",Table21215[[#This Row],[Weight]:[Weight]]-(Table21215[[#This Row],[Weight]:[Weight]]*((_xlfn.XMATCH(Table21215[[#This Row],[2]],Table21215[[#This Row],[1]:[11]],0))-1)/(COUNTA(Table21215[[#This Row],[1]:[11]])-COUNTBLANK(Table21215[[#This Row],[1]:[11]])-1)))</f>
        <v>2.6476039184537992E-3</v>
      </c>
      <c r="AA124" s="30" cm="1">
        <f t="array" ref="AA124">IF(Table21215[[#This Row],[3]]="","",Table21215[[#This Row],[Weight]:[Weight]]-(Table21215[[#This Row],[Weight]:[Weight]]*((_xlfn.XMATCH(Table21215[[#This Row],[3]],Table21215[[#This Row],[1]:[11]],0))-1)/(COUNTA(Table21215[[#This Row],[1]:[11]])-COUNTBLANK(Table21215[[#This Row],[1]:[11]])-1)))</f>
        <v>1.3238019592268996E-3</v>
      </c>
      <c r="AB124" s="30" cm="1">
        <f t="array" ref="AB124">IF(Table21215[[#This Row],[4]]="","",Table21215[[#This Row],[Weight]:[Weight]]-(Table21215[[#This Row],[Weight]:[Weight]]*((_xlfn.XMATCH(Table21215[[#This Row],[4]],Table21215[[#This Row],[1]:[11]],0))-1)/(COUNTA(Table21215[[#This Row],[1]:[11]])-COUNTBLANK(Table21215[[#This Row],[1]:[11]])-1)))</f>
        <v>0</v>
      </c>
      <c r="AC124" s="30" t="str" cm="1">
        <f t="array" ref="AC124">IF(Table21215[[#This Row],[5]]="","",Table21215[[#This Row],[Weight]:[Weight]]-(Table21215[[#This Row],[Weight]:[Weight]]*((_xlfn.XMATCH(Table21215[[#This Row],[5]],Table21215[[#This Row],[1]:[11]],0))-1)/(COUNTA(Table21215[[#This Row],[1]:[11]])-COUNTBLANK(Table21215[[#This Row],[1]:[11]])-1)))</f>
        <v/>
      </c>
      <c r="AD124" s="30" t="str" cm="1">
        <f t="array" ref="AD124">IF(Table21215[[#This Row],[6]]="","",Table21215[[#This Row],[Weight]:[Weight]]-(Table21215[[#This Row],[Weight]:[Weight]]*((_xlfn.XMATCH(Table21215[[#This Row],[6]],Table21215[[#This Row],[1]:[11]],0))-1)/(COUNTA(Table21215[[#This Row],[1]:[11]])-COUNTBLANK(Table21215[[#This Row],[1]:[11]])-1)))</f>
        <v/>
      </c>
      <c r="AE124" s="30" t="str" cm="1">
        <f t="array" ref="AE124">IF(Table21215[[#This Row],[7]]="","",Table21215[[#This Row],[Weight]:[Weight]]-(Table21215[[#This Row],[Weight]:[Weight]]*((_xlfn.XMATCH(Table21215[[#This Row],[7]],Table21215[[#This Row],[1]:[11]],0))-1)/(COUNTA(Table21215[[#This Row],[1]:[11]])-COUNTBLANK(Table21215[[#This Row],[1]:[11]])-1)))</f>
        <v/>
      </c>
      <c r="AF124" s="30" t="str" cm="1">
        <f t="array" ref="AF124">IF(Table21215[[#This Row],[8]]="","",Table21215[[#This Row],[Weight]:[Weight]]-(Table21215[[#This Row],[Weight]:[Weight]]*((_xlfn.XMATCH(Table21215[[#This Row],[8]],Table21215[[#This Row],[1]:[11]],0))-1)/(COUNTA(Table21215[[#This Row],[1]:[11]])-COUNTBLANK(Table21215[[#This Row],[1]:[11]])-1)))</f>
        <v/>
      </c>
      <c r="AG124" s="30" t="str" cm="1">
        <f t="array" ref="AG124">IF(Table21215[[#This Row],[9]]="","",Table21215[[#This Row],[Weight]:[Weight]]-(Table21215[[#This Row],[Weight]:[Weight]]*((_xlfn.XMATCH(Table21215[[#This Row],[9]],Table21215[[#This Row],[1]:[11]],0))-1)/(COUNTA(Table21215[[#This Row],[1]:[11]])-COUNTBLANK(Table21215[[#This Row],[1]:[11]])-1)))</f>
        <v/>
      </c>
      <c r="AH124" s="30" t="str" cm="1">
        <f t="array" ref="AH124">IF(Table21215[[#This Row],[10]]="","",Table21215[[#This Row],[Weight]:[Weight]]-(Table21215[[#This Row],[Weight]:[Weight]]*((_xlfn.XMATCH(Table21215[[#This Row],[10]],Table21215[[#This Row],[1]:[11]],0))-1)/(COUNTA(Table21215[[#This Row],[1]:[11]])-COUNTBLANK(Table21215[[#This Row],[1]:[11]])-1)))</f>
        <v/>
      </c>
      <c r="AI124" s="30" t="str" cm="1">
        <f t="array" ref="AI124">IF(Table21215[[#This Row],[11]]="","",Table21215[[#This Row],[Weight]:[Weight]]-(Table21215[[#This Row],[Weight]:[Weight]]*((_xlfn.XMATCH(Table21215[[#This Row],[11]],Table21215[[#This Row],[1]:[11]],0))-1)/(COUNTA(Table21215[[#This Row],[1]:[11]])-COUNTBLANK(Table21215[[#This Row],[1]:[11]])-1)))</f>
        <v/>
      </c>
    </row>
    <row r="125" spans="1:35" ht="108" x14ac:dyDescent="0.2">
      <c r="A125" s="20">
        <v>113</v>
      </c>
      <c r="B125" s="165" t="s">
        <v>942</v>
      </c>
      <c r="C125" s="21" t="s">
        <v>826</v>
      </c>
      <c r="D125" s="38"/>
      <c r="E125" s="38"/>
      <c r="F125" s="159" t="s">
        <v>188</v>
      </c>
      <c r="G125" s="160" cm="1">
        <f t="array" ref="G125">_xlfn.IFS(F125="","",F125="No interest",0,F125="Nice to have",1,F125="Useful",2,F125="Important",3,F125="Very important",4,F125="Critical",5,F125="Show stopper",6)</f>
        <v>5</v>
      </c>
      <c r="H125" s="161">
        <f t="shared" si="3"/>
        <v>3.9714058776806989E-3</v>
      </c>
      <c r="I125" s="157" t="s">
        <v>827</v>
      </c>
      <c r="J125" s="35" t="str" cm="1">
        <f t="array" ref="J125">_xlfn.TEXTJOIN(","&amp;CHAR(10),,TEXT(Table21215[[#This Row],[12]:[22]],"0,00%"))</f>
        <v>0,00%,
0,00%,
0,00%,
0,00%</v>
      </c>
      <c r="K125" s="36"/>
      <c r="L125" s="37" t="e">
        <f>H125-(H125*((MATCH(Table21215[[#This Row],[Evaluators Response (SELECT)]],Table21215[[#This Row],[1]:[11]],0)-1)/(COUNTA(Table21215[[#This Row],[1]:[11]])-COUNTBLANK(Table21215[[#This Row],[1]:[11]])-1)))</f>
        <v>#N/A</v>
      </c>
      <c r="M125" s="38"/>
      <c r="N125" s="29" t="s">
        <v>828</v>
      </c>
      <c r="O125" s="29" t="s">
        <v>829</v>
      </c>
      <c r="P125" s="29" t="s">
        <v>830</v>
      </c>
      <c r="Q125" s="29" t="str" cm="1">
        <f t="array" ref="Q125">IFERROR(INDEX(_xlfn.UNIQUE(TRIM(_xlfn.TEXTSPLIT(Table21215[[#This Row],[Selection Options]:[Selection Options]],","))),,Q$11),"")</f>
        <v xml:space="preserve">
 0%: Not currently supported</v>
      </c>
      <c r="R125" s="29" t="str" cm="1">
        <f t="array" ref="R125">IFERROR(INDEX(_xlfn.UNIQUE(TRIM(_xlfn.TEXTSPLIT(Table21215[[#This Row],[Selection Options]:[Selection Options]],","))),,R$11),"")</f>
        <v/>
      </c>
      <c r="S125" s="29" t="str" cm="1">
        <f t="array" ref="S125">IFERROR(INDEX(_xlfn.UNIQUE(TRIM(_xlfn.TEXTSPLIT(Table21215[[#This Row],[Selection Options]:[Selection Options]],","))),,S$11),"")</f>
        <v/>
      </c>
      <c r="T125" s="29" t="str" cm="1">
        <f t="array" ref="T125">IFERROR(INDEX(_xlfn.UNIQUE(TRIM(_xlfn.TEXTSPLIT(Table21215[[#This Row],[Selection Options]:[Selection Options]],","))),,T$11),"")</f>
        <v/>
      </c>
      <c r="U125" s="29" t="str" cm="1">
        <f t="array" ref="U125">IFERROR(INDEX(_xlfn.UNIQUE(TRIM(_xlfn.TEXTSPLIT(Table21215[[#This Row],[Selection Options]:[Selection Options]],","))),,U$11),"")</f>
        <v/>
      </c>
      <c r="V125" s="29" t="str" cm="1">
        <f t="array" ref="V125">IFERROR(INDEX(_xlfn.UNIQUE(TRIM(_xlfn.TEXTSPLIT(Table21215[[#This Row],[Selection Options]:[Selection Options]],","))),,V$11),"")</f>
        <v/>
      </c>
      <c r="W125" s="29" t="str" cm="1">
        <f t="array" ref="W125">IFERROR(INDEX(_xlfn.UNIQUE(TRIM(_xlfn.TEXTSPLIT(Table21215[[#This Row],[Selection Options]:[Selection Options]],","))),,W$11),"")</f>
        <v/>
      </c>
      <c r="X125" s="29" t="str" cm="1">
        <f t="array" ref="X125">IFERROR(INDEX(_xlfn.UNIQUE(TRIM(_xlfn.TEXTSPLIT(Table21215[[#This Row],[Selection Options]:[Selection Options]],","))),,X$11),"")</f>
        <v/>
      </c>
      <c r="Y125" s="30" cm="1">
        <f t="array" ref="Y125">IF(Table21215[[#This Row],[1]]="","",Table21215[[#This Row],[Weight]:[Weight]]-(Table21215[[#This Row],[Weight]:[Weight]]*((_xlfn.XMATCH(Table21215[[#This Row],[1]],Table21215[[#This Row],[1]:[11]],0))-1)/(COUNTA(Table21215[[#This Row],[1]:[11]])-COUNTBLANK(Table21215[[#This Row],[1]:[11]])-1)))</f>
        <v>3.9714058776806989E-3</v>
      </c>
      <c r="Z125" s="30" cm="1">
        <f t="array" ref="Z125">IF(Table21215[[#This Row],[2]]="","",Table21215[[#This Row],[Weight]:[Weight]]-(Table21215[[#This Row],[Weight]:[Weight]]*((_xlfn.XMATCH(Table21215[[#This Row],[2]],Table21215[[#This Row],[1]:[11]],0))-1)/(COUNTA(Table21215[[#This Row],[1]:[11]])-COUNTBLANK(Table21215[[#This Row],[1]:[11]])-1)))</f>
        <v>2.6476039184537992E-3</v>
      </c>
      <c r="AA125" s="30" cm="1">
        <f t="array" ref="AA125">IF(Table21215[[#This Row],[3]]="","",Table21215[[#This Row],[Weight]:[Weight]]-(Table21215[[#This Row],[Weight]:[Weight]]*((_xlfn.XMATCH(Table21215[[#This Row],[3]],Table21215[[#This Row],[1]:[11]],0))-1)/(COUNTA(Table21215[[#This Row],[1]:[11]])-COUNTBLANK(Table21215[[#This Row],[1]:[11]])-1)))</f>
        <v>1.3238019592268996E-3</v>
      </c>
      <c r="AB125" s="30" cm="1">
        <f t="array" ref="AB125">IF(Table21215[[#This Row],[4]]="","",Table21215[[#This Row],[Weight]:[Weight]]-(Table21215[[#This Row],[Weight]:[Weight]]*((_xlfn.XMATCH(Table21215[[#This Row],[4]],Table21215[[#This Row],[1]:[11]],0))-1)/(COUNTA(Table21215[[#This Row],[1]:[11]])-COUNTBLANK(Table21215[[#This Row],[1]:[11]])-1)))</f>
        <v>0</v>
      </c>
      <c r="AC125" s="30" t="str" cm="1">
        <f t="array" ref="AC125">IF(Table21215[[#This Row],[5]]="","",Table21215[[#This Row],[Weight]:[Weight]]-(Table21215[[#This Row],[Weight]:[Weight]]*((_xlfn.XMATCH(Table21215[[#This Row],[5]],Table21215[[#This Row],[1]:[11]],0))-1)/(COUNTA(Table21215[[#This Row],[1]:[11]])-COUNTBLANK(Table21215[[#This Row],[1]:[11]])-1)))</f>
        <v/>
      </c>
      <c r="AD125" s="30" t="str" cm="1">
        <f t="array" ref="AD125">IF(Table21215[[#This Row],[6]]="","",Table21215[[#This Row],[Weight]:[Weight]]-(Table21215[[#This Row],[Weight]:[Weight]]*((_xlfn.XMATCH(Table21215[[#This Row],[6]],Table21215[[#This Row],[1]:[11]],0))-1)/(COUNTA(Table21215[[#This Row],[1]:[11]])-COUNTBLANK(Table21215[[#This Row],[1]:[11]])-1)))</f>
        <v/>
      </c>
      <c r="AE125" s="30" t="str" cm="1">
        <f t="array" ref="AE125">IF(Table21215[[#This Row],[7]]="","",Table21215[[#This Row],[Weight]:[Weight]]-(Table21215[[#This Row],[Weight]:[Weight]]*((_xlfn.XMATCH(Table21215[[#This Row],[7]],Table21215[[#This Row],[1]:[11]],0))-1)/(COUNTA(Table21215[[#This Row],[1]:[11]])-COUNTBLANK(Table21215[[#This Row],[1]:[11]])-1)))</f>
        <v/>
      </c>
      <c r="AF125" s="30" t="str" cm="1">
        <f t="array" ref="AF125">IF(Table21215[[#This Row],[8]]="","",Table21215[[#This Row],[Weight]:[Weight]]-(Table21215[[#This Row],[Weight]:[Weight]]*((_xlfn.XMATCH(Table21215[[#This Row],[8]],Table21215[[#This Row],[1]:[11]],0))-1)/(COUNTA(Table21215[[#This Row],[1]:[11]])-COUNTBLANK(Table21215[[#This Row],[1]:[11]])-1)))</f>
        <v/>
      </c>
      <c r="AG125" s="30" t="str" cm="1">
        <f t="array" ref="AG125">IF(Table21215[[#This Row],[9]]="","",Table21215[[#This Row],[Weight]:[Weight]]-(Table21215[[#This Row],[Weight]:[Weight]]*((_xlfn.XMATCH(Table21215[[#This Row],[9]],Table21215[[#This Row],[1]:[11]],0))-1)/(COUNTA(Table21215[[#This Row],[1]:[11]])-COUNTBLANK(Table21215[[#This Row],[1]:[11]])-1)))</f>
        <v/>
      </c>
      <c r="AH125" s="30" t="str" cm="1">
        <f t="array" ref="AH125">IF(Table21215[[#This Row],[10]]="","",Table21215[[#This Row],[Weight]:[Weight]]-(Table21215[[#This Row],[Weight]:[Weight]]*((_xlfn.XMATCH(Table21215[[#This Row],[10]],Table21215[[#This Row],[1]:[11]],0))-1)/(COUNTA(Table21215[[#This Row],[1]:[11]])-COUNTBLANK(Table21215[[#This Row],[1]:[11]])-1)))</f>
        <v/>
      </c>
      <c r="AI125" s="30" t="str" cm="1">
        <f t="array" ref="AI125">IF(Table21215[[#This Row],[11]]="","",Table21215[[#This Row],[Weight]:[Weight]]-(Table21215[[#This Row],[Weight]:[Weight]]*((_xlfn.XMATCH(Table21215[[#This Row],[11]],Table21215[[#This Row],[1]:[11]],0))-1)/(COUNTA(Table21215[[#This Row],[1]:[11]])-COUNTBLANK(Table21215[[#This Row],[1]:[11]])-1)))</f>
        <v/>
      </c>
    </row>
    <row r="126" spans="1:35" ht="108" x14ac:dyDescent="0.2">
      <c r="A126" s="20">
        <v>114</v>
      </c>
      <c r="B126" s="165" t="s">
        <v>943</v>
      </c>
      <c r="C126" s="21" t="s">
        <v>826</v>
      </c>
      <c r="D126" s="38"/>
      <c r="E126" s="38"/>
      <c r="F126" s="159" t="s">
        <v>188</v>
      </c>
      <c r="G126" s="160" cm="1">
        <f t="array" ref="G126">_xlfn.IFS(F126="","",F126="No interest",0,F126="Nice to have",1,F126="Useful",2,F126="Important",3,F126="Very important",4,F126="Critical",5,F126="Show stopper",6)</f>
        <v>5</v>
      </c>
      <c r="H126" s="161">
        <f t="shared" si="3"/>
        <v>3.9714058776806989E-3</v>
      </c>
      <c r="I126" s="157" t="s">
        <v>827</v>
      </c>
      <c r="J126" s="35" t="str" cm="1">
        <f t="array" ref="J126">_xlfn.TEXTJOIN(","&amp;CHAR(10),,TEXT(Table21215[[#This Row],[12]:[22]],"0,00%"))</f>
        <v>0,00%,
0,00%,
0,00%,
0,00%</v>
      </c>
      <c r="K126" s="36"/>
      <c r="L126" s="37" t="e">
        <f>H126-(H126*((MATCH(Table21215[[#This Row],[Evaluators Response (SELECT)]],Table21215[[#This Row],[1]:[11]],0)-1)/(COUNTA(Table21215[[#This Row],[1]:[11]])-COUNTBLANK(Table21215[[#This Row],[1]:[11]])-1)))</f>
        <v>#N/A</v>
      </c>
      <c r="M126" s="38"/>
      <c r="N126" s="29" t="s">
        <v>828</v>
      </c>
      <c r="O126" s="29" t="s">
        <v>829</v>
      </c>
      <c r="P126" s="29" t="s">
        <v>830</v>
      </c>
      <c r="Q126" s="29" t="str" cm="1">
        <f t="array" ref="Q126">IFERROR(INDEX(_xlfn.UNIQUE(TRIM(_xlfn.TEXTSPLIT(Table21215[[#This Row],[Selection Options]:[Selection Options]],","))),,Q$11),"")</f>
        <v xml:space="preserve">
 0%: Not currently supported</v>
      </c>
      <c r="R126" s="29" t="str" cm="1">
        <f t="array" ref="R126">IFERROR(INDEX(_xlfn.UNIQUE(TRIM(_xlfn.TEXTSPLIT(Table21215[[#This Row],[Selection Options]:[Selection Options]],","))),,R$11),"")</f>
        <v/>
      </c>
      <c r="S126" s="29" t="str" cm="1">
        <f t="array" ref="S126">IFERROR(INDEX(_xlfn.UNIQUE(TRIM(_xlfn.TEXTSPLIT(Table21215[[#This Row],[Selection Options]:[Selection Options]],","))),,S$11),"")</f>
        <v/>
      </c>
      <c r="T126" s="29" t="str" cm="1">
        <f t="array" ref="T126">IFERROR(INDEX(_xlfn.UNIQUE(TRIM(_xlfn.TEXTSPLIT(Table21215[[#This Row],[Selection Options]:[Selection Options]],","))),,T$11),"")</f>
        <v/>
      </c>
      <c r="U126" s="29" t="str" cm="1">
        <f t="array" ref="U126">IFERROR(INDEX(_xlfn.UNIQUE(TRIM(_xlfn.TEXTSPLIT(Table21215[[#This Row],[Selection Options]:[Selection Options]],","))),,U$11),"")</f>
        <v/>
      </c>
      <c r="V126" s="29" t="str" cm="1">
        <f t="array" ref="V126">IFERROR(INDEX(_xlfn.UNIQUE(TRIM(_xlfn.TEXTSPLIT(Table21215[[#This Row],[Selection Options]:[Selection Options]],","))),,V$11),"")</f>
        <v/>
      </c>
      <c r="W126" s="29" t="str" cm="1">
        <f t="array" ref="W126">IFERROR(INDEX(_xlfn.UNIQUE(TRIM(_xlfn.TEXTSPLIT(Table21215[[#This Row],[Selection Options]:[Selection Options]],","))),,W$11),"")</f>
        <v/>
      </c>
      <c r="X126" s="29" t="str" cm="1">
        <f t="array" ref="X126">IFERROR(INDEX(_xlfn.UNIQUE(TRIM(_xlfn.TEXTSPLIT(Table21215[[#This Row],[Selection Options]:[Selection Options]],","))),,X$11),"")</f>
        <v/>
      </c>
      <c r="Y126" s="30" cm="1">
        <f t="array" ref="Y126">IF(Table21215[[#This Row],[1]]="","",Table21215[[#This Row],[Weight]:[Weight]]-(Table21215[[#This Row],[Weight]:[Weight]]*((_xlfn.XMATCH(Table21215[[#This Row],[1]],Table21215[[#This Row],[1]:[11]],0))-1)/(COUNTA(Table21215[[#This Row],[1]:[11]])-COUNTBLANK(Table21215[[#This Row],[1]:[11]])-1)))</f>
        <v>3.9714058776806989E-3</v>
      </c>
      <c r="Z126" s="30" cm="1">
        <f t="array" ref="Z126">IF(Table21215[[#This Row],[2]]="","",Table21215[[#This Row],[Weight]:[Weight]]-(Table21215[[#This Row],[Weight]:[Weight]]*((_xlfn.XMATCH(Table21215[[#This Row],[2]],Table21215[[#This Row],[1]:[11]],0))-1)/(COUNTA(Table21215[[#This Row],[1]:[11]])-COUNTBLANK(Table21215[[#This Row],[1]:[11]])-1)))</f>
        <v>2.6476039184537992E-3</v>
      </c>
      <c r="AA126" s="30" cm="1">
        <f t="array" ref="AA126">IF(Table21215[[#This Row],[3]]="","",Table21215[[#This Row],[Weight]:[Weight]]-(Table21215[[#This Row],[Weight]:[Weight]]*((_xlfn.XMATCH(Table21215[[#This Row],[3]],Table21215[[#This Row],[1]:[11]],0))-1)/(COUNTA(Table21215[[#This Row],[1]:[11]])-COUNTBLANK(Table21215[[#This Row],[1]:[11]])-1)))</f>
        <v>1.3238019592268996E-3</v>
      </c>
      <c r="AB126" s="30" cm="1">
        <f t="array" ref="AB126">IF(Table21215[[#This Row],[4]]="","",Table21215[[#This Row],[Weight]:[Weight]]-(Table21215[[#This Row],[Weight]:[Weight]]*((_xlfn.XMATCH(Table21215[[#This Row],[4]],Table21215[[#This Row],[1]:[11]],0))-1)/(COUNTA(Table21215[[#This Row],[1]:[11]])-COUNTBLANK(Table21215[[#This Row],[1]:[11]])-1)))</f>
        <v>0</v>
      </c>
      <c r="AC126" s="30" t="str" cm="1">
        <f t="array" ref="AC126">IF(Table21215[[#This Row],[5]]="","",Table21215[[#This Row],[Weight]:[Weight]]-(Table21215[[#This Row],[Weight]:[Weight]]*((_xlfn.XMATCH(Table21215[[#This Row],[5]],Table21215[[#This Row],[1]:[11]],0))-1)/(COUNTA(Table21215[[#This Row],[1]:[11]])-COUNTBLANK(Table21215[[#This Row],[1]:[11]])-1)))</f>
        <v/>
      </c>
      <c r="AD126" s="30" t="str" cm="1">
        <f t="array" ref="AD126">IF(Table21215[[#This Row],[6]]="","",Table21215[[#This Row],[Weight]:[Weight]]-(Table21215[[#This Row],[Weight]:[Weight]]*((_xlfn.XMATCH(Table21215[[#This Row],[6]],Table21215[[#This Row],[1]:[11]],0))-1)/(COUNTA(Table21215[[#This Row],[1]:[11]])-COUNTBLANK(Table21215[[#This Row],[1]:[11]])-1)))</f>
        <v/>
      </c>
      <c r="AE126" s="30" t="str" cm="1">
        <f t="array" ref="AE126">IF(Table21215[[#This Row],[7]]="","",Table21215[[#This Row],[Weight]:[Weight]]-(Table21215[[#This Row],[Weight]:[Weight]]*((_xlfn.XMATCH(Table21215[[#This Row],[7]],Table21215[[#This Row],[1]:[11]],0))-1)/(COUNTA(Table21215[[#This Row],[1]:[11]])-COUNTBLANK(Table21215[[#This Row],[1]:[11]])-1)))</f>
        <v/>
      </c>
      <c r="AF126" s="30" t="str" cm="1">
        <f t="array" ref="AF126">IF(Table21215[[#This Row],[8]]="","",Table21215[[#This Row],[Weight]:[Weight]]-(Table21215[[#This Row],[Weight]:[Weight]]*((_xlfn.XMATCH(Table21215[[#This Row],[8]],Table21215[[#This Row],[1]:[11]],0))-1)/(COUNTA(Table21215[[#This Row],[1]:[11]])-COUNTBLANK(Table21215[[#This Row],[1]:[11]])-1)))</f>
        <v/>
      </c>
      <c r="AG126" s="30" t="str" cm="1">
        <f t="array" ref="AG126">IF(Table21215[[#This Row],[9]]="","",Table21215[[#This Row],[Weight]:[Weight]]-(Table21215[[#This Row],[Weight]:[Weight]]*((_xlfn.XMATCH(Table21215[[#This Row],[9]],Table21215[[#This Row],[1]:[11]],0))-1)/(COUNTA(Table21215[[#This Row],[1]:[11]])-COUNTBLANK(Table21215[[#This Row],[1]:[11]])-1)))</f>
        <v/>
      </c>
      <c r="AH126" s="30" t="str" cm="1">
        <f t="array" ref="AH126">IF(Table21215[[#This Row],[10]]="","",Table21215[[#This Row],[Weight]:[Weight]]-(Table21215[[#This Row],[Weight]:[Weight]]*((_xlfn.XMATCH(Table21215[[#This Row],[10]],Table21215[[#This Row],[1]:[11]],0))-1)/(COUNTA(Table21215[[#This Row],[1]:[11]])-COUNTBLANK(Table21215[[#This Row],[1]:[11]])-1)))</f>
        <v/>
      </c>
      <c r="AI126" s="30" t="str" cm="1">
        <f t="array" ref="AI126">IF(Table21215[[#This Row],[11]]="","",Table21215[[#This Row],[Weight]:[Weight]]-(Table21215[[#This Row],[Weight]:[Weight]]*((_xlfn.XMATCH(Table21215[[#This Row],[11]],Table21215[[#This Row],[1]:[11]],0))-1)/(COUNTA(Table21215[[#This Row],[1]:[11]])-COUNTBLANK(Table21215[[#This Row],[1]:[11]])-1)))</f>
        <v/>
      </c>
    </row>
    <row r="127" spans="1:35" ht="108" x14ac:dyDescent="0.2">
      <c r="A127" s="20">
        <v>115</v>
      </c>
      <c r="B127" s="165" t="s">
        <v>944</v>
      </c>
      <c r="C127" s="21" t="s">
        <v>826</v>
      </c>
      <c r="D127" s="38"/>
      <c r="E127" s="38"/>
      <c r="F127" s="159" t="s">
        <v>188</v>
      </c>
      <c r="G127" s="160" cm="1">
        <f t="array" ref="G127">_xlfn.IFS(F127="","",F127="No interest",0,F127="Nice to have",1,F127="Useful",2,F127="Important",3,F127="Very important",4,F127="Critical",5,F127="Show stopper",6)</f>
        <v>5</v>
      </c>
      <c r="H127" s="161">
        <f t="shared" si="3"/>
        <v>3.9714058776806989E-3</v>
      </c>
      <c r="I127" s="157" t="s">
        <v>827</v>
      </c>
      <c r="J127" s="35" t="str" cm="1">
        <f t="array" ref="J127">_xlfn.TEXTJOIN(","&amp;CHAR(10),,TEXT(Table21215[[#This Row],[12]:[22]],"0,00%"))</f>
        <v>0,00%,
0,00%,
0,00%,
0,00%</v>
      </c>
      <c r="K127" s="36"/>
      <c r="L127" s="37" t="e">
        <f>H127-(H127*((MATCH(Table21215[[#This Row],[Evaluators Response (SELECT)]],Table21215[[#This Row],[1]:[11]],0)-1)/(COUNTA(Table21215[[#This Row],[1]:[11]])-COUNTBLANK(Table21215[[#This Row],[1]:[11]])-1)))</f>
        <v>#N/A</v>
      </c>
      <c r="M127" s="38"/>
      <c r="N127" s="29" t="s">
        <v>828</v>
      </c>
      <c r="O127" s="29" t="s">
        <v>829</v>
      </c>
      <c r="P127" s="29" t="s">
        <v>830</v>
      </c>
      <c r="Q127" s="29" t="str" cm="1">
        <f t="array" ref="Q127">IFERROR(INDEX(_xlfn.UNIQUE(TRIM(_xlfn.TEXTSPLIT(Table21215[[#This Row],[Selection Options]:[Selection Options]],","))),,Q$11),"")</f>
        <v xml:space="preserve">
 0%: Not currently supported</v>
      </c>
      <c r="R127" s="29" t="str" cm="1">
        <f t="array" ref="R127">IFERROR(INDEX(_xlfn.UNIQUE(TRIM(_xlfn.TEXTSPLIT(Table21215[[#This Row],[Selection Options]:[Selection Options]],","))),,R$11),"")</f>
        <v/>
      </c>
      <c r="S127" s="29" t="str" cm="1">
        <f t="array" ref="S127">IFERROR(INDEX(_xlfn.UNIQUE(TRIM(_xlfn.TEXTSPLIT(Table21215[[#This Row],[Selection Options]:[Selection Options]],","))),,S$11),"")</f>
        <v/>
      </c>
      <c r="T127" s="29" t="str" cm="1">
        <f t="array" ref="T127">IFERROR(INDEX(_xlfn.UNIQUE(TRIM(_xlfn.TEXTSPLIT(Table21215[[#This Row],[Selection Options]:[Selection Options]],","))),,T$11),"")</f>
        <v/>
      </c>
      <c r="U127" s="29" t="str" cm="1">
        <f t="array" ref="U127">IFERROR(INDEX(_xlfn.UNIQUE(TRIM(_xlfn.TEXTSPLIT(Table21215[[#This Row],[Selection Options]:[Selection Options]],","))),,U$11),"")</f>
        <v/>
      </c>
      <c r="V127" s="29" t="str" cm="1">
        <f t="array" ref="V127">IFERROR(INDEX(_xlfn.UNIQUE(TRIM(_xlfn.TEXTSPLIT(Table21215[[#This Row],[Selection Options]:[Selection Options]],","))),,V$11),"")</f>
        <v/>
      </c>
      <c r="W127" s="29" t="str" cm="1">
        <f t="array" ref="W127">IFERROR(INDEX(_xlfn.UNIQUE(TRIM(_xlfn.TEXTSPLIT(Table21215[[#This Row],[Selection Options]:[Selection Options]],","))),,W$11),"")</f>
        <v/>
      </c>
      <c r="X127" s="29" t="str" cm="1">
        <f t="array" ref="X127">IFERROR(INDEX(_xlfn.UNIQUE(TRIM(_xlfn.TEXTSPLIT(Table21215[[#This Row],[Selection Options]:[Selection Options]],","))),,X$11),"")</f>
        <v/>
      </c>
      <c r="Y127" s="30" cm="1">
        <f t="array" ref="Y127">IF(Table21215[[#This Row],[1]]="","",Table21215[[#This Row],[Weight]:[Weight]]-(Table21215[[#This Row],[Weight]:[Weight]]*((_xlfn.XMATCH(Table21215[[#This Row],[1]],Table21215[[#This Row],[1]:[11]],0))-1)/(COUNTA(Table21215[[#This Row],[1]:[11]])-COUNTBLANK(Table21215[[#This Row],[1]:[11]])-1)))</f>
        <v>3.9714058776806989E-3</v>
      </c>
      <c r="Z127" s="30" cm="1">
        <f t="array" ref="Z127">IF(Table21215[[#This Row],[2]]="","",Table21215[[#This Row],[Weight]:[Weight]]-(Table21215[[#This Row],[Weight]:[Weight]]*((_xlfn.XMATCH(Table21215[[#This Row],[2]],Table21215[[#This Row],[1]:[11]],0))-1)/(COUNTA(Table21215[[#This Row],[1]:[11]])-COUNTBLANK(Table21215[[#This Row],[1]:[11]])-1)))</f>
        <v>2.6476039184537992E-3</v>
      </c>
      <c r="AA127" s="30" cm="1">
        <f t="array" ref="AA127">IF(Table21215[[#This Row],[3]]="","",Table21215[[#This Row],[Weight]:[Weight]]-(Table21215[[#This Row],[Weight]:[Weight]]*((_xlfn.XMATCH(Table21215[[#This Row],[3]],Table21215[[#This Row],[1]:[11]],0))-1)/(COUNTA(Table21215[[#This Row],[1]:[11]])-COUNTBLANK(Table21215[[#This Row],[1]:[11]])-1)))</f>
        <v>1.3238019592268996E-3</v>
      </c>
      <c r="AB127" s="30" cm="1">
        <f t="array" ref="AB127">IF(Table21215[[#This Row],[4]]="","",Table21215[[#This Row],[Weight]:[Weight]]-(Table21215[[#This Row],[Weight]:[Weight]]*((_xlfn.XMATCH(Table21215[[#This Row],[4]],Table21215[[#This Row],[1]:[11]],0))-1)/(COUNTA(Table21215[[#This Row],[1]:[11]])-COUNTBLANK(Table21215[[#This Row],[1]:[11]])-1)))</f>
        <v>0</v>
      </c>
      <c r="AC127" s="30" t="str" cm="1">
        <f t="array" ref="AC127">IF(Table21215[[#This Row],[5]]="","",Table21215[[#This Row],[Weight]:[Weight]]-(Table21215[[#This Row],[Weight]:[Weight]]*((_xlfn.XMATCH(Table21215[[#This Row],[5]],Table21215[[#This Row],[1]:[11]],0))-1)/(COUNTA(Table21215[[#This Row],[1]:[11]])-COUNTBLANK(Table21215[[#This Row],[1]:[11]])-1)))</f>
        <v/>
      </c>
      <c r="AD127" s="30" t="str" cm="1">
        <f t="array" ref="AD127">IF(Table21215[[#This Row],[6]]="","",Table21215[[#This Row],[Weight]:[Weight]]-(Table21215[[#This Row],[Weight]:[Weight]]*((_xlfn.XMATCH(Table21215[[#This Row],[6]],Table21215[[#This Row],[1]:[11]],0))-1)/(COUNTA(Table21215[[#This Row],[1]:[11]])-COUNTBLANK(Table21215[[#This Row],[1]:[11]])-1)))</f>
        <v/>
      </c>
      <c r="AE127" s="30" t="str" cm="1">
        <f t="array" ref="AE127">IF(Table21215[[#This Row],[7]]="","",Table21215[[#This Row],[Weight]:[Weight]]-(Table21215[[#This Row],[Weight]:[Weight]]*((_xlfn.XMATCH(Table21215[[#This Row],[7]],Table21215[[#This Row],[1]:[11]],0))-1)/(COUNTA(Table21215[[#This Row],[1]:[11]])-COUNTBLANK(Table21215[[#This Row],[1]:[11]])-1)))</f>
        <v/>
      </c>
      <c r="AF127" s="30" t="str" cm="1">
        <f t="array" ref="AF127">IF(Table21215[[#This Row],[8]]="","",Table21215[[#This Row],[Weight]:[Weight]]-(Table21215[[#This Row],[Weight]:[Weight]]*((_xlfn.XMATCH(Table21215[[#This Row],[8]],Table21215[[#This Row],[1]:[11]],0))-1)/(COUNTA(Table21215[[#This Row],[1]:[11]])-COUNTBLANK(Table21215[[#This Row],[1]:[11]])-1)))</f>
        <v/>
      </c>
      <c r="AG127" s="30" t="str" cm="1">
        <f t="array" ref="AG127">IF(Table21215[[#This Row],[9]]="","",Table21215[[#This Row],[Weight]:[Weight]]-(Table21215[[#This Row],[Weight]:[Weight]]*((_xlfn.XMATCH(Table21215[[#This Row],[9]],Table21215[[#This Row],[1]:[11]],0))-1)/(COUNTA(Table21215[[#This Row],[1]:[11]])-COUNTBLANK(Table21215[[#This Row],[1]:[11]])-1)))</f>
        <v/>
      </c>
      <c r="AH127" s="30" t="str" cm="1">
        <f t="array" ref="AH127">IF(Table21215[[#This Row],[10]]="","",Table21215[[#This Row],[Weight]:[Weight]]-(Table21215[[#This Row],[Weight]:[Weight]]*((_xlfn.XMATCH(Table21215[[#This Row],[10]],Table21215[[#This Row],[1]:[11]],0))-1)/(COUNTA(Table21215[[#This Row],[1]:[11]])-COUNTBLANK(Table21215[[#This Row],[1]:[11]])-1)))</f>
        <v/>
      </c>
      <c r="AI127" s="30" t="str" cm="1">
        <f t="array" ref="AI127">IF(Table21215[[#This Row],[11]]="","",Table21215[[#This Row],[Weight]:[Weight]]-(Table21215[[#This Row],[Weight]:[Weight]]*((_xlfn.XMATCH(Table21215[[#This Row],[11]],Table21215[[#This Row],[1]:[11]],0))-1)/(COUNTA(Table21215[[#This Row],[1]:[11]])-COUNTBLANK(Table21215[[#This Row],[1]:[11]])-1)))</f>
        <v/>
      </c>
    </row>
    <row r="128" spans="1:35" ht="108" x14ac:dyDescent="0.2">
      <c r="A128" s="20">
        <v>116</v>
      </c>
      <c r="B128" s="165" t="s">
        <v>945</v>
      </c>
      <c r="C128" s="21" t="s">
        <v>826</v>
      </c>
      <c r="D128" s="38"/>
      <c r="E128" s="38"/>
      <c r="F128" s="159" t="s">
        <v>188</v>
      </c>
      <c r="G128" s="160" cm="1">
        <f t="array" ref="G128">_xlfn.IFS(F128="","",F128="No interest",0,F128="Nice to have",1,F128="Useful",2,F128="Important",3,F128="Very important",4,F128="Critical",5,F128="Show stopper",6)</f>
        <v>5</v>
      </c>
      <c r="H128" s="161">
        <f t="shared" si="3"/>
        <v>3.9714058776806989E-3</v>
      </c>
      <c r="I128" s="157" t="s">
        <v>827</v>
      </c>
      <c r="J128" s="35" t="str" cm="1">
        <f t="array" ref="J128">_xlfn.TEXTJOIN(","&amp;CHAR(10),,TEXT(Table21215[[#This Row],[12]:[22]],"0,00%"))</f>
        <v>0,00%,
0,00%,
0,00%,
0,00%</v>
      </c>
      <c r="K128" s="36"/>
      <c r="L128" s="37" t="e">
        <f>H128-(H128*((MATCH(Table21215[[#This Row],[Evaluators Response (SELECT)]],Table21215[[#This Row],[1]:[11]],0)-1)/(COUNTA(Table21215[[#This Row],[1]:[11]])-COUNTBLANK(Table21215[[#This Row],[1]:[11]])-1)))</f>
        <v>#N/A</v>
      </c>
      <c r="M128" s="38"/>
      <c r="N128" s="29" t="s">
        <v>828</v>
      </c>
      <c r="O128" s="29" t="s">
        <v>829</v>
      </c>
      <c r="P128" s="29" t="s">
        <v>830</v>
      </c>
      <c r="Q128" s="29" t="str" cm="1">
        <f t="array" ref="Q128">IFERROR(INDEX(_xlfn.UNIQUE(TRIM(_xlfn.TEXTSPLIT(Table21215[[#This Row],[Selection Options]:[Selection Options]],","))),,Q$11),"")</f>
        <v xml:space="preserve">
 0%: Not currently supported</v>
      </c>
      <c r="R128" s="29" t="str" cm="1">
        <f t="array" ref="R128">IFERROR(INDEX(_xlfn.UNIQUE(TRIM(_xlfn.TEXTSPLIT(Table21215[[#This Row],[Selection Options]:[Selection Options]],","))),,R$11),"")</f>
        <v/>
      </c>
      <c r="S128" s="29" t="str" cm="1">
        <f t="array" ref="S128">IFERROR(INDEX(_xlfn.UNIQUE(TRIM(_xlfn.TEXTSPLIT(Table21215[[#This Row],[Selection Options]:[Selection Options]],","))),,S$11),"")</f>
        <v/>
      </c>
      <c r="T128" s="29" t="str" cm="1">
        <f t="array" ref="T128">IFERROR(INDEX(_xlfn.UNIQUE(TRIM(_xlfn.TEXTSPLIT(Table21215[[#This Row],[Selection Options]:[Selection Options]],","))),,T$11),"")</f>
        <v/>
      </c>
      <c r="U128" s="29" t="str" cm="1">
        <f t="array" ref="U128">IFERROR(INDEX(_xlfn.UNIQUE(TRIM(_xlfn.TEXTSPLIT(Table21215[[#This Row],[Selection Options]:[Selection Options]],","))),,U$11),"")</f>
        <v/>
      </c>
      <c r="V128" s="29" t="str" cm="1">
        <f t="array" ref="V128">IFERROR(INDEX(_xlfn.UNIQUE(TRIM(_xlfn.TEXTSPLIT(Table21215[[#This Row],[Selection Options]:[Selection Options]],","))),,V$11),"")</f>
        <v/>
      </c>
      <c r="W128" s="29" t="str" cm="1">
        <f t="array" ref="W128">IFERROR(INDEX(_xlfn.UNIQUE(TRIM(_xlfn.TEXTSPLIT(Table21215[[#This Row],[Selection Options]:[Selection Options]],","))),,W$11),"")</f>
        <v/>
      </c>
      <c r="X128" s="29" t="str" cm="1">
        <f t="array" ref="X128">IFERROR(INDEX(_xlfn.UNIQUE(TRIM(_xlfn.TEXTSPLIT(Table21215[[#This Row],[Selection Options]:[Selection Options]],","))),,X$11),"")</f>
        <v/>
      </c>
      <c r="Y128" s="30" cm="1">
        <f t="array" ref="Y128">IF(Table21215[[#This Row],[1]]="","",Table21215[[#This Row],[Weight]:[Weight]]-(Table21215[[#This Row],[Weight]:[Weight]]*((_xlfn.XMATCH(Table21215[[#This Row],[1]],Table21215[[#This Row],[1]:[11]],0))-1)/(COUNTA(Table21215[[#This Row],[1]:[11]])-COUNTBLANK(Table21215[[#This Row],[1]:[11]])-1)))</f>
        <v>3.9714058776806989E-3</v>
      </c>
      <c r="Z128" s="30" cm="1">
        <f t="array" ref="Z128">IF(Table21215[[#This Row],[2]]="","",Table21215[[#This Row],[Weight]:[Weight]]-(Table21215[[#This Row],[Weight]:[Weight]]*((_xlfn.XMATCH(Table21215[[#This Row],[2]],Table21215[[#This Row],[1]:[11]],0))-1)/(COUNTA(Table21215[[#This Row],[1]:[11]])-COUNTBLANK(Table21215[[#This Row],[1]:[11]])-1)))</f>
        <v>2.6476039184537992E-3</v>
      </c>
      <c r="AA128" s="30" cm="1">
        <f t="array" ref="AA128">IF(Table21215[[#This Row],[3]]="","",Table21215[[#This Row],[Weight]:[Weight]]-(Table21215[[#This Row],[Weight]:[Weight]]*((_xlfn.XMATCH(Table21215[[#This Row],[3]],Table21215[[#This Row],[1]:[11]],0))-1)/(COUNTA(Table21215[[#This Row],[1]:[11]])-COUNTBLANK(Table21215[[#This Row],[1]:[11]])-1)))</f>
        <v>1.3238019592268996E-3</v>
      </c>
      <c r="AB128" s="30" cm="1">
        <f t="array" ref="AB128">IF(Table21215[[#This Row],[4]]="","",Table21215[[#This Row],[Weight]:[Weight]]-(Table21215[[#This Row],[Weight]:[Weight]]*((_xlfn.XMATCH(Table21215[[#This Row],[4]],Table21215[[#This Row],[1]:[11]],0))-1)/(COUNTA(Table21215[[#This Row],[1]:[11]])-COUNTBLANK(Table21215[[#This Row],[1]:[11]])-1)))</f>
        <v>0</v>
      </c>
      <c r="AC128" s="30" t="str" cm="1">
        <f t="array" ref="AC128">IF(Table21215[[#This Row],[5]]="","",Table21215[[#This Row],[Weight]:[Weight]]-(Table21215[[#This Row],[Weight]:[Weight]]*((_xlfn.XMATCH(Table21215[[#This Row],[5]],Table21215[[#This Row],[1]:[11]],0))-1)/(COUNTA(Table21215[[#This Row],[1]:[11]])-COUNTBLANK(Table21215[[#This Row],[1]:[11]])-1)))</f>
        <v/>
      </c>
      <c r="AD128" s="30" t="str" cm="1">
        <f t="array" ref="AD128">IF(Table21215[[#This Row],[6]]="","",Table21215[[#This Row],[Weight]:[Weight]]-(Table21215[[#This Row],[Weight]:[Weight]]*((_xlfn.XMATCH(Table21215[[#This Row],[6]],Table21215[[#This Row],[1]:[11]],0))-1)/(COUNTA(Table21215[[#This Row],[1]:[11]])-COUNTBLANK(Table21215[[#This Row],[1]:[11]])-1)))</f>
        <v/>
      </c>
      <c r="AE128" s="30" t="str" cm="1">
        <f t="array" ref="AE128">IF(Table21215[[#This Row],[7]]="","",Table21215[[#This Row],[Weight]:[Weight]]-(Table21215[[#This Row],[Weight]:[Weight]]*((_xlfn.XMATCH(Table21215[[#This Row],[7]],Table21215[[#This Row],[1]:[11]],0))-1)/(COUNTA(Table21215[[#This Row],[1]:[11]])-COUNTBLANK(Table21215[[#This Row],[1]:[11]])-1)))</f>
        <v/>
      </c>
      <c r="AF128" s="30" t="str" cm="1">
        <f t="array" ref="AF128">IF(Table21215[[#This Row],[8]]="","",Table21215[[#This Row],[Weight]:[Weight]]-(Table21215[[#This Row],[Weight]:[Weight]]*((_xlfn.XMATCH(Table21215[[#This Row],[8]],Table21215[[#This Row],[1]:[11]],0))-1)/(COUNTA(Table21215[[#This Row],[1]:[11]])-COUNTBLANK(Table21215[[#This Row],[1]:[11]])-1)))</f>
        <v/>
      </c>
      <c r="AG128" s="30" t="str" cm="1">
        <f t="array" ref="AG128">IF(Table21215[[#This Row],[9]]="","",Table21215[[#This Row],[Weight]:[Weight]]-(Table21215[[#This Row],[Weight]:[Weight]]*((_xlfn.XMATCH(Table21215[[#This Row],[9]],Table21215[[#This Row],[1]:[11]],0))-1)/(COUNTA(Table21215[[#This Row],[1]:[11]])-COUNTBLANK(Table21215[[#This Row],[1]:[11]])-1)))</f>
        <v/>
      </c>
      <c r="AH128" s="30" t="str" cm="1">
        <f t="array" ref="AH128">IF(Table21215[[#This Row],[10]]="","",Table21215[[#This Row],[Weight]:[Weight]]-(Table21215[[#This Row],[Weight]:[Weight]]*((_xlfn.XMATCH(Table21215[[#This Row],[10]],Table21215[[#This Row],[1]:[11]],0))-1)/(COUNTA(Table21215[[#This Row],[1]:[11]])-COUNTBLANK(Table21215[[#This Row],[1]:[11]])-1)))</f>
        <v/>
      </c>
      <c r="AI128" s="30" t="str" cm="1">
        <f t="array" ref="AI128">IF(Table21215[[#This Row],[11]]="","",Table21215[[#This Row],[Weight]:[Weight]]-(Table21215[[#This Row],[Weight]:[Weight]]*((_xlfn.XMATCH(Table21215[[#This Row],[11]],Table21215[[#This Row],[1]:[11]],0))-1)/(COUNTA(Table21215[[#This Row],[1]:[11]])-COUNTBLANK(Table21215[[#This Row],[1]:[11]])-1)))</f>
        <v/>
      </c>
    </row>
    <row r="129" spans="1:35" ht="108" x14ac:dyDescent="0.2">
      <c r="A129" s="20">
        <v>117</v>
      </c>
      <c r="B129" s="165" t="s">
        <v>946</v>
      </c>
      <c r="C129" s="21" t="s">
        <v>826</v>
      </c>
      <c r="D129" s="38"/>
      <c r="E129" s="38"/>
      <c r="F129" s="159" t="s">
        <v>188</v>
      </c>
      <c r="G129" s="160" cm="1">
        <f t="array" ref="G129">_xlfn.IFS(F129="","",F129="No interest",0,F129="Nice to have",1,F129="Useful",2,F129="Important",3,F129="Very important",4,F129="Critical",5,F129="Show stopper",6)</f>
        <v>5</v>
      </c>
      <c r="H129" s="161">
        <f t="shared" si="3"/>
        <v>3.9714058776806989E-3</v>
      </c>
      <c r="I129" s="157" t="s">
        <v>827</v>
      </c>
      <c r="J129" s="35" t="str" cm="1">
        <f t="array" ref="J129">_xlfn.TEXTJOIN(","&amp;CHAR(10),,TEXT(Table21215[[#This Row],[12]:[22]],"0,00%"))</f>
        <v>0,00%,
0,00%,
0,00%,
0,00%</v>
      </c>
      <c r="K129" s="36"/>
      <c r="L129" s="37" t="e">
        <f>H129-(H129*((MATCH(Table21215[[#This Row],[Evaluators Response (SELECT)]],Table21215[[#This Row],[1]:[11]],0)-1)/(COUNTA(Table21215[[#This Row],[1]:[11]])-COUNTBLANK(Table21215[[#This Row],[1]:[11]])-1)))</f>
        <v>#N/A</v>
      </c>
      <c r="M129" s="38"/>
      <c r="N129" s="29" t="s">
        <v>828</v>
      </c>
      <c r="O129" s="29" t="s">
        <v>829</v>
      </c>
      <c r="P129" s="29" t="s">
        <v>830</v>
      </c>
      <c r="Q129" s="29" t="str" cm="1">
        <f t="array" ref="Q129">IFERROR(INDEX(_xlfn.UNIQUE(TRIM(_xlfn.TEXTSPLIT(Table21215[[#This Row],[Selection Options]:[Selection Options]],","))),,Q$11),"")</f>
        <v xml:space="preserve">
 0%: Not currently supported</v>
      </c>
      <c r="R129" s="29" t="str" cm="1">
        <f t="array" ref="R129">IFERROR(INDEX(_xlfn.UNIQUE(TRIM(_xlfn.TEXTSPLIT(Table21215[[#This Row],[Selection Options]:[Selection Options]],","))),,R$11),"")</f>
        <v/>
      </c>
      <c r="S129" s="29" t="str" cm="1">
        <f t="array" ref="S129">IFERROR(INDEX(_xlfn.UNIQUE(TRIM(_xlfn.TEXTSPLIT(Table21215[[#This Row],[Selection Options]:[Selection Options]],","))),,S$11),"")</f>
        <v/>
      </c>
      <c r="T129" s="29" t="str" cm="1">
        <f t="array" ref="T129">IFERROR(INDEX(_xlfn.UNIQUE(TRIM(_xlfn.TEXTSPLIT(Table21215[[#This Row],[Selection Options]:[Selection Options]],","))),,T$11),"")</f>
        <v/>
      </c>
      <c r="U129" s="29" t="str" cm="1">
        <f t="array" ref="U129">IFERROR(INDEX(_xlfn.UNIQUE(TRIM(_xlfn.TEXTSPLIT(Table21215[[#This Row],[Selection Options]:[Selection Options]],","))),,U$11),"")</f>
        <v/>
      </c>
      <c r="V129" s="29" t="str" cm="1">
        <f t="array" ref="V129">IFERROR(INDEX(_xlfn.UNIQUE(TRIM(_xlfn.TEXTSPLIT(Table21215[[#This Row],[Selection Options]:[Selection Options]],","))),,V$11),"")</f>
        <v/>
      </c>
      <c r="W129" s="29" t="str" cm="1">
        <f t="array" ref="W129">IFERROR(INDEX(_xlfn.UNIQUE(TRIM(_xlfn.TEXTSPLIT(Table21215[[#This Row],[Selection Options]:[Selection Options]],","))),,W$11),"")</f>
        <v/>
      </c>
      <c r="X129" s="29" t="str" cm="1">
        <f t="array" ref="X129">IFERROR(INDEX(_xlfn.UNIQUE(TRIM(_xlfn.TEXTSPLIT(Table21215[[#This Row],[Selection Options]:[Selection Options]],","))),,X$11),"")</f>
        <v/>
      </c>
      <c r="Y129" s="30" cm="1">
        <f t="array" ref="Y129">IF(Table21215[[#This Row],[1]]="","",Table21215[[#This Row],[Weight]:[Weight]]-(Table21215[[#This Row],[Weight]:[Weight]]*((_xlfn.XMATCH(Table21215[[#This Row],[1]],Table21215[[#This Row],[1]:[11]],0))-1)/(COUNTA(Table21215[[#This Row],[1]:[11]])-COUNTBLANK(Table21215[[#This Row],[1]:[11]])-1)))</f>
        <v>3.9714058776806989E-3</v>
      </c>
      <c r="Z129" s="30" cm="1">
        <f t="array" ref="Z129">IF(Table21215[[#This Row],[2]]="","",Table21215[[#This Row],[Weight]:[Weight]]-(Table21215[[#This Row],[Weight]:[Weight]]*((_xlfn.XMATCH(Table21215[[#This Row],[2]],Table21215[[#This Row],[1]:[11]],0))-1)/(COUNTA(Table21215[[#This Row],[1]:[11]])-COUNTBLANK(Table21215[[#This Row],[1]:[11]])-1)))</f>
        <v>2.6476039184537992E-3</v>
      </c>
      <c r="AA129" s="30" cm="1">
        <f t="array" ref="AA129">IF(Table21215[[#This Row],[3]]="","",Table21215[[#This Row],[Weight]:[Weight]]-(Table21215[[#This Row],[Weight]:[Weight]]*((_xlfn.XMATCH(Table21215[[#This Row],[3]],Table21215[[#This Row],[1]:[11]],0))-1)/(COUNTA(Table21215[[#This Row],[1]:[11]])-COUNTBLANK(Table21215[[#This Row],[1]:[11]])-1)))</f>
        <v>1.3238019592268996E-3</v>
      </c>
      <c r="AB129" s="30" cm="1">
        <f t="array" ref="AB129">IF(Table21215[[#This Row],[4]]="","",Table21215[[#This Row],[Weight]:[Weight]]-(Table21215[[#This Row],[Weight]:[Weight]]*((_xlfn.XMATCH(Table21215[[#This Row],[4]],Table21215[[#This Row],[1]:[11]],0))-1)/(COUNTA(Table21215[[#This Row],[1]:[11]])-COUNTBLANK(Table21215[[#This Row],[1]:[11]])-1)))</f>
        <v>0</v>
      </c>
      <c r="AC129" s="30" t="str" cm="1">
        <f t="array" ref="AC129">IF(Table21215[[#This Row],[5]]="","",Table21215[[#This Row],[Weight]:[Weight]]-(Table21215[[#This Row],[Weight]:[Weight]]*((_xlfn.XMATCH(Table21215[[#This Row],[5]],Table21215[[#This Row],[1]:[11]],0))-1)/(COUNTA(Table21215[[#This Row],[1]:[11]])-COUNTBLANK(Table21215[[#This Row],[1]:[11]])-1)))</f>
        <v/>
      </c>
      <c r="AD129" s="30" t="str" cm="1">
        <f t="array" ref="AD129">IF(Table21215[[#This Row],[6]]="","",Table21215[[#This Row],[Weight]:[Weight]]-(Table21215[[#This Row],[Weight]:[Weight]]*((_xlfn.XMATCH(Table21215[[#This Row],[6]],Table21215[[#This Row],[1]:[11]],0))-1)/(COUNTA(Table21215[[#This Row],[1]:[11]])-COUNTBLANK(Table21215[[#This Row],[1]:[11]])-1)))</f>
        <v/>
      </c>
      <c r="AE129" s="30" t="str" cm="1">
        <f t="array" ref="AE129">IF(Table21215[[#This Row],[7]]="","",Table21215[[#This Row],[Weight]:[Weight]]-(Table21215[[#This Row],[Weight]:[Weight]]*((_xlfn.XMATCH(Table21215[[#This Row],[7]],Table21215[[#This Row],[1]:[11]],0))-1)/(COUNTA(Table21215[[#This Row],[1]:[11]])-COUNTBLANK(Table21215[[#This Row],[1]:[11]])-1)))</f>
        <v/>
      </c>
      <c r="AF129" s="30" t="str" cm="1">
        <f t="array" ref="AF129">IF(Table21215[[#This Row],[8]]="","",Table21215[[#This Row],[Weight]:[Weight]]-(Table21215[[#This Row],[Weight]:[Weight]]*((_xlfn.XMATCH(Table21215[[#This Row],[8]],Table21215[[#This Row],[1]:[11]],0))-1)/(COUNTA(Table21215[[#This Row],[1]:[11]])-COUNTBLANK(Table21215[[#This Row],[1]:[11]])-1)))</f>
        <v/>
      </c>
      <c r="AG129" s="30" t="str" cm="1">
        <f t="array" ref="AG129">IF(Table21215[[#This Row],[9]]="","",Table21215[[#This Row],[Weight]:[Weight]]-(Table21215[[#This Row],[Weight]:[Weight]]*((_xlfn.XMATCH(Table21215[[#This Row],[9]],Table21215[[#This Row],[1]:[11]],0))-1)/(COUNTA(Table21215[[#This Row],[1]:[11]])-COUNTBLANK(Table21215[[#This Row],[1]:[11]])-1)))</f>
        <v/>
      </c>
      <c r="AH129" s="30" t="str" cm="1">
        <f t="array" ref="AH129">IF(Table21215[[#This Row],[10]]="","",Table21215[[#This Row],[Weight]:[Weight]]-(Table21215[[#This Row],[Weight]:[Weight]]*((_xlfn.XMATCH(Table21215[[#This Row],[10]],Table21215[[#This Row],[1]:[11]],0))-1)/(COUNTA(Table21215[[#This Row],[1]:[11]])-COUNTBLANK(Table21215[[#This Row],[1]:[11]])-1)))</f>
        <v/>
      </c>
      <c r="AI129" s="30" t="str" cm="1">
        <f t="array" ref="AI129">IF(Table21215[[#This Row],[11]]="","",Table21215[[#This Row],[Weight]:[Weight]]-(Table21215[[#This Row],[Weight]:[Weight]]*((_xlfn.XMATCH(Table21215[[#This Row],[11]],Table21215[[#This Row],[1]:[11]],0))-1)/(COUNTA(Table21215[[#This Row],[1]:[11]])-COUNTBLANK(Table21215[[#This Row],[1]:[11]])-1)))</f>
        <v/>
      </c>
    </row>
    <row r="130" spans="1:35" ht="108" x14ac:dyDescent="0.2">
      <c r="A130" s="20">
        <v>118</v>
      </c>
      <c r="B130" s="165" t="s">
        <v>947</v>
      </c>
      <c r="C130" s="21" t="s">
        <v>826</v>
      </c>
      <c r="D130" s="38"/>
      <c r="E130" s="38"/>
      <c r="F130" s="159" t="s">
        <v>60</v>
      </c>
      <c r="G130" s="160" cm="1">
        <f t="array" ref="G130">_xlfn.IFS(F130="","",F130="No interest",0,F130="Nice to have",1,F130="Useful",2,F130="Important",3,F130="Very important",4,F130="Critical",5,F130="Show stopper",6)</f>
        <v>6</v>
      </c>
      <c r="H130" s="161">
        <f t="shared" si="3"/>
        <v>4.7656870532168391E-3</v>
      </c>
      <c r="I130" s="157" t="s">
        <v>827</v>
      </c>
      <c r="J130" s="35" t="str" cm="1">
        <f t="array" ref="J130">_xlfn.TEXTJOIN(","&amp;CHAR(10),,TEXT(Table21215[[#This Row],[12]:[22]],"0,00%"))</f>
        <v>0,00%,
0,00%,
0,00%,
0,00%</v>
      </c>
      <c r="K130" s="36"/>
      <c r="L130" s="37" t="e">
        <f>H130-(H130*((MATCH(Table21215[[#This Row],[Evaluators Response (SELECT)]],Table21215[[#This Row],[1]:[11]],0)-1)/(COUNTA(Table21215[[#This Row],[1]:[11]])-COUNTBLANK(Table21215[[#This Row],[1]:[11]])-1)))</f>
        <v>#N/A</v>
      </c>
      <c r="M130" s="38"/>
      <c r="N130" s="29" t="s">
        <v>828</v>
      </c>
      <c r="O130" s="29" t="s">
        <v>829</v>
      </c>
      <c r="P130" s="29" t="s">
        <v>830</v>
      </c>
      <c r="Q130" s="29" t="str" cm="1">
        <f t="array" ref="Q130">IFERROR(INDEX(_xlfn.UNIQUE(TRIM(_xlfn.TEXTSPLIT(Table21215[[#This Row],[Selection Options]:[Selection Options]],","))),,Q$11),"")</f>
        <v xml:space="preserve">
 0%: Not currently supported</v>
      </c>
      <c r="R130" s="29" t="str" cm="1">
        <f t="array" ref="R130">IFERROR(INDEX(_xlfn.UNIQUE(TRIM(_xlfn.TEXTSPLIT(Table21215[[#This Row],[Selection Options]:[Selection Options]],","))),,R$11),"")</f>
        <v/>
      </c>
      <c r="S130" s="29" t="str" cm="1">
        <f t="array" ref="S130">IFERROR(INDEX(_xlfn.UNIQUE(TRIM(_xlfn.TEXTSPLIT(Table21215[[#This Row],[Selection Options]:[Selection Options]],","))),,S$11),"")</f>
        <v/>
      </c>
      <c r="T130" s="29" t="str" cm="1">
        <f t="array" ref="T130">IFERROR(INDEX(_xlfn.UNIQUE(TRIM(_xlfn.TEXTSPLIT(Table21215[[#This Row],[Selection Options]:[Selection Options]],","))),,T$11),"")</f>
        <v/>
      </c>
      <c r="U130" s="29" t="str" cm="1">
        <f t="array" ref="U130">IFERROR(INDEX(_xlfn.UNIQUE(TRIM(_xlfn.TEXTSPLIT(Table21215[[#This Row],[Selection Options]:[Selection Options]],","))),,U$11),"")</f>
        <v/>
      </c>
      <c r="V130" s="29" t="str" cm="1">
        <f t="array" ref="V130">IFERROR(INDEX(_xlfn.UNIQUE(TRIM(_xlfn.TEXTSPLIT(Table21215[[#This Row],[Selection Options]:[Selection Options]],","))),,V$11),"")</f>
        <v/>
      </c>
      <c r="W130" s="29" t="str" cm="1">
        <f t="array" ref="W130">IFERROR(INDEX(_xlfn.UNIQUE(TRIM(_xlfn.TEXTSPLIT(Table21215[[#This Row],[Selection Options]:[Selection Options]],","))),,W$11),"")</f>
        <v/>
      </c>
      <c r="X130" s="29" t="str" cm="1">
        <f t="array" ref="X130">IFERROR(INDEX(_xlfn.UNIQUE(TRIM(_xlfn.TEXTSPLIT(Table21215[[#This Row],[Selection Options]:[Selection Options]],","))),,X$11),"")</f>
        <v/>
      </c>
      <c r="Y130" s="30" cm="1">
        <f t="array" ref="Y130">IF(Table21215[[#This Row],[1]]="","",Table21215[[#This Row],[Weight]:[Weight]]-(Table21215[[#This Row],[Weight]:[Weight]]*((_xlfn.XMATCH(Table21215[[#This Row],[1]],Table21215[[#This Row],[1]:[11]],0))-1)/(COUNTA(Table21215[[#This Row],[1]:[11]])-COUNTBLANK(Table21215[[#This Row],[1]:[11]])-1)))</f>
        <v>4.7656870532168391E-3</v>
      </c>
      <c r="Z130" s="30" cm="1">
        <f t="array" ref="Z130">IF(Table21215[[#This Row],[2]]="","",Table21215[[#This Row],[Weight]:[Weight]]-(Table21215[[#This Row],[Weight]:[Weight]]*((_xlfn.XMATCH(Table21215[[#This Row],[2]],Table21215[[#This Row],[1]:[11]],0))-1)/(COUNTA(Table21215[[#This Row],[1]:[11]])-COUNTBLANK(Table21215[[#This Row],[1]:[11]])-1)))</f>
        <v>3.1771247021445594E-3</v>
      </c>
      <c r="AA130" s="30" cm="1">
        <f t="array" ref="AA130">IF(Table21215[[#This Row],[3]]="","",Table21215[[#This Row],[Weight]:[Weight]]-(Table21215[[#This Row],[Weight]:[Weight]]*((_xlfn.XMATCH(Table21215[[#This Row],[3]],Table21215[[#This Row],[1]:[11]],0))-1)/(COUNTA(Table21215[[#This Row],[1]:[11]])-COUNTBLANK(Table21215[[#This Row],[1]:[11]])-1)))</f>
        <v>1.5885623510722797E-3</v>
      </c>
      <c r="AB130" s="30" cm="1">
        <f t="array" ref="AB130">IF(Table21215[[#This Row],[4]]="","",Table21215[[#This Row],[Weight]:[Weight]]-(Table21215[[#This Row],[Weight]:[Weight]]*((_xlfn.XMATCH(Table21215[[#This Row],[4]],Table21215[[#This Row],[1]:[11]],0))-1)/(COUNTA(Table21215[[#This Row],[1]:[11]])-COUNTBLANK(Table21215[[#This Row],[1]:[11]])-1)))</f>
        <v>0</v>
      </c>
      <c r="AC130" s="30" t="str" cm="1">
        <f t="array" ref="AC130">IF(Table21215[[#This Row],[5]]="","",Table21215[[#This Row],[Weight]:[Weight]]-(Table21215[[#This Row],[Weight]:[Weight]]*((_xlfn.XMATCH(Table21215[[#This Row],[5]],Table21215[[#This Row],[1]:[11]],0))-1)/(COUNTA(Table21215[[#This Row],[1]:[11]])-COUNTBLANK(Table21215[[#This Row],[1]:[11]])-1)))</f>
        <v/>
      </c>
      <c r="AD130" s="30" t="str" cm="1">
        <f t="array" ref="AD130">IF(Table21215[[#This Row],[6]]="","",Table21215[[#This Row],[Weight]:[Weight]]-(Table21215[[#This Row],[Weight]:[Weight]]*((_xlfn.XMATCH(Table21215[[#This Row],[6]],Table21215[[#This Row],[1]:[11]],0))-1)/(COUNTA(Table21215[[#This Row],[1]:[11]])-COUNTBLANK(Table21215[[#This Row],[1]:[11]])-1)))</f>
        <v/>
      </c>
      <c r="AE130" s="30" t="str" cm="1">
        <f t="array" ref="AE130">IF(Table21215[[#This Row],[7]]="","",Table21215[[#This Row],[Weight]:[Weight]]-(Table21215[[#This Row],[Weight]:[Weight]]*((_xlfn.XMATCH(Table21215[[#This Row],[7]],Table21215[[#This Row],[1]:[11]],0))-1)/(COUNTA(Table21215[[#This Row],[1]:[11]])-COUNTBLANK(Table21215[[#This Row],[1]:[11]])-1)))</f>
        <v/>
      </c>
      <c r="AF130" s="30" t="str" cm="1">
        <f t="array" ref="AF130">IF(Table21215[[#This Row],[8]]="","",Table21215[[#This Row],[Weight]:[Weight]]-(Table21215[[#This Row],[Weight]:[Weight]]*((_xlfn.XMATCH(Table21215[[#This Row],[8]],Table21215[[#This Row],[1]:[11]],0))-1)/(COUNTA(Table21215[[#This Row],[1]:[11]])-COUNTBLANK(Table21215[[#This Row],[1]:[11]])-1)))</f>
        <v/>
      </c>
      <c r="AG130" s="30" t="str" cm="1">
        <f t="array" ref="AG130">IF(Table21215[[#This Row],[9]]="","",Table21215[[#This Row],[Weight]:[Weight]]-(Table21215[[#This Row],[Weight]:[Weight]]*((_xlfn.XMATCH(Table21215[[#This Row],[9]],Table21215[[#This Row],[1]:[11]],0))-1)/(COUNTA(Table21215[[#This Row],[1]:[11]])-COUNTBLANK(Table21215[[#This Row],[1]:[11]])-1)))</f>
        <v/>
      </c>
      <c r="AH130" s="30" t="str" cm="1">
        <f t="array" ref="AH130">IF(Table21215[[#This Row],[10]]="","",Table21215[[#This Row],[Weight]:[Weight]]-(Table21215[[#This Row],[Weight]:[Weight]]*((_xlfn.XMATCH(Table21215[[#This Row],[10]],Table21215[[#This Row],[1]:[11]],0))-1)/(COUNTA(Table21215[[#This Row],[1]:[11]])-COUNTBLANK(Table21215[[#This Row],[1]:[11]])-1)))</f>
        <v/>
      </c>
      <c r="AI130" s="30" t="str" cm="1">
        <f t="array" ref="AI130">IF(Table21215[[#This Row],[11]]="","",Table21215[[#This Row],[Weight]:[Weight]]-(Table21215[[#This Row],[Weight]:[Weight]]*((_xlfn.XMATCH(Table21215[[#This Row],[11]],Table21215[[#This Row],[1]:[11]],0))-1)/(COUNTA(Table21215[[#This Row],[1]:[11]])-COUNTBLANK(Table21215[[#This Row],[1]:[11]])-1)))</f>
        <v/>
      </c>
    </row>
    <row r="131" spans="1:35" ht="108" x14ac:dyDescent="0.2">
      <c r="A131" s="20">
        <v>119</v>
      </c>
      <c r="B131" s="165" t="s">
        <v>948</v>
      </c>
      <c r="C131" s="21" t="s">
        <v>826</v>
      </c>
      <c r="D131" s="38"/>
      <c r="E131" s="38"/>
      <c r="F131" s="159" t="s">
        <v>188</v>
      </c>
      <c r="G131" s="160" cm="1">
        <f t="array" ref="G131">_xlfn.IFS(F131="","",F131="No interest",0,F131="Nice to have",1,F131="Useful",2,F131="Important",3,F131="Very important",4,F131="Critical",5,F131="Show stopper",6)</f>
        <v>5</v>
      </c>
      <c r="H131" s="161">
        <f t="shared" si="3"/>
        <v>3.9714058776806989E-3</v>
      </c>
      <c r="I131" s="157" t="s">
        <v>827</v>
      </c>
      <c r="J131" s="35" t="str" cm="1">
        <f t="array" ref="J131">_xlfn.TEXTJOIN(","&amp;CHAR(10),,TEXT(Table21215[[#This Row],[12]:[22]],"0,00%"))</f>
        <v>0,00%,
0,00%,
0,00%,
0,00%</v>
      </c>
      <c r="K131" s="36"/>
      <c r="L131" s="37" t="e">
        <f>H131-(H131*((MATCH(Table21215[[#This Row],[Evaluators Response (SELECT)]],Table21215[[#This Row],[1]:[11]],0)-1)/(COUNTA(Table21215[[#This Row],[1]:[11]])-COUNTBLANK(Table21215[[#This Row],[1]:[11]])-1)))</f>
        <v>#N/A</v>
      </c>
      <c r="M131" s="38"/>
      <c r="N131" s="29" t="s">
        <v>828</v>
      </c>
      <c r="O131" s="29" t="s">
        <v>829</v>
      </c>
      <c r="P131" s="29" t="s">
        <v>830</v>
      </c>
      <c r="Q131" s="29" t="str" cm="1">
        <f t="array" ref="Q131">IFERROR(INDEX(_xlfn.UNIQUE(TRIM(_xlfn.TEXTSPLIT(Table21215[[#This Row],[Selection Options]:[Selection Options]],","))),,Q$11),"")</f>
        <v xml:space="preserve">
 0%: Not currently supported</v>
      </c>
      <c r="R131" s="29" t="str" cm="1">
        <f t="array" ref="R131">IFERROR(INDEX(_xlfn.UNIQUE(TRIM(_xlfn.TEXTSPLIT(Table21215[[#This Row],[Selection Options]:[Selection Options]],","))),,R$11),"")</f>
        <v/>
      </c>
      <c r="S131" s="29" t="str" cm="1">
        <f t="array" ref="S131">IFERROR(INDEX(_xlfn.UNIQUE(TRIM(_xlfn.TEXTSPLIT(Table21215[[#This Row],[Selection Options]:[Selection Options]],","))),,S$11),"")</f>
        <v/>
      </c>
      <c r="T131" s="29" t="str" cm="1">
        <f t="array" ref="T131">IFERROR(INDEX(_xlfn.UNIQUE(TRIM(_xlfn.TEXTSPLIT(Table21215[[#This Row],[Selection Options]:[Selection Options]],","))),,T$11),"")</f>
        <v/>
      </c>
      <c r="U131" s="29" t="str" cm="1">
        <f t="array" ref="U131">IFERROR(INDEX(_xlfn.UNIQUE(TRIM(_xlfn.TEXTSPLIT(Table21215[[#This Row],[Selection Options]:[Selection Options]],","))),,U$11),"")</f>
        <v/>
      </c>
      <c r="V131" s="29" t="str" cm="1">
        <f t="array" ref="V131">IFERROR(INDEX(_xlfn.UNIQUE(TRIM(_xlfn.TEXTSPLIT(Table21215[[#This Row],[Selection Options]:[Selection Options]],","))),,V$11),"")</f>
        <v/>
      </c>
      <c r="W131" s="29" t="str" cm="1">
        <f t="array" ref="W131">IFERROR(INDEX(_xlfn.UNIQUE(TRIM(_xlfn.TEXTSPLIT(Table21215[[#This Row],[Selection Options]:[Selection Options]],","))),,W$11),"")</f>
        <v/>
      </c>
      <c r="X131" s="29" t="str" cm="1">
        <f t="array" ref="X131">IFERROR(INDEX(_xlfn.UNIQUE(TRIM(_xlfn.TEXTSPLIT(Table21215[[#This Row],[Selection Options]:[Selection Options]],","))),,X$11),"")</f>
        <v/>
      </c>
      <c r="Y131" s="30" cm="1">
        <f t="array" ref="Y131">IF(Table21215[[#This Row],[1]]="","",Table21215[[#This Row],[Weight]:[Weight]]-(Table21215[[#This Row],[Weight]:[Weight]]*((_xlfn.XMATCH(Table21215[[#This Row],[1]],Table21215[[#This Row],[1]:[11]],0))-1)/(COUNTA(Table21215[[#This Row],[1]:[11]])-COUNTBLANK(Table21215[[#This Row],[1]:[11]])-1)))</f>
        <v>3.9714058776806989E-3</v>
      </c>
      <c r="Z131" s="30" cm="1">
        <f t="array" ref="Z131">IF(Table21215[[#This Row],[2]]="","",Table21215[[#This Row],[Weight]:[Weight]]-(Table21215[[#This Row],[Weight]:[Weight]]*((_xlfn.XMATCH(Table21215[[#This Row],[2]],Table21215[[#This Row],[1]:[11]],0))-1)/(COUNTA(Table21215[[#This Row],[1]:[11]])-COUNTBLANK(Table21215[[#This Row],[1]:[11]])-1)))</f>
        <v>2.6476039184537992E-3</v>
      </c>
      <c r="AA131" s="30" cm="1">
        <f t="array" ref="AA131">IF(Table21215[[#This Row],[3]]="","",Table21215[[#This Row],[Weight]:[Weight]]-(Table21215[[#This Row],[Weight]:[Weight]]*((_xlfn.XMATCH(Table21215[[#This Row],[3]],Table21215[[#This Row],[1]:[11]],0))-1)/(COUNTA(Table21215[[#This Row],[1]:[11]])-COUNTBLANK(Table21215[[#This Row],[1]:[11]])-1)))</f>
        <v>1.3238019592268996E-3</v>
      </c>
      <c r="AB131" s="30" cm="1">
        <f t="array" ref="AB131">IF(Table21215[[#This Row],[4]]="","",Table21215[[#This Row],[Weight]:[Weight]]-(Table21215[[#This Row],[Weight]:[Weight]]*((_xlfn.XMATCH(Table21215[[#This Row],[4]],Table21215[[#This Row],[1]:[11]],0))-1)/(COUNTA(Table21215[[#This Row],[1]:[11]])-COUNTBLANK(Table21215[[#This Row],[1]:[11]])-1)))</f>
        <v>0</v>
      </c>
      <c r="AC131" s="30" t="str" cm="1">
        <f t="array" ref="AC131">IF(Table21215[[#This Row],[5]]="","",Table21215[[#This Row],[Weight]:[Weight]]-(Table21215[[#This Row],[Weight]:[Weight]]*((_xlfn.XMATCH(Table21215[[#This Row],[5]],Table21215[[#This Row],[1]:[11]],0))-1)/(COUNTA(Table21215[[#This Row],[1]:[11]])-COUNTBLANK(Table21215[[#This Row],[1]:[11]])-1)))</f>
        <v/>
      </c>
      <c r="AD131" s="30" t="str" cm="1">
        <f t="array" ref="AD131">IF(Table21215[[#This Row],[6]]="","",Table21215[[#This Row],[Weight]:[Weight]]-(Table21215[[#This Row],[Weight]:[Weight]]*((_xlfn.XMATCH(Table21215[[#This Row],[6]],Table21215[[#This Row],[1]:[11]],0))-1)/(COUNTA(Table21215[[#This Row],[1]:[11]])-COUNTBLANK(Table21215[[#This Row],[1]:[11]])-1)))</f>
        <v/>
      </c>
      <c r="AE131" s="30" t="str" cm="1">
        <f t="array" ref="AE131">IF(Table21215[[#This Row],[7]]="","",Table21215[[#This Row],[Weight]:[Weight]]-(Table21215[[#This Row],[Weight]:[Weight]]*((_xlfn.XMATCH(Table21215[[#This Row],[7]],Table21215[[#This Row],[1]:[11]],0))-1)/(COUNTA(Table21215[[#This Row],[1]:[11]])-COUNTBLANK(Table21215[[#This Row],[1]:[11]])-1)))</f>
        <v/>
      </c>
      <c r="AF131" s="30" t="str" cm="1">
        <f t="array" ref="AF131">IF(Table21215[[#This Row],[8]]="","",Table21215[[#This Row],[Weight]:[Weight]]-(Table21215[[#This Row],[Weight]:[Weight]]*((_xlfn.XMATCH(Table21215[[#This Row],[8]],Table21215[[#This Row],[1]:[11]],0))-1)/(COUNTA(Table21215[[#This Row],[1]:[11]])-COUNTBLANK(Table21215[[#This Row],[1]:[11]])-1)))</f>
        <v/>
      </c>
      <c r="AG131" s="30" t="str" cm="1">
        <f t="array" ref="AG131">IF(Table21215[[#This Row],[9]]="","",Table21215[[#This Row],[Weight]:[Weight]]-(Table21215[[#This Row],[Weight]:[Weight]]*((_xlfn.XMATCH(Table21215[[#This Row],[9]],Table21215[[#This Row],[1]:[11]],0))-1)/(COUNTA(Table21215[[#This Row],[1]:[11]])-COUNTBLANK(Table21215[[#This Row],[1]:[11]])-1)))</f>
        <v/>
      </c>
      <c r="AH131" s="30" t="str" cm="1">
        <f t="array" ref="AH131">IF(Table21215[[#This Row],[10]]="","",Table21215[[#This Row],[Weight]:[Weight]]-(Table21215[[#This Row],[Weight]:[Weight]]*((_xlfn.XMATCH(Table21215[[#This Row],[10]],Table21215[[#This Row],[1]:[11]],0))-1)/(COUNTA(Table21215[[#This Row],[1]:[11]])-COUNTBLANK(Table21215[[#This Row],[1]:[11]])-1)))</f>
        <v/>
      </c>
      <c r="AI131" s="30" t="str" cm="1">
        <f t="array" ref="AI131">IF(Table21215[[#This Row],[11]]="","",Table21215[[#This Row],[Weight]:[Weight]]-(Table21215[[#This Row],[Weight]:[Weight]]*((_xlfn.XMATCH(Table21215[[#This Row],[11]],Table21215[[#This Row],[1]:[11]],0))-1)/(COUNTA(Table21215[[#This Row],[1]:[11]])-COUNTBLANK(Table21215[[#This Row],[1]:[11]])-1)))</f>
        <v/>
      </c>
    </row>
    <row r="132" spans="1:35" ht="108" x14ac:dyDescent="0.2">
      <c r="A132" s="20">
        <v>120</v>
      </c>
      <c r="B132" s="165" t="s">
        <v>949</v>
      </c>
      <c r="C132" s="21" t="s">
        <v>826</v>
      </c>
      <c r="D132" s="38"/>
      <c r="E132" s="38"/>
      <c r="F132" s="159" t="s">
        <v>60</v>
      </c>
      <c r="G132" s="160" cm="1">
        <f t="array" ref="G132">_xlfn.IFS(F132="","",F132="No interest",0,F132="Nice to have",1,F132="Useful",2,F132="Important",3,F132="Very important",4,F132="Critical",5,F132="Show stopper",6)</f>
        <v>6</v>
      </c>
      <c r="H132" s="161">
        <f t="shared" si="3"/>
        <v>4.7656870532168391E-3</v>
      </c>
      <c r="I132" s="157" t="s">
        <v>827</v>
      </c>
      <c r="J132" s="35" t="str" cm="1">
        <f t="array" ref="J132">_xlfn.TEXTJOIN(","&amp;CHAR(10),,TEXT(Table21215[[#This Row],[12]:[22]],"0,00%"))</f>
        <v>0,00%,
0,00%,
0,00%,
0,00%</v>
      </c>
      <c r="K132" s="36"/>
      <c r="L132" s="37" t="e">
        <f>H132-(H132*((MATCH(Table21215[[#This Row],[Evaluators Response (SELECT)]],Table21215[[#This Row],[1]:[11]],0)-1)/(COUNTA(Table21215[[#This Row],[1]:[11]])-COUNTBLANK(Table21215[[#This Row],[1]:[11]])-1)))</f>
        <v>#N/A</v>
      </c>
      <c r="M132" s="38"/>
      <c r="N132" s="29" t="s">
        <v>828</v>
      </c>
      <c r="O132" s="29" t="s">
        <v>829</v>
      </c>
      <c r="P132" s="29" t="s">
        <v>830</v>
      </c>
      <c r="Q132" s="29" t="str" cm="1">
        <f t="array" ref="Q132">IFERROR(INDEX(_xlfn.UNIQUE(TRIM(_xlfn.TEXTSPLIT(Table21215[[#This Row],[Selection Options]:[Selection Options]],","))),,Q$11),"")</f>
        <v xml:space="preserve">
 0%: Not currently supported</v>
      </c>
      <c r="R132" s="29" t="str" cm="1">
        <f t="array" ref="R132">IFERROR(INDEX(_xlfn.UNIQUE(TRIM(_xlfn.TEXTSPLIT(Table21215[[#This Row],[Selection Options]:[Selection Options]],","))),,R$11),"")</f>
        <v/>
      </c>
      <c r="S132" s="29" t="str" cm="1">
        <f t="array" ref="S132">IFERROR(INDEX(_xlfn.UNIQUE(TRIM(_xlfn.TEXTSPLIT(Table21215[[#This Row],[Selection Options]:[Selection Options]],","))),,S$11),"")</f>
        <v/>
      </c>
      <c r="T132" s="29" t="str" cm="1">
        <f t="array" ref="T132">IFERROR(INDEX(_xlfn.UNIQUE(TRIM(_xlfn.TEXTSPLIT(Table21215[[#This Row],[Selection Options]:[Selection Options]],","))),,T$11),"")</f>
        <v/>
      </c>
      <c r="U132" s="29" t="str" cm="1">
        <f t="array" ref="U132">IFERROR(INDEX(_xlfn.UNIQUE(TRIM(_xlfn.TEXTSPLIT(Table21215[[#This Row],[Selection Options]:[Selection Options]],","))),,U$11),"")</f>
        <v/>
      </c>
      <c r="V132" s="29" t="str" cm="1">
        <f t="array" ref="V132">IFERROR(INDEX(_xlfn.UNIQUE(TRIM(_xlfn.TEXTSPLIT(Table21215[[#This Row],[Selection Options]:[Selection Options]],","))),,V$11),"")</f>
        <v/>
      </c>
      <c r="W132" s="29" t="str" cm="1">
        <f t="array" ref="W132">IFERROR(INDEX(_xlfn.UNIQUE(TRIM(_xlfn.TEXTSPLIT(Table21215[[#This Row],[Selection Options]:[Selection Options]],","))),,W$11),"")</f>
        <v/>
      </c>
      <c r="X132" s="29" t="str" cm="1">
        <f t="array" ref="X132">IFERROR(INDEX(_xlfn.UNIQUE(TRIM(_xlfn.TEXTSPLIT(Table21215[[#This Row],[Selection Options]:[Selection Options]],","))),,X$11),"")</f>
        <v/>
      </c>
      <c r="Y132" s="30" cm="1">
        <f t="array" ref="Y132">IF(Table21215[[#This Row],[1]]="","",Table21215[[#This Row],[Weight]:[Weight]]-(Table21215[[#This Row],[Weight]:[Weight]]*((_xlfn.XMATCH(Table21215[[#This Row],[1]],Table21215[[#This Row],[1]:[11]],0))-1)/(COUNTA(Table21215[[#This Row],[1]:[11]])-COUNTBLANK(Table21215[[#This Row],[1]:[11]])-1)))</f>
        <v>4.7656870532168391E-3</v>
      </c>
      <c r="Z132" s="30" cm="1">
        <f t="array" ref="Z132">IF(Table21215[[#This Row],[2]]="","",Table21215[[#This Row],[Weight]:[Weight]]-(Table21215[[#This Row],[Weight]:[Weight]]*((_xlfn.XMATCH(Table21215[[#This Row],[2]],Table21215[[#This Row],[1]:[11]],0))-1)/(COUNTA(Table21215[[#This Row],[1]:[11]])-COUNTBLANK(Table21215[[#This Row],[1]:[11]])-1)))</f>
        <v>3.1771247021445594E-3</v>
      </c>
      <c r="AA132" s="30" cm="1">
        <f t="array" ref="AA132">IF(Table21215[[#This Row],[3]]="","",Table21215[[#This Row],[Weight]:[Weight]]-(Table21215[[#This Row],[Weight]:[Weight]]*((_xlfn.XMATCH(Table21215[[#This Row],[3]],Table21215[[#This Row],[1]:[11]],0))-1)/(COUNTA(Table21215[[#This Row],[1]:[11]])-COUNTBLANK(Table21215[[#This Row],[1]:[11]])-1)))</f>
        <v>1.5885623510722797E-3</v>
      </c>
      <c r="AB132" s="30" cm="1">
        <f t="array" ref="AB132">IF(Table21215[[#This Row],[4]]="","",Table21215[[#This Row],[Weight]:[Weight]]-(Table21215[[#This Row],[Weight]:[Weight]]*((_xlfn.XMATCH(Table21215[[#This Row],[4]],Table21215[[#This Row],[1]:[11]],0))-1)/(COUNTA(Table21215[[#This Row],[1]:[11]])-COUNTBLANK(Table21215[[#This Row],[1]:[11]])-1)))</f>
        <v>0</v>
      </c>
      <c r="AC132" s="30" t="str" cm="1">
        <f t="array" ref="AC132">IF(Table21215[[#This Row],[5]]="","",Table21215[[#This Row],[Weight]:[Weight]]-(Table21215[[#This Row],[Weight]:[Weight]]*((_xlfn.XMATCH(Table21215[[#This Row],[5]],Table21215[[#This Row],[1]:[11]],0))-1)/(COUNTA(Table21215[[#This Row],[1]:[11]])-COUNTBLANK(Table21215[[#This Row],[1]:[11]])-1)))</f>
        <v/>
      </c>
      <c r="AD132" s="30" t="str" cm="1">
        <f t="array" ref="AD132">IF(Table21215[[#This Row],[6]]="","",Table21215[[#This Row],[Weight]:[Weight]]-(Table21215[[#This Row],[Weight]:[Weight]]*((_xlfn.XMATCH(Table21215[[#This Row],[6]],Table21215[[#This Row],[1]:[11]],0))-1)/(COUNTA(Table21215[[#This Row],[1]:[11]])-COUNTBLANK(Table21215[[#This Row],[1]:[11]])-1)))</f>
        <v/>
      </c>
      <c r="AE132" s="30" t="str" cm="1">
        <f t="array" ref="AE132">IF(Table21215[[#This Row],[7]]="","",Table21215[[#This Row],[Weight]:[Weight]]-(Table21215[[#This Row],[Weight]:[Weight]]*((_xlfn.XMATCH(Table21215[[#This Row],[7]],Table21215[[#This Row],[1]:[11]],0))-1)/(COUNTA(Table21215[[#This Row],[1]:[11]])-COUNTBLANK(Table21215[[#This Row],[1]:[11]])-1)))</f>
        <v/>
      </c>
      <c r="AF132" s="30" t="str" cm="1">
        <f t="array" ref="AF132">IF(Table21215[[#This Row],[8]]="","",Table21215[[#This Row],[Weight]:[Weight]]-(Table21215[[#This Row],[Weight]:[Weight]]*((_xlfn.XMATCH(Table21215[[#This Row],[8]],Table21215[[#This Row],[1]:[11]],0))-1)/(COUNTA(Table21215[[#This Row],[1]:[11]])-COUNTBLANK(Table21215[[#This Row],[1]:[11]])-1)))</f>
        <v/>
      </c>
      <c r="AG132" s="30" t="str" cm="1">
        <f t="array" ref="AG132">IF(Table21215[[#This Row],[9]]="","",Table21215[[#This Row],[Weight]:[Weight]]-(Table21215[[#This Row],[Weight]:[Weight]]*((_xlfn.XMATCH(Table21215[[#This Row],[9]],Table21215[[#This Row],[1]:[11]],0))-1)/(COUNTA(Table21215[[#This Row],[1]:[11]])-COUNTBLANK(Table21215[[#This Row],[1]:[11]])-1)))</f>
        <v/>
      </c>
      <c r="AH132" s="30" t="str" cm="1">
        <f t="array" ref="AH132">IF(Table21215[[#This Row],[10]]="","",Table21215[[#This Row],[Weight]:[Weight]]-(Table21215[[#This Row],[Weight]:[Weight]]*((_xlfn.XMATCH(Table21215[[#This Row],[10]],Table21215[[#This Row],[1]:[11]],0))-1)/(COUNTA(Table21215[[#This Row],[1]:[11]])-COUNTBLANK(Table21215[[#This Row],[1]:[11]])-1)))</f>
        <v/>
      </c>
      <c r="AI132" s="30" t="str" cm="1">
        <f t="array" ref="AI132">IF(Table21215[[#This Row],[11]]="","",Table21215[[#This Row],[Weight]:[Weight]]-(Table21215[[#This Row],[Weight]:[Weight]]*((_xlfn.XMATCH(Table21215[[#This Row],[11]],Table21215[[#This Row],[1]:[11]],0))-1)/(COUNTA(Table21215[[#This Row],[1]:[11]])-COUNTBLANK(Table21215[[#This Row],[1]:[11]])-1)))</f>
        <v/>
      </c>
    </row>
    <row r="133" spans="1:35" ht="108" x14ac:dyDescent="0.2">
      <c r="A133" s="20">
        <v>121</v>
      </c>
      <c r="B133" s="165" t="s">
        <v>950</v>
      </c>
      <c r="C133" s="21" t="s">
        <v>826</v>
      </c>
      <c r="D133" s="38"/>
      <c r="E133" s="38"/>
      <c r="F133" s="159" t="s">
        <v>188</v>
      </c>
      <c r="G133" s="160" cm="1">
        <f t="array" ref="G133">_xlfn.IFS(F133="","",F133="No interest",0,F133="Nice to have",1,F133="Useful",2,F133="Important",3,F133="Very important",4,F133="Critical",5,F133="Show stopper",6)</f>
        <v>5</v>
      </c>
      <c r="H133" s="161">
        <f t="shared" si="3"/>
        <v>3.9714058776806989E-3</v>
      </c>
      <c r="I133" s="157" t="s">
        <v>827</v>
      </c>
      <c r="J133" s="35" t="str" cm="1">
        <f t="array" ref="J133">_xlfn.TEXTJOIN(","&amp;CHAR(10),,TEXT(Table21215[[#This Row],[12]:[22]],"0,00%"))</f>
        <v>0,00%,
0,00%,
0,00%,
0,00%</v>
      </c>
      <c r="K133" s="36"/>
      <c r="L133" s="37" t="e">
        <f>H133-(H133*((MATCH(Table21215[[#This Row],[Evaluators Response (SELECT)]],Table21215[[#This Row],[1]:[11]],0)-1)/(COUNTA(Table21215[[#This Row],[1]:[11]])-COUNTBLANK(Table21215[[#This Row],[1]:[11]])-1)))</f>
        <v>#N/A</v>
      </c>
      <c r="M133" s="38"/>
      <c r="N133" s="29" t="s">
        <v>828</v>
      </c>
      <c r="O133" s="29" t="s">
        <v>829</v>
      </c>
      <c r="P133" s="29" t="s">
        <v>830</v>
      </c>
      <c r="Q133" s="29" t="str" cm="1">
        <f t="array" ref="Q133">IFERROR(INDEX(_xlfn.UNIQUE(TRIM(_xlfn.TEXTSPLIT(Table21215[[#This Row],[Selection Options]:[Selection Options]],","))),,Q$11),"")</f>
        <v xml:space="preserve">
 0%: Not currently supported</v>
      </c>
      <c r="R133" s="29" t="str" cm="1">
        <f t="array" ref="R133">IFERROR(INDEX(_xlfn.UNIQUE(TRIM(_xlfn.TEXTSPLIT(Table21215[[#This Row],[Selection Options]:[Selection Options]],","))),,R$11),"")</f>
        <v/>
      </c>
      <c r="S133" s="29" t="str" cm="1">
        <f t="array" ref="S133">IFERROR(INDEX(_xlfn.UNIQUE(TRIM(_xlfn.TEXTSPLIT(Table21215[[#This Row],[Selection Options]:[Selection Options]],","))),,S$11),"")</f>
        <v/>
      </c>
      <c r="T133" s="29" t="str" cm="1">
        <f t="array" ref="T133">IFERROR(INDEX(_xlfn.UNIQUE(TRIM(_xlfn.TEXTSPLIT(Table21215[[#This Row],[Selection Options]:[Selection Options]],","))),,T$11),"")</f>
        <v/>
      </c>
      <c r="U133" s="29" t="str" cm="1">
        <f t="array" ref="U133">IFERROR(INDEX(_xlfn.UNIQUE(TRIM(_xlfn.TEXTSPLIT(Table21215[[#This Row],[Selection Options]:[Selection Options]],","))),,U$11),"")</f>
        <v/>
      </c>
      <c r="V133" s="29" t="str" cm="1">
        <f t="array" ref="V133">IFERROR(INDEX(_xlfn.UNIQUE(TRIM(_xlfn.TEXTSPLIT(Table21215[[#This Row],[Selection Options]:[Selection Options]],","))),,V$11),"")</f>
        <v/>
      </c>
      <c r="W133" s="29" t="str" cm="1">
        <f t="array" ref="W133">IFERROR(INDEX(_xlfn.UNIQUE(TRIM(_xlfn.TEXTSPLIT(Table21215[[#This Row],[Selection Options]:[Selection Options]],","))),,W$11),"")</f>
        <v/>
      </c>
      <c r="X133" s="29" t="str" cm="1">
        <f t="array" ref="X133">IFERROR(INDEX(_xlfn.UNIQUE(TRIM(_xlfn.TEXTSPLIT(Table21215[[#This Row],[Selection Options]:[Selection Options]],","))),,X$11),"")</f>
        <v/>
      </c>
      <c r="Y133" s="30" cm="1">
        <f t="array" ref="Y133">IF(Table21215[[#This Row],[1]]="","",Table21215[[#This Row],[Weight]:[Weight]]-(Table21215[[#This Row],[Weight]:[Weight]]*((_xlfn.XMATCH(Table21215[[#This Row],[1]],Table21215[[#This Row],[1]:[11]],0))-1)/(COUNTA(Table21215[[#This Row],[1]:[11]])-COUNTBLANK(Table21215[[#This Row],[1]:[11]])-1)))</f>
        <v>3.9714058776806989E-3</v>
      </c>
      <c r="Z133" s="30" cm="1">
        <f t="array" ref="Z133">IF(Table21215[[#This Row],[2]]="","",Table21215[[#This Row],[Weight]:[Weight]]-(Table21215[[#This Row],[Weight]:[Weight]]*((_xlfn.XMATCH(Table21215[[#This Row],[2]],Table21215[[#This Row],[1]:[11]],0))-1)/(COUNTA(Table21215[[#This Row],[1]:[11]])-COUNTBLANK(Table21215[[#This Row],[1]:[11]])-1)))</f>
        <v>2.6476039184537992E-3</v>
      </c>
      <c r="AA133" s="30" cm="1">
        <f t="array" ref="AA133">IF(Table21215[[#This Row],[3]]="","",Table21215[[#This Row],[Weight]:[Weight]]-(Table21215[[#This Row],[Weight]:[Weight]]*((_xlfn.XMATCH(Table21215[[#This Row],[3]],Table21215[[#This Row],[1]:[11]],0))-1)/(COUNTA(Table21215[[#This Row],[1]:[11]])-COUNTBLANK(Table21215[[#This Row],[1]:[11]])-1)))</f>
        <v>1.3238019592268996E-3</v>
      </c>
      <c r="AB133" s="30" cm="1">
        <f t="array" ref="AB133">IF(Table21215[[#This Row],[4]]="","",Table21215[[#This Row],[Weight]:[Weight]]-(Table21215[[#This Row],[Weight]:[Weight]]*((_xlfn.XMATCH(Table21215[[#This Row],[4]],Table21215[[#This Row],[1]:[11]],0))-1)/(COUNTA(Table21215[[#This Row],[1]:[11]])-COUNTBLANK(Table21215[[#This Row],[1]:[11]])-1)))</f>
        <v>0</v>
      </c>
      <c r="AC133" s="30" t="str" cm="1">
        <f t="array" ref="AC133">IF(Table21215[[#This Row],[5]]="","",Table21215[[#This Row],[Weight]:[Weight]]-(Table21215[[#This Row],[Weight]:[Weight]]*((_xlfn.XMATCH(Table21215[[#This Row],[5]],Table21215[[#This Row],[1]:[11]],0))-1)/(COUNTA(Table21215[[#This Row],[1]:[11]])-COUNTBLANK(Table21215[[#This Row],[1]:[11]])-1)))</f>
        <v/>
      </c>
      <c r="AD133" s="30" t="str" cm="1">
        <f t="array" ref="AD133">IF(Table21215[[#This Row],[6]]="","",Table21215[[#This Row],[Weight]:[Weight]]-(Table21215[[#This Row],[Weight]:[Weight]]*((_xlfn.XMATCH(Table21215[[#This Row],[6]],Table21215[[#This Row],[1]:[11]],0))-1)/(COUNTA(Table21215[[#This Row],[1]:[11]])-COUNTBLANK(Table21215[[#This Row],[1]:[11]])-1)))</f>
        <v/>
      </c>
      <c r="AE133" s="30" t="str" cm="1">
        <f t="array" ref="AE133">IF(Table21215[[#This Row],[7]]="","",Table21215[[#This Row],[Weight]:[Weight]]-(Table21215[[#This Row],[Weight]:[Weight]]*((_xlfn.XMATCH(Table21215[[#This Row],[7]],Table21215[[#This Row],[1]:[11]],0))-1)/(COUNTA(Table21215[[#This Row],[1]:[11]])-COUNTBLANK(Table21215[[#This Row],[1]:[11]])-1)))</f>
        <v/>
      </c>
      <c r="AF133" s="30" t="str" cm="1">
        <f t="array" ref="AF133">IF(Table21215[[#This Row],[8]]="","",Table21215[[#This Row],[Weight]:[Weight]]-(Table21215[[#This Row],[Weight]:[Weight]]*((_xlfn.XMATCH(Table21215[[#This Row],[8]],Table21215[[#This Row],[1]:[11]],0))-1)/(COUNTA(Table21215[[#This Row],[1]:[11]])-COUNTBLANK(Table21215[[#This Row],[1]:[11]])-1)))</f>
        <v/>
      </c>
      <c r="AG133" s="30" t="str" cm="1">
        <f t="array" ref="AG133">IF(Table21215[[#This Row],[9]]="","",Table21215[[#This Row],[Weight]:[Weight]]-(Table21215[[#This Row],[Weight]:[Weight]]*((_xlfn.XMATCH(Table21215[[#This Row],[9]],Table21215[[#This Row],[1]:[11]],0))-1)/(COUNTA(Table21215[[#This Row],[1]:[11]])-COUNTBLANK(Table21215[[#This Row],[1]:[11]])-1)))</f>
        <v/>
      </c>
      <c r="AH133" s="30" t="str" cm="1">
        <f t="array" ref="AH133">IF(Table21215[[#This Row],[10]]="","",Table21215[[#This Row],[Weight]:[Weight]]-(Table21215[[#This Row],[Weight]:[Weight]]*((_xlfn.XMATCH(Table21215[[#This Row],[10]],Table21215[[#This Row],[1]:[11]],0))-1)/(COUNTA(Table21215[[#This Row],[1]:[11]])-COUNTBLANK(Table21215[[#This Row],[1]:[11]])-1)))</f>
        <v/>
      </c>
      <c r="AI133" s="30" t="str" cm="1">
        <f t="array" ref="AI133">IF(Table21215[[#This Row],[11]]="","",Table21215[[#This Row],[Weight]:[Weight]]-(Table21215[[#This Row],[Weight]:[Weight]]*((_xlfn.XMATCH(Table21215[[#This Row],[11]],Table21215[[#This Row],[1]:[11]],0))-1)/(COUNTA(Table21215[[#This Row],[1]:[11]])-COUNTBLANK(Table21215[[#This Row],[1]:[11]])-1)))</f>
        <v/>
      </c>
    </row>
    <row r="134" spans="1:35" ht="108" x14ac:dyDescent="0.2">
      <c r="A134" s="20">
        <v>122</v>
      </c>
      <c r="B134" s="165" t="s">
        <v>951</v>
      </c>
      <c r="C134" s="21" t="s">
        <v>826</v>
      </c>
      <c r="D134" s="38"/>
      <c r="E134" s="38"/>
      <c r="F134" s="159" t="s">
        <v>188</v>
      </c>
      <c r="G134" s="160" cm="1">
        <f t="array" ref="G134">_xlfn.IFS(F134="","",F134="No interest",0,F134="Nice to have",1,F134="Useful",2,F134="Important",3,F134="Very important",4,F134="Critical",5,F134="Show stopper",6)</f>
        <v>5</v>
      </c>
      <c r="H134" s="161">
        <f t="shared" si="3"/>
        <v>3.9714058776806989E-3</v>
      </c>
      <c r="I134" s="157" t="s">
        <v>827</v>
      </c>
      <c r="J134" s="35" t="str" cm="1">
        <f t="array" ref="J134">_xlfn.TEXTJOIN(","&amp;CHAR(10),,TEXT(Table21215[[#This Row],[12]:[22]],"0,00%"))</f>
        <v>0,00%,
0,00%,
0,00%,
0,00%</v>
      </c>
      <c r="K134" s="36"/>
      <c r="L134" s="37" t="e">
        <f>H134-(H134*((MATCH(Table21215[[#This Row],[Evaluators Response (SELECT)]],Table21215[[#This Row],[1]:[11]],0)-1)/(COUNTA(Table21215[[#This Row],[1]:[11]])-COUNTBLANK(Table21215[[#This Row],[1]:[11]])-1)))</f>
        <v>#N/A</v>
      </c>
      <c r="M134" s="38"/>
      <c r="N134" s="29" t="s">
        <v>828</v>
      </c>
      <c r="O134" s="29" t="s">
        <v>829</v>
      </c>
      <c r="P134" s="29" t="s">
        <v>830</v>
      </c>
      <c r="Q134" s="29" t="str" cm="1">
        <f t="array" ref="Q134">IFERROR(INDEX(_xlfn.UNIQUE(TRIM(_xlfn.TEXTSPLIT(Table21215[[#This Row],[Selection Options]:[Selection Options]],","))),,Q$11),"")</f>
        <v xml:space="preserve">
 0%: Not currently supported</v>
      </c>
      <c r="R134" s="29" t="str" cm="1">
        <f t="array" ref="R134">IFERROR(INDEX(_xlfn.UNIQUE(TRIM(_xlfn.TEXTSPLIT(Table21215[[#This Row],[Selection Options]:[Selection Options]],","))),,R$11),"")</f>
        <v/>
      </c>
      <c r="S134" s="29" t="str" cm="1">
        <f t="array" ref="S134">IFERROR(INDEX(_xlfn.UNIQUE(TRIM(_xlfn.TEXTSPLIT(Table21215[[#This Row],[Selection Options]:[Selection Options]],","))),,S$11),"")</f>
        <v/>
      </c>
      <c r="T134" s="29" t="str" cm="1">
        <f t="array" ref="T134">IFERROR(INDEX(_xlfn.UNIQUE(TRIM(_xlfn.TEXTSPLIT(Table21215[[#This Row],[Selection Options]:[Selection Options]],","))),,T$11),"")</f>
        <v/>
      </c>
      <c r="U134" s="29" t="str" cm="1">
        <f t="array" ref="U134">IFERROR(INDEX(_xlfn.UNIQUE(TRIM(_xlfn.TEXTSPLIT(Table21215[[#This Row],[Selection Options]:[Selection Options]],","))),,U$11),"")</f>
        <v/>
      </c>
      <c r="V134" s="29" t="str" cm="1">
        <f t="array" ref="V134">IFERROR(INDEX(_xlfn.UNIQUE(TRIM(_xlfn.TEXTSPLIT(Table21215[[#This Row],[Selection Options]:[Selection Options]],","))),,V$11),"")</f>
        <v/>
      </c>
      <c r="W134" s="29" t="str" cm="1">
        <f t="array" ref="W134">IFERROR(INDEX(_xlfn.UNIQUE(TRIM(_xlfn.TEXTSPLIT(Table21215[[#This Row],[Selection Options]:[Selection Options]],","))),,W$11),"")</f>
        <v/>
      </c>
      <c r="X134" s="29" t="str" cm="1">
        <f t="array" ref="X134">IFERROR(INDEX(_xlfn.UNIQUE(TRIM(_xlfn.TEXTSPLIT(Table21215[[#This Row],[Selection Options]:[Selection Options]],","))),,X$11),"")</f>
        <v/>
      </c>
      <c r="Y134" s="30" cm="1">
        <f t="array" ref="Y134">IF(Table21215[[#This Row],[1]]="","",Table21215[[#This Row],[Weight]:[Weight]]-(Table21215[[#This Row],[Weight]:[Weight]]*((_xlfn.XMATCH(Table21215[[#This Row],[1]],Table21215[[#This Row],[1]:[11]],0))-1)/(COUNTA(Table21215[[#This Row],[1]:[11]])-COUNTBLANK(Table21215[[#This Row],[1]:[11]])-1)))</f>
        <v>3.9714058776806989E-3</v>
      </c>
      <c r="Z134" s="30" cm="1">
        <f t="array" ref="Z134">IF(Table21215[[#This Row],[2]]="","",Table21215[[#This Row],[Weight]:[Weight]]-(Table21215[[#This Row],[Weight]:[Weight]]*((_xlfn.XMATCH(Table21215[[#This Row],[2]],Table21215[[#This Row],[1]:[11]],0))-1)/(COUNTA(Table21215[[#This Row],[1]:[11]])-COUNTBLANK(Table21215[[#This Row],[1]:[11]])-1)))</f>
        <v>2.6476039184537992E-3</v>
      </c>
      <c r="AA134" s="30" cm="1">
        <f t="array" ref="AA134">IF(Table21215[[#This Row],[3]]="","",Table21215[[#This Row],[Weight]:[Weight]]-(Table21215[[#This Row],[Weight]:[Weight]]*((_xlfn.XMATCH(Table21215[[#This Row],[3]],Table21215[[#This Row],[1]:[11]],0))-1)/(COUNTA(Table21215[[#This Row],[1]:[11]])-COUNTBLANK(Table21215[[#This Row],[1]:[11]])-1)))</f>
        <v>1.3238019592268996E-3</v>
      </c>
      <c r="AB134" s="30" cm="1">
        <f t="array" ref="AB134">IF(Table21215[[#This Row],[4]]="","",Table21215[[#This Row],[Weight]:[Weight]]-(Table21215[[#This Row],[Weight]:[Weight]]*((_xlfn.XMATCH(Table21215[[#This Row],[4]],Table21215[[#This Row],[1]:[11]],0))-1)/(COUNTA(Table21215[[#This Row],[1]:[11]])-COUNTBLANK(Table21215[[#This Row],[1]:[11]])-1)))</f>
        <v>0</v>
      </c>
      <c r="AC134" s="30" t="str" cm="1">
        <f t="array" ref="AC134">IF(Table21215[[#This Row],[5]]="","",Table21215[[#This Row],[Weight]:[Weight]]-(Table21215[[#This Row],[Weight]:[Weight]]*((_xlfn.XMATCH(Table21215[[#This Row],[5]],Table21215[[#This Row],[1]:[11]],0))-1)/(COUNTA(Table21215[[#This Row],[1]:[11]])-COUNTBLANK(Table21215[[#This Row],[1]:[11]])-1)))</f>
        <v/>
      </c>
      <c r="AD134" s="30" t="str" cm="1">
        <f t="array" ref="AD134">IF(Table21215[[#This Row],[6]]="","",Table21215[[#This Row],[Weight]:[Weight]]-(Table21215[[#This Row],[Weight]:[Weight]]*((_xlfn.XMATCH(Table21215[[#This Row],[6]],Table21215[[#This Row],[1]:[11]],0))-1)/(COUNTA(Table21215[[#This Row],[1]:[11]])-COUNTBLANK(Table21215[[#This Row],[1]:[11]])-1)))</f>
        <v/>
      </c>
      <c r="AE134" s="30" t="str" cm="1">
        <f t="array" ref="AE134">IF(Table21215[[#This Row],[7]]="","",Table21215[[#This Row],[Weight]:[Weight]]-(Table21215[[#This Row],[Weight]:[Weight]]*((_xlfn.XMATCH(Table21215[[#This Row],[7]],Table21215[[#This Row],[1]:[11]],0))-1)/(COUNTA(Table21215[[#This Row],[1]:[11]])-COUNTBLANK(Table21215[[#This Row],[1]:[11]])-1)))</f>
        <v/>
      </c>
      <c r="AF134" s="30" t="str" cm="1">
        <f t="array" ref="AF134">IF(Table21215[[#This Row],[8]]="","",Table21215[[#This Row],[Weight]:[Weight]]-(Table21215[[#This Row],[Weight]:[Weight]]*((_xlfn.XMATCH(Table21215[[#This Row],[8]],Table21215[[#This Row],[1]:[11]],0))-1)/(COUNTA(Table21215[[#This Row],[1]:[11]])-COUNTBLANK(Table21215[[#This Row],[1]:[11]])-1)))</f>
        <v/>
      </c>
      <c r="AG134" s="30" t="str" cm="1">
        <f t="array" ref="AG134">IF(Table21215[[#This Row],[9]]="","",Table21215[[#This Row],[Weight]:[Weight]]-(Table21215[[#This Row],[Weight]:[Weight]]*((_xlfn.XMATCH(Table21215[[#This Row],[9]],Table21215[[#This Row],[1]:[11]],0))-1)/(COUNTA(Table21215[[#This Row],[1]:[11]])-COUNTBLANK(Table21215[[#This Row],[1]:[11]])-1)))</f>
        <v/>
      </c>
      <c r="AH134" s="30" t="str" cm="1">
        <f t="array" ref="AH134">IF(Table21215[[#This Row],[10]]="","",Table21215[[#This Row],[Weight]:[Weight]]-(Table21215[[#This Row],[Weight]:[Weight]]*((_xlfn.XMATCH(Table21215[[#This Row],[10]],Table21215[[#This Row],[1]:[11]],0))-1)/(COUNTA(Table21215[[#This Row],[1]:[11]])-COUNTBLANK(Table21215[[#This Row],[1]:[11]])-1)))</f>
        <v/>
      </c>
      <c r="AI134" s="30" t="str" cm="1">
        <f t="array" ref="AI134">IF(Table21215[[#This Row],[11]]="","",Table21215[[#This Row],[Weight]:[Weight]]-(Table21215[[#This Row],[Weight]:[Weight]]*((_xlfn.XMATCH(Table21215[[#This Row],[11]],Table21215[[#This Row],[1]:[11]],0))-1)/(COUNTA(Table21215[[#This Row],[1]:[11]])-COUNTBLANK(Table21215[[#This Row],[1]:[11]])-1)))</f>
        <v/>
      </c>
    </row>
    <row r="135" spans="1:35" ht="108" x14ac:dyDescent="0.2">
      <c r="A135" s="20">
        <v>123</v>
      </c>
      <c r="B135" s="165" t="s">
        <v>952</v>
      </c>
      <c r="C135" s="21" t="s">
        <v>826</v>
      </c>
      <c r="D135" s="38"/>
      <c r="E135" s="38"/>
      <c r="F135" s="159" t="s">
        <v>60</v>
      </c>
      <c r="G135" s="160" cm="1">
        <f t="array" ref="G135">_xlfn.IFS(F135="","",F135="No interest",0,F135="Nice to have",1,F135="Useful",2,F135="Important",3,F135="Very important",4,F135="Critical",5,F135="Show stopper",6)</f>
        <v>6</v>
      </c>
      <c r="H135" s="161">
        <f t="shared" si="3"/>
        <v>4.7656870532168391E-3</v>
      </c>
      <c r="I135" s="157" t="s">
        <v>827</v>
      </c>
      <c r="J135" s="35" t="str" cm="1">
        <f t="array" ref="J135">_xlfn.TEXTJOIN(","&amp;CHAR(10),,TEXT(Table21215[[#This Row],[12]:[22]],"0,00%"))</f>
        <v>0,00%,
0,00%,
0,00%,
0,00%</v>
      </c>
      <c r="K135" s="36"/>
      <c r="L135" s="37" t="e">
        <f>H135-(H135*((MATCH(Table21215[[#This Row],[Evaluators Response (SELECT)]],Table21215[[#This Row],[1]:[11]],0)-1)/(COUNTA(Table21215[[#This Row],[1]:[11]])-COUNTBLANK(Table21215[[#This Row],[1]:[11]])-1)))</f>
        <v>#N/A</v>
      </c>
      <c r="M135" s="38"/>
      <c r="N135" s="29" t="s">
        <v>828</v>
      </c>
      <c r="O135" s="29" t="s">
        <v>829</v>
      </c>
      <c r="P135" s="29" t="s">
        <v>830</v>
      </c>
      <c r="Q135" s="29" t="str" cm="1">
        <f t="array" ref="Q135">IFERROR(INDEX(_xlfn.UNIQUE(TRIM(_xlfn.TEXTSPLIT(Table21215[[#This Row],[Selection Options]:[Selection Options]],","))),,Q$11),"")</f>
        <v xml:space="preserve">
 0%: Not currently supported</v>
      </c>
      <c r="R135" s="29" t="str" cm="1">
        <f t="array" ref="R135">IFERROR(INDEX(_xlfn.UNIQUE(TRIM(_xlfn.TEXTSPLIT(Table21215[[#This Row],[Selection Options]:[Selection Options]],","))),,R$11),"")</f>
        <v/>
      </c>
      <c r="S135" s="29" t="str" cm="1">
        <f t="array" ref="S135">IFERROR(INDEX(_xlfn.UNIQUE(TRIM(_xlfn.TEXTSPLIT(Table21215[[#This Row],[Selection Options]:[Selection Options]],","))),,S$11),"")</f>
        <v/>
      </c>
      <c r="T135" s="29" t="str" cm="1">
        <f t="array" ref="T135">IFERROR(INDEX(_xlfn.UNIQUE(TRIM(_xlfn.TEXTSPLIT(Table21215[[#This Row],[Selection Options]:[Selection Options]],","))),,T$11),"")</f>
        <v/>
      </c>
      <c r="U135" s="29" t="str" cm="1">
        <f t="array" ref="U135">IFERROR(INDEX(_xlfn.UNIQUE(TRIM(_xlfn.TEXTSPLIT(Table21215[[#This Row],[Selection Options]:[Selection Options]],","))),,U$11),"")</f>
        <v/>
      </c>
      <c r="V135" s="29" t="str" cm="1">
        <f t="array" ref="V135">IFERROR(INDEX(_xlfn.UNIQUE(TRIM(_xlfn.TEXTSPLIT(Table21215[[#This Row],[Selection Options]:[Selection Options]],","))),,V$11),"")</f>
        <v/>
      </c>
      <c r="W135" s="29" t="str" cm="1">
        <f t="array" ref="W135">IFERROR(INDEX(_xlfn.UNIQUE(TRIM(_xlfn.TEXTSPLIT(Table21215[[#This Row],[Selection Options]:[Selection Options]],","))),,W$11),"")</f>
        <v/>
      </c>
      <c r="X135" s="29" t="str" cm="1">
        <f t="array" ref="X135">IFERROR(INDEX(_xlfn.UNIQUE(TRIM(_xlfn.TEXTSPLIT(Table21215[[#This Row],[Selection Options]:[Selection Options]],","))),,X$11),"")</f>
        <v/>
      </c>
      <c r="Y135" s="30" cm="1">
        <f t="array" ref="Y135">IF(Table21215[[#This Row],[1]]="","",Table21215[[#This Row],[Weight]:[Weight]]-(Table21215[[#This Row],[Weight]:[Weight]]*((_xlfn.XMATCH(Table21215[[#This Row],[1]],Table21215[[#This Row],[1]:[11]],0))-1)/(COUNTA(Table21215[[#This Row],[1]:[11]])-COUNTBLANK(Table21215[[#This Row],[1]:[11]])-1)))</f>
        <v>4.7656870532168391E-3</v>
      </c>
      <c r="Z135" s="30" cm="1">
        <f t="array" ref="Z135">IF(Table21215[[#This Row],[2]]="","",Table21215[[#This Row],[Weight]:[Weight]]-(Table21215[[#This Row],[Weight]:[Weight]]*((_xlfn.XMATCH(Table21215[[#This Row],[2]],Table21215[[#This Row],[1]:[11]],0))-1)/(COUNTA(Table21215[[#This Row],[1]:[11]])-COUNTBLANK(Table21215[[#This Row],[1]:[11]])-1)))</f>
        <v>3.1771247021445594E-3</v>
      </c>
      <c r="AA135" s="30" cm="1">
        <f t="array" ref="AA135">IF(Table21215[[#This Row],[3]]="","",Table21215[[#This Row],[Weight]:[Weight]]-(Table21215[[#This Row],[Weight]:[Weight]]*((_xlfn.XMATCH(Table21215[[#This Row],[3]],Table21215[[#This Row],[1]:[11]],0))-1)/(COUNTA(Table21215[[#This Row],[1]:[11]])-COUNTBLANK(Table21215[[#This Row],[1]:[11]])-1)))</f>
        <v>1.5885623510722797E-3</v>
      </c>
      <c r="AB135" s="30" cm="1">
        <f t="array" ref="AB135">IF(Table21215[[#This Row],[4]]="","",Table21215[[#This Row],[Weight]:[Weight]]-(Table21215[[#This Row],[Weight]:[Weight]]*((_xlfn.XMATCH(Table21215[[#This Row],[4]],Table21215[[#This Row],[1]:[11]],0))-1)/(COUNTA(Table21215[[#This Row],[1]:[11]])-COUNTBLANK(Table21215[[#This Row],[1]:[11]])-1)))</f>
        <v>0</v>
      </c>
      <c r="AC135" s="30" t="str" cm="1">
        <f t="array" ref="AC135">IF(Table21215[[#This Row],[5]]="","",Table21215[[#This Row],[Weight]:[Weight]]-(Table21215[[#This Row],[Weight]:[Weight]]*((_xlfn.XMATCH(Table21215[[#This Row],[5]],Table21215[[#This Row],[1]:[11]],0))-1)/(COUNTA(Table21215[[#This Row],[1]:[11]])-COUNTBLANK(Table21215[[#This Row],[1]:[11]])-1)))</f>
        <v/>
      </c>
      <c r="AD135" s="30" t="str" cm="1">
        <f t="array" ref="AD135">IF(Table21215[[#This Row],[6]]="","",Table21215[[#This Row],[Weight]:[Weight]]-(Table21215[[#This Row],[Weight]:[Weight]]*((_xlfn.XMATCH(Table21215[[#This Row],[6]],Table21215[[#This Row],[1]:[11]],0))-1)/(COUNTA(Table21215[[#This Row],[1]:[11]])-COUNTBLANK(Table21215[[#This Row],[1]:[11]])-1)))</f>
        <v/>
      </c>
      <c r="AE135" s="30" t="str" cm="1">
        <f t="array" ref="AE135">IF(Table21215[[#This Row],[7]]="","",Table21215[[#This Row],[Weight]:[Weight]]-(Table21215[[#This Row],[Weight]:[Weight]]*((_xlfn.XMATCH(Table21215[[#This Row],[7]],Table21215[[#This Row],[1]:[11]],0))-1)/(COUNTA(Table21215[[#This Row],[1]:[11]])-COUNTBLANK(Table21215[[#This Row],[1]:[11]])-1)))</f>
        <v/>
      </c>
      <c r="AF135" s="30" t="str" cm="1">
        <f t="array" ref="AF135">IF(Table21215[[#This Row],[8]]="","",Table21215[[#This Row],[Weight]:[Weight]]-(Table21215[[#This Row],[Weight]:[Weight]]*((_xlfn.XMATCH(Table21215[[#This Row],[8]],Table21215[[#This Row],[1]:[11]],0))-1)/(COUNTA(Table21215[[#This Row],[1]:[11]])-COUNTBLANK(Table21215[[#This Row],[1]:[11]])-1)))</f>
        <v/>
      </c>
      <c r="AG135" s="30" t="str" cm="1">
        <f t="array" ref="AG135">IF(Table21215[[#This Row],[9]]="","",Table21215[[#This Row],[Weight]:[Weight]]-(Table21215[[#This Row],[Weight]:[Weight]]*((_xlfn.XMATCH(Table21215[[#This Row],[9]],Table21215[[#This Row],[1]:[11]],0))-1)/(COUNTA(Table21215[[#This Row],[1]:[11]])-COUNTBLANK(Table21215[[#This Row],[1]:[11]])-1)))</f>
        <v/>
      </c>
      <c r="AH135" s="30" t="str" cm="1">
        <f t="array" ref="AH135">IF(Table21215[[#This Row],[10]]="","",Table21215[[#This Row],[Weight]:[Weight]]-(Table21215[[#This Row],[Weight]:[Weight]]*((_xlfn.XMATCH(Table21215[[#This Row],[10]],Table21215[[#This Row],[1]:[11]],0))-1)/(COUNTA(Table21215[[#This Row],[1]:[11]])-COUNTBLANK(Table21215[[#This Row],[1]:[11]])-1)))</f>
        <v/>
      </c>
      <c r="AI135" s="30" t="str" cm="1">
        <f t="array" ref="AI135">IF(Table21215[[#This Row],[11]]="","",Table21215[[#This Row],[Weight]:[Weight]]-(Table21215[[#This Row],[Weight]:[Weight]]*((_xlfn.XMATCH(Table21215[[#This Row],[11]],Table21215[[#This Row],[1]:[11]],0))-1)/(COUNTA(Table21215[[#This Row],[1]:[11]])-COUNTBLANK(Table21215[[#This Row],[1]:[11]])-1)))</f>
        <v/>
      </c>
    </row>
    <row r="136" spans="1:35" ht="108" x14ac:dyDescent="0.2">
      <c r="A136" s="20">
        <v>124</v>
      </c>
      <c r="B136" s="165" t="s">
        <v>953</v>
      </c>
      <c r="C136" s="21" t="s">
        <v>826</v>
      </c>
      <c r="D136" s="38"/>
      <c r="E136" s="38"/>
      <c r="F136" s="159" t="s">
        <v>60</v>
      </c>
      <c r="G136" s="160" cm="1">
        <f t="array" ref="G136">_xlfn.IFS(F136="","",F136="No interest",0,F136="Nice to have",1,F136="Useful",2,F136="Important",3,F136="Very important",4,F136="Critical",5,F136="Show stopper",6)</f>
        <v>6</v>
      </c>
      <c r="H136" s="161">
        <f t="shared" si="3"/>
        <v>4.7656870532168391E-3</v>
      </c>
      <c r="I136" s="157" t="s">
        <v>827</v>
      </c>
      <c r="J136" s="35" t="str" cm="1">
        <f t="array" ref="J136">_xlfn.TEXTJOIN(","&amp;CHAR(10),,TEXT(Table21215[[#This Row],[12]:[22]],"0,00%"))</f>
        <v>0,00%,
0,00%,
0,00%,
0,00%</v>
      </c>
      <c r="K136" s="36"/>
      <c r="L136" s="37" t="e">
        <f>H136-(H136*((MATCH(Table21215[[#This Row],[Evaluators Response (SELECT)]],Table21215[[#This Row],[1]:[11]],0)-1)/(COUNTA(Table21215[[#This Row],[1]:[11]])-COUNTBLANK(Table21215[[#This Row],[1]:[11]])-1)))</f>
        <v>#N/A</v>
      </c>
      <c r="M136" s="38"/>
      <c r="N136" s="29" t="s">
        <v>828</v>
      </c>
      <c r="O136" s="29" t="s">
        <v>829</v>
      </c>
      <c r="P136" s="29" t="s">
        <v>830</v>
      </c>
      <c r="Q136" s="29" t="str" cm="1">
        <f t="array" ref="Q136">IFERROR(INDEX(_xlfn.UNIQUE(TRIM(_xlfn.TEXTSPLIT(Table21215[[#This Row],[Selection Options]:[Selection Options]],","))),,Q$11),"")</f>
        <v xml:space="preserve">
 0%: Not currently supported</v>
      </c>
      <c r="R136" s="29" t="str" cm="1">
        <f t="array" ref="R136">IFERROR(INDEX(_xlfn.UNIQUE(TRIM(_xlfn.TEXTSPLIT(Table21215[[#This Row],[Selection Options]:[Selection Options]],","))),,R$11),"")</f>
        <v/>
      </c>
      <c r="S136" s="29" t="str" cm="1">
        <f t="array" ref="S136">IFERROR(INDEX(_xlfn.UNIQUE(TRIM(_xlfn.TEXTSPLIT(Table21215[[#This Row],[Selection Options]:[Selection Options]],","))),,S$11),"")</f>
        <v/>
      </c>
      <c r="T136" s="29" t="str" cm="1">
        <f t="array" ref="T136">IFERROR(INDEX(_xlfn.UNIQUE(TRIM(_xlfn.TEXTSPLIT(Table21215[[#This Row],[Selection Options]:[Selection Options]],","))),,T$11),"")</f>
        <v/>
      </c>
      <c r="U136" s="29" t="str" cm="1">
        <f t="array" ref="U136">IFERROR(INDEX(_xlfn.UNIQUE(TRIM(_xlfn.TEXTSPLIT(Table21215[[#This Row],[Selection Options]:[Selection Options]],","))),,U$11),"")</f>
        <v/>
      </c>
      <c r="V136" s="29" t="str" cm="1">
        <f t="array" ref="V136">IFERROR(INDEX(_xlfn.UNIQUE(TRIM(_xlfn.TEXTSPLIT(Table21215[[#This Row],[Selection Options]:[Selection Options]],","))),,V$11),"")</f>
        <v/>
      </c>
      <c r="W136" s="29" t="str" cm="1">
        <f t="array" ref="W136">IFERROR(INDEX(_xlfn.UNIQUE(TRIM(_xlfn.TEXTSPLIT(Table21215[[#This Row],[Selection Options]:[Selection Options]],","))),,W$11),"")</f>
        <v/>
      </c>
      <c r="X136" s="29" t="str" cm="1">
        <f t="array" ref="X136">IFERROR(INDEX(_xlfn.UNIQUE(TRIM(_xlfn.TEXTSPLIT(Table21215[[#This Row],[Selection Options]:[Selection Options]],","))),,X$11),"")</f>
        <v/>
      </c>
      <c r="Y136" s="30" cm="1">
        <f t="array" ref="Y136">IF(Table21215[[#This Row],[1]]="","",Table21215[[#This Row],[Weight]:[Weight]]-(Table21215[[#This Row],[Weight]:[Weight]]*((_xlfn.XMATCH(Table21215[[#This Row],[1]],Table21215[[#This Row],[1]:[11]],0))-1)/(COUNTA(Table21215[[#This Row],[1]:[11]])-COUNTBLANK(Table21215[[#This Row],[1]:[11]])-1)))</f>
        <v>4.7656870532168391E-3</v>
      </c>
      <c r="Z136" s="30" cm="1">
        <f t="array" ref="Z136">IF(Table21215[[#This Row],[2]]="","",Table21215[[#This Row],[Weight]:[Weight]]-(Table21215[[#This Row],[Weight]:[Weight]]*((_xlfn.XMATCH(Table21215[[#This Row],[2]],Table21215[[#This Row],[1]:[11]],0))-1)/(COUNTA(Table21215[[#This Row],[1]:[11]])-COUNTBLANK(Table21215[[#This Row],[1]:[11]])-1)))</f>
        <v>3.1771247021445594E-3</v>
      </c>
      <c r="AA136" s="30" cm="1">
        <f t="array" ref="AA136">IF(Table21215[[#This Row],[3]]="","",Table21215[[#This Row],[Weight]:[Weight]]-(Table21215[[#This Row],[Weight]:[Weight]]*((_xlfn.XMATCH(Table21215[[#This Row],[3]],Table21215[[#This Row],[1]:[11]],0))-1)/(COUNTA(Table21215[[#This Row],[1]:[11]])-COUNTBLANK(Table21215[[#This Row],[1]:[11]])-1)))</f>
        <v>1.5885623510722797E-3</v>
      </c>
      <c r="AB136" s="30" cm="1">
        <f t="array" ref="AB136">IF(Table21215[[#This Row],[4]]="","",Table21215[[#This Row],[Weight]:[Weight]]-(Table21215[[#This Row],[Weight]:[Weight]]*((_xlfn.XMATCH(Table21215[[#This Row],[4]],Table21215[[#This Row],[1]:[11]],0))-1)/(COUNTA(Table21215[[#This Row],[1]:[11]])-COUNTBLANK(Table21215[[#This Row],[1]:[11]])-1)))</f>
        <v>0</v>
      </c>
      <c r="AC136" s="30" t="str" cm="1">
        <f t="array" ref="AC136">IF(Table21215[[#This Row],[5]]="","",Table21215[[#This Row],[Weight]:[Weight]]-(Table21215[[#This Row],[Weight]:[Weight]]*((_xlfn.XMATCH(Table21215[[#This Row],[5]],Table21215[[#This Row],[1]:[11]],0))-1)/(COUNTA(Table21215[[#This Row],[1]:[11]])-COUNTBLANK(Table21215[[#This Row],[1]:[11]])-1)))</f>
        <v/>
      </c>
      <c r="AD136" s="30" t="str" cm="1">
        <f t="array" ref="AD136">IF(Table21215[[#This Row],[6]]="","",Table21215[[#This Row],[Weight]:[Weight]]-(Table21215[[#This Row],[Weight]:[Weight]]*((_xlfn.XMATCH(Table21215[[#This Row],[6]],Table21215[[#This Row],[1]:[11]],0))-1)/(COUNTA(Table21215[[#This Row],[1]:[11]])-COUNTBLANK(Table21215[[#This Row],[1]:[11]])-1)))</f>
        <v/>
      </c>
      <c r="AE136" s="30" t="str" cm="1">
        <f t="array" ref="AE136">IF(Table21215[[#This Row],[7]]="","",Table21215[[#This Row],[Weight]:[Weight]]-(Table21215[[#This Row],[Weight]:[Weight]]*((_xlfn.XMATCH(Table21215[[#This Row],[7]],Table21215[[#This Row],[1]:[11]],0))-1)/(COUNTA(Table21215[[#This Row],[1]:[11]])-COUNTBLANK(Table21215[[#This Row],[1]:[11]])-1)))</f>
        <v/>
      </c>
      <c r="AF136" s="30" t="str" cm="1">
        <f t="array" ref="AF136">IF(Table21215[[#This Row],[8]]="","",Table21215[[#This Row],[Weight]:[Weight]]-(Table21215[[#This Row],[Weight]:[Weight]]*((_xlfn.XMATCH(Table21215[[#This Row],[8]],Table21215[[#This Row],[1]:[11]],0))-1)/(COUNTA(Table21215[[#This Row],[1]:[11]])-COUNTBLANK(Table21215[[#This Row],[1]:[11]])-1)))</f>
        <v/>
      </c>
      <c r="AG136" s="30" t="str" cm="1">
        <f t="array" ref="AG136">IF(Table21215[[#This Row],[9]]="","",Table21215[[#This Row],[Weight]:[Weight]]-(Table21215[[#This Row],[Weight]:[Weight]]*((_xlfn.XMATCH(Table21215[[#This Row],[9]],Table21215[[#This Row],[1]:[11]],0))-1)/(COUNTA(Table21215[[#This Row],[1]:[11]])-COUNTBLANK(Table21215[[#This Row],[1]:[11]])-1)))</f>
        <v/>
      </c>
      <c r="AH136" s="30" t="str" cm="1">
        <f t="array" ref="AH136">IF(Table21215[[#This Row],[10]]="","",Table21215[[#This Row],[Weight]:[Weight]]-(Table21215[[#This Row],[Weight]:[Weight]]*((_xlfn.XMATCH(Table21215[[#This Row],[10]],Table21215[[#This Row],[1]:[11]],0))-1)/(COUNTA(Table21215[[#This Row],[1]:[11]])-COUNTBLANK(Table21215[[#This Row],[1]:[11]])-1)))</f>
        <v/>
      </c>
      <c r="AI136" s="30" t="str" cm="1">
        <f t="array" ref="AI136">IF(Table21215[[#This Row],[11]]="","",Table21215[[#This Row],[Weight]:[Weight]]-(Table21215[[#This Row],[Weight]:[Weight]]*((_xlfn.XMATCH(Table21215[[#This Row],[11]],Table21215[[#This Row],[1]:[11]],0))-1)/(COUNTA(Table21215[[#This Row],[1]:[11]])-COUNTBLANK(Table21215[[#This Row],[1]:[11]])-1)))</f>
        <v/>
      </c>
    </row>
    <row r="137" spans="1:35" ht="108" x14ac:dyDescent="0.2">
      <c r="A137" s="20">
        <v>125</v>
      </c>
      <c r="B137" s="165" t="s">
        <v>954</v>
      </c>
      <c r="C137" s="21" t="s">
        <v>826</v>
      </c>
      <c r="D137" s="38"/>
      <c r="E137" s="38"/>
      <c r="F137" s="159" t="s">
        <v>188</v>
      </c>
      <c r="G137" s="160" cm="1">
        <f t="array" ref="G137">_xlfn.IFS(F137="","",F137="No interest",0,F137="Nice to have",1,F137="Useful",2,F137="Important",3,F137="Very important",4,F137="Critical",5,F137="Show stopper",6)</f>
        <v>5</v>
      </c>
      <c r="H137" s="161">
        <f t="shared" si="3"/>
        <v>3.9714058776806989E-3</v>
      </c>
      <c r="I137" s="157" t="s">
        <v>827</v>
      </c>
      <c r="J137" s="35" t="str" cm="1">
        <f t="array" ref="J137">_xlfn.TEXTJOIN(","&amp;CHAR(10),,TEXT(Table21215[[#This Row],[12]:[22]],"0,00%"))</f>
        <v>0,00%,
0,00%,
0,00%,
0,00%</v>
      </c>
      <c r="K137" s="36"/>
      <c r="L137" s="37" t="e">
        <f>H137-(H137*((MATCH(Table21215[[#This Row],[Evaluators Response (SELECT)]],Table21215[[#This Row],[1]:[11]],0)-1)/(COUNTA(Table21215[[#This Row],[1]:[11]])-COUNTBLANK(Table21215[[#This Row],[1]:[11]])-1)))</f>
        <v>#N/A</v>
      </c>
      <c r="M137" s="38"/>
      <c r="N137" s="29" t="s">
        <v>828</v>
      </c>
      <c r="O137" s="29" t="s">
        <v>829</v>
      </c>
      <c r="P137" s="29" t="s">
        <v>830</v>
      </c>
      <c r="Q137" s="29" t="str" cm="1">
        <f t="array" ref="Q137">IFERROR(INDEX(_xlfn.UNIQUE(TRIM(_xlfn.TEXTSPLIT(Table21215[[#This Row],[Selection Options]:[Selection Options]],","))),,Q$11),"")</f>
        <v xml:space="preserve">
 0%: Not currently supported</v>
      </c>
      <c r="R137" s="29" t="str" cm="1">
        <f t="array" ref="R137">IFERROR(INDEX(_xlfn.UNIQUE(TRIM(_xlfn.TEXTSPLIT(Table21215[[#This Row],[Selection Options]:[Selection Options]],","))),,R$11),"")</f>
        <v/>
      </c>
      <c r="S137" s="29" t="str" cm="1">
        <f t="array" ref="S137">IFERROR(INDEX(_xlfn.UNIQUE(TRIM(_xlfn.TEXTSPLIT(Table21215[[#This Row],[Selection Options]:[Selection Options]],","))),,S$11),"")</f>
        <v/>
      </c>
      <c r="T137" s="29" t="str" cm="1">
        <f t="array" ref="T137">IFERROR(INDEX(_xlfn.UNIQUE(TRIM(_xlfn.TEXTSPLIT(Table21215[[#This Row],[Selection Options]:[Selection Options]],","))),,T$11),"")</f>
        <v/>
      </c>
      <c r="U137" s="29" t="str" cm="1">
        <f t="array" ref="U137">IFERROR(INDEX(_xlfn.UNIQUE(TRIM(_xlfn.TEXTSPLIT(Table21215[[#This Row],[Selection Options]:[Selection Options]],","))),,U$11),"")</f>
        <v/>
      </c>
      <c r="V137" s="29" t="str" cm="1">
        <f t="array" ref="V137">IFERROR(INDEX(_xlfn.UNIQUE(TRIM(_xlfn.TEXTSPLIT(Table21215[[#This Row],[Selection Options]:[Selection Options]],","))),,V$11),"")</f>
        <v/>
      </c>
      <c r="W137" s="29" t="str" cm="1">
        <f t="array" ref="W137">IFERROR(INDEX(_xlfn.UNIQUE(TRIM(_xlfn.TEXTSPLIT(Table21215[[#This Row],[Selection Options]:[Selection Options]],","))),,W$11),"")</f>
        <v/>
      </c>
      <c r="X137" s="29" t="str" cm="1">
        <f t="array" ref="X137">IFERROR(INDEX(_xlfn.UNIQUE(TRIM(_xlfn.TEXTSPLIT(Table21215[[#This Row],[Selection Options]:[Selection Options]],","))),,X$11),"")</f>
        <v/>
      </c>
      <c r="Y137" s="30" cm="1">
        <f t="array" ref="Y137">IF(Table21215[[#This Row],[1]]="","",Table21215[[#This Row],[Weight]:[Weight]]-(Table21215[[#This Row],[Weight]:[Weight]]*((_xlfn.XMATCH(Table21215[[#This Row],[1]],Table21215[[#This Row],[1]:[11]],0))-1)/(COUNTA(Table21215[[#This Row],[1]:[11]])-COUNTBLANK(Table21215[[#This Row],[1]:[11]])-1)))</f>
        <v>3.9714058776806989E-3</v>
      </c>
      <c r="Z137" s="30" cm="1">
        <f t="array" ref="Z137">IF(Table21215[[#This Row],[2]]="","",Table21215[[#This Row],[Weight]:[Weight]]-(Table21215[[#This Row],[Weight]:[Weight]]*((_xlfn.XMATCH(Table21215[[#This Row],[2]],Table21215[[#This Row],[1]:[11]],0))-1)/(COUNTA(Table21215[[#This Row],[1]:[11]])-COUNTBLANK(Table21215[[#This Row],[1]:[11]])-1)))</f>
        <v>2.6476039184537992E-3</v>
      </c>
      <c r="AA137" s="30" cm="1">
        <f t="array" ref="AA137">IF(Table21215[[#This Row],[3]]="","",Table21215[[#This Row],[Weight]:[Weight]]-(Table21215[[#This Row],[Weight]:[Weight]]*((_xlfn.XMATCH(Table21215[[#This Row],[3]],Table21215[[#This Row],[1]:[11]],0))-1)/(COUNTA(Table21215[[#This Row],[1]:[11]])-COUNTBLANK(Table21215[[#This Row],[1]:[11]])-1)))</f>
        <v>1.3238019592268996E-3</v>
      </c>
      <c r="AB137" s="30" cm="1">
        <f t="array" ref="AB137">IF(Table21215[[#This Row],[4]]="","",Table21215[[#This Row],[Weight]:[Weight]]-(Table21215[[#This Row],[Weight]:[Weight]]*((_xlfn.XMATCH(Table21215[[#This Row],[4]],Table21215[[#This Row],[1]:[11]],0))-1)/(COUNTA(Table21215[[#This Row],[1]:[11]])-COUNTBLANK(Table21215[[#This Row],[1]:[11]])-1)))</f>
        <v>0</v>
      </c>
      <c r="AC137" s="30" t="str" cm="1">
        <f t="array" ref="AC137">IF(Table21215[[#This Row],[5]]="","",Table21215[[#This Row],[Weight]:[Weight]]-(Table21215[[#This Row],[Weight]:[Weight]]*((_xlfn.XMATCH(Table21215[[#This Row],[5]],Table21215[[#This Row],[1]:[11]],0))-1)/(COUNTA(Table21215[[#This Row],[1]:[11]])-COUNTBLANK(Table21215[[#This Row],[1]:[11]])-1)))</f>
        <v/>
      </c>
      <c r="AD137" s="30" t="str" cm="1">
        <f t="array" ref="AD137">IF(Table21215[[#This Row],[6]]="","",Table21215[[#This Row],[Weight]:[Weight]]-(Table21215[[#This Row],[Weight]:[Weight]]*((_xlfn.XMATCH(Table21215[[#This Row],[6]],Table21215[[#This Row],[1]:[11]],0))-1)/(COUNTA(Table21215[[#This Row],[1]:[11]])-COUNTBLANK(Table21215[[#This Row],[1]:[11]])-1)))</f>
        <v/>
      </c>
      <c r="AE137" s="30" t="str" cm="1">
        <f t="array" ref="AE137">IF(Table21215[[#This Row],[7]]="","",Table21215[[#This Row],[Weight]:[Weight]]-(Table21215[[#This Row],[Weight]:[Weight]]*((_xlfn.XMATCH(Table21215[[#This Row],[7]],Table21215[[#This Row],[1]:[11]],0))-1)/(COUNTA(Table21215[[#This Row],[1]:[11]])-COUNTBLANK(Table21215[[#This Row],[1]:[11]])-1)))</f>
        <v/>
      </c>
      <c r="AF137" s="30" t="str" cm="1">
        <f t="array" ref="AF137">IF(Table21215[[#This Row],[8]]="","",Table21215[[#This Row],[Weight]:[Weight]]-(Table21215[[#This Row],[Weight]:[Weight]]*((_xlfn.XMATCH(Table21215[[#This Row],[8]],Table21215[[#This Row],[1]:[11]],0))-1)/(COUNTA(Table21215[[#This Row],[1]:[11]])-COUNTBLANK(Table21215[[#This Row],[1]:[11]])-1)))</f>
        <v/>
      </c>
      <c r="AG137" s="30" t="str" cm="1">
        <f t="array" ref="AG137">IF(Table21215[[#This Row],[9]]="","",Table21215[[#This Row],[Weight]:[Weight]]-(Table21215[[#This Row],[Weight]:[Weight]]*((_xlfn.XMATCH(Table21215[[#This Row],[9]],Table21215[[#This Row],[1]:[11]],0))-1)/(COUNTA(Table21215[[#This Row],[1]:[11]])-COUNTBLANK(Table21215[[#This Row],[1]:[11]])-1)))</f>
        <v/>
      </c>
      <c r="AH137" s="30" t="str" cm="1">
        <f t="array" ref="AH137">IF(Table21215[[#This Row],[10]]="","",Table21215[[#This Row],[Weight]:[Weight]]-(Table21215[[#This Row],[Weight]:[Weight]]*((_xlfn.XMATCH(Table21215[[#This Row],[10]],Table21215[[#This Row],[1]:[11]],0))-1)/(COUNTA(Table21215[[#This Row],[1]:[11]])-COUNTBLANK(Table21215[[#This Row],[1]:[11]])-1)))</f>
        <v/>
      </c>
      <c r="AI137" s="30" t="str" cm="1">
        <f t="array" ref="AI137">IF(Table21215[[#This Row],[11]]="","",Table21215[[#This Row],[Weight]:[Weight]]-(Table21215[[#This Row],[Weight]:[Weight]]*((_xlfn.XMATCH(Table21215[[#This Row],[11]],Table21215[[#This Row],[1]:[11]],0))-1)/(COUNTA(Table21215[[#This Row],[1]:[11]])-COUNTBLANK(Table21215[[#This Row],[1]:[11]])-1)))</f>
        <v/>
      </c>
    </row>
    <row r="138" spans="1:35" ht="108" x14ac:dyDescent="0.2">
      <c r="A138" s="20">
        <v>126</v>
      </c>
      <c r="B138" s="165" t="s">
        <v>955</v>
      </c>
      <c r="C138" s="21" t="s">
        <v>826</v>
      </c>
      <c r="D138" s="38"/>
      <c r="E138" s="38"/>
      <c r="F138" s="159" t="s">
        <v>188</v>
      </c>
      <c r="G138" s="160" cm="1">
        <f t="array" ref="G138">_xlfn.IFS(F138="","",F138="No interest",0,F138="Nice to have",1,F138="Useful",2,F138="Important",3,F138="Very important",4,F138="Critical",5,F138="Show stopper",6)</f>
        <v>5</v>
      </c>
      <c r="H138" s="161">
        <f t="shared" si="3"/>
        <v>3.9714058776806989E-3</v>
      </c>
      <c r="I138" s="157" t="s">
        <v>827</v>
      </c>
      <c r="J138" s="35" t="str" cm="1">
        <f t="array" ref="J138">_xlfn.TEXTJOIN(","&amp;CHAR(10),,TEXT(Table21215[[#This Row],[12]:[22]],"0,00%"))</f>
        <v>0,00%,
0,00%,
0,00%,
0,00%</v>
      </c>
      <c r="K138" s="36"/>
      <c r="L138" s="37" t="e">
        <f>H138-(H138*((MATCH(Table21215[[#This Row],[Evaluators Response (SELECT)]],Table21215[[#This Row],[1]:[11]],0)-1)/(COUNTA(Table21215[[#This Row],[1]:[11]])-COUNTBLANK(Table21215[[#This Row],[1]:[11]])-1)))</f>
        <v>#N/A</v>
      </c>
      <c r="M138" s="38"/>
      <c r="N138" s="29" t="s">
        <v>828</v>
      </c>
      <c r="O138" s="29" t="s">
        <v>829</v>
      </c>
      <c r="P138" s="29" t="s">
        <v>830</v>
      </c>
      <c r="Q138" s="29" t="str" cm="1">
        <f t="array" ref="Q138">IFERROR(INDEX(_xlfn.UNIQUE(TRIM(_xlfn.TEXTSPLIT(Table21215[[#This Row],[Selection Options]:[Selection Options]],","))),,Q$11),"")</f>
        <v xml:space="preserve">
 0%: Not currently supported</v>
      </c>
      <c r="R138" s="29" t="str" cm="1">
        <f t="array" ref="R138">IFERROR(INDEX(_xlfn.UNIQUE(TRIM(_xlfn.TEXTSPLIT(Table21215[[#This Row],[Selection Options]:[Selection Options]],","))),,R$11),"")</f>
        <v/>
      </c>
      <c r="S138" s="29" t="str" cm="1">
        <f t="array" ref="S138">IFERROR(INDEX(_xlfn.UNIQUE(TRIM(_xlfn.TEXTSPLIT(Table21215[[#This Row],[Selection Options]:[Selection Options]],","))),,S$11),"")</f>
        <v/>
      </c>
      <c r="T138" s="29" t="str" cm="1">
        <f t="array" ref="T138">IFERROR(INDEX(_xlfn.UNIQUE(TRIM(_xlfn.TEXTSPLIT(Table21215[[#This Row],[Selection Options]:[Selection Options]],","))),,T$11),"")</f>
        <v/>
      </c>
      <c r="U138" s="29" t="str" cm="1">
        <f t="array" ref="U138">IFERROR(INDEX(_xlfn.UNIQUE(TRIM(_xlfn.TEXTSPLIT(Table21215[[#This Row],[Selection Options]:[Selection Options]],","))),,U$11),"")</f>
        <v/>
      </c>
      <c r="V138" s="29" t="str" cm="1">
        <f t="array" ref="V138">IFERROR(INDEX(_xlfn.UNIQUE(TRIM(_xlfn.TEXTSPLIT(Table21215[[#This Row],[Selection Options]:[Selection Options]],","))),,V$11),"")</f>
        <v/>
      </c>
      <c r="W138" s="29" t="str" cm="1">
        <f t="array" ref="W138">IFERROR(INDEX(_xlfn.UNIQUE(TRIM(_xlfn.TEXTSPLIT(Table21215[[#This Row],[Selection Options]:[Selection Options]],","))),,W$11),"")</f>
        <v/>
      </c>
      <c r="X138" s="29" t="str" cm="1">
        <f t="array" ref="X138">IFERROR(INDEX(_xlfn.UNIQUE(TRIM(_xlfn.TEXTSPLIT(Table21215[[#This Row],[Selection Options]:[Selection Options]],","))),,X$11),"")</f>
        <v/>
      </c>
      <c r="Y138" s="30" cm="1">
        <f t="array" ref="Y138">IF(Table21215[[#This Row],[1]]="","",Table21215[[#This Row],[Weight]:[Weight]]-(Table21215[[#This Row],[Weight]:[Weight]]*((_xlfn.XMATCH(Table21215[[#This Row],[1]],Table21215[[#This Row],[1]:[11]],0))-1)/(COUNTA(Table21215[[#This Row],[1]:[11]])-COUNTBLANK(Table21215[[#This Row],[1]:[11]])-1)))</f>
        <v>3.9714058776806989E-3</v>
      </c>
      <c r="Z138" s="30" cm="1">
        <f t="array" ref="Z138">IF(Table21215[[#This Row],[2]]="","",Table21215[[#This Row],[Weight]:[Weight]]-(Table21215[[#This Row],[Weight]:[Weight]]*((_xlfn.XMATCH(Table21215[[#This Row],[2]],Table21215[[#This Row],[1]:[11]],0))-1)/(COUNTA(Table21215[[#This Row],[1]:[11]])-COUNTBLANK(Table21215[[#This Row],[1]:[11]])-1)))</f>
        <v>2.6476039184537992E-3</v>
      </c>
      <c r="AA138" s="30" cm="1">
        <f t="array" ref="AA138">IF(Table21215[[#This Row],[3]]="","",Table21215[[#This Row],[Weight]:[Weight]]-(Table21215[[#This Row],[Weight]:[Weight]]*((_xlfn.XMATCH(Table21215[[#This Row],[3]],Table21215[[#This Row],[1]:[11]],0))-1)/(COUNTA(Table21215[[#This Row],[1]:[11]])-COUNTBLANK(Table21215[[#This Row],[1]:[11]])-1)))</f>
        <v>1.3238019592268996E-3</v>
      </c>
      <c r="AB138" s="30" cm="1">
        <f t="array" ref="AB138">IF(Table21215[[#This Row],[4]]="","",Table21215[[#This Row],[Weight]:[Weight]]-(Table21215[[#This Row],[Weight]:[Weight]]*((_xlfn.XMATCH(Table21215[[#This Row],[4]],Table21215[[#This Row],[1]:[11]],0))-1)/(COUNTA(Table21215[[#This Row],[1]:[11]])-COUNTBLANK(Table21215[[#This Row],[1]:[11]])-1)))</f>
        <v>0</v>
      </c>
      <c r="AC138" s="30" t="str" cm="1">
        <f t="array" ref="AC138">IF(Table21215[[#This Row],[5]]="","",Table21215[[#This Row],[Weight]:[Weight]]-(Table21215[[#This Row],[Weight]:[Weight]]*((_xlfn.XMATCH(Table21215[[#This Row],[5]],Table21215[[#This Row],[1]:[11]],0))-1)/(COUNTA(Table21215[[#This Row],[1]:[11]])-COUNTBLANK(Table21215[[#This Row],[1]:[11]])-1)))</f>
        <v/>
      </c>
      <c r="AD138" s="30" t="str" cm="1">
        <f t="array" ref="AD138">IF(Table21215[[#This Row],[6]]="","",Table21215[[#This Row],[Weight]:[Weight]]-(Table21215[[#This Row],[Weight]:[Weight]]*((_xlfn.XMATCH(Table21215[[#This Row],[6]],Table21215[[#This Row],[1]:[11]],0))-1)/(COUNTA(Table21215[[#This Row],[1]:[11]])-COUNTBLANK(Table21215[[#This Row],[1]:[11]])-1)))</f>
        <v/>
      </c>
      <c r="AE138" s="30" t="str" cm="1">
        <f t="array" ref="AE138">IF(Table21215[[#This Row],[7]]="","",Table21215[[#This Row],[Weight]:[Weight]]-(Table21215[[#This Row],[Weight]:[Weight]]*((_xlfn.XMATCH(Table21215[[#This Row],[7]],Table21215[[#This Row],[1]:[11]],0))-1)/(COUNTA(Table21215[[#This Row],[1]:[11]])-COUNTBLANK(Table21215[[#This Row],[1]:[11]])-1)))</f>
        <v/>
      </c>
      <c r="AF138" s="30" t="str" cm="1">
        <f t="array" ref="AF138">IF(Table21215[[#This Row],[8]]="","",Table21215[[#This Row],[Weight]:[Weight]]-(Table21215[[#This Row],[Weight]:[Weight]]*((_xlfn.XMATCH(Table21215[[#This Row],[8]],Table21215[[#This Row],[1]:[11]],0))-1)/(COUNTA(Table21215[[#This Row],[1]:[11]])-COUNTBLANK(Table21215[[#This Row],[1]:[11]])-1)))</f>
        <v/>
      </c>
      <c r="AG138" s="30" t="str" cm="1">
        <f t="array" ref="AG138">IF(Table21215[[#This Row],[9]]="","",Table21215[[#This Row],[Weight]:[Weight]]-(Table21215[[#This Row],[Weight]:[Weight]]*((_xlfn.XMATCH(Table21215[[#This Row],[9]],Table21215[[#This Row],[1]:[11]],0))-1)/(COUNTA(Table21215[[#This Row],[1]:[11]])-COUNTBLANK(Table21215[[#This Row],[1]:[11]])-1)))</f>
        <v/>
      </c>
      <c r="AH138" s="30" t="str" cm="1">
        <f t="array" ref="AH138">IF(Table21215[[#This Row],[10]]="","",Table21215[[#This Row],[Weight]:[Weight]]-(Table21215[[#This Row],[Weight]:[Weight]]*((_xlfn.XMATCH(Table21215[[#This Row],[10]],Table21215[[#This Row],[1]:[11]],0))-1)/(COUNTA(Table21215[[#This Row],[1]:[11]])-COUNTBLANK(Table21215[[#This Row],[1]:[11]])-1)))</f>
        <v/>
      </c>
      <c r="AI138" s="30" t="str" cm="1">
        <f t="array" ref="AI138">IF(Table21215[[#This Row],[11]]="","",Table21215[[#This Row],[Weight]:[Weight]]-(Table21215[[#This Row],[Weight]:[Weight]]*((_xlfn.XMATCH(Table21215[[#This Row],[11]],Table21215[[#This Row],[1]:[11]],0))-1)/(COUNTA(Table21215[[#This Row],[1]:[11]])-COUNTBLANK(Table21215[[#This Row],[1]:[11]])-1)))</f>
        <v/>
      </c>
    </row>
    <row r="139" spans="1:35" ht="108" x14ac:dyDescent="0.2">
      <c r="A139" s="20">
        <v>127</v>
      </c>
      <c r="B139" s="165" t="s">
        <v>956</v>
      </c>
      <c r="C139" s="21" t="s">
        <v>826</v>
      </c>
      <c r="D139" s="38"/>
      <c r="E139" s="38"/>
      <c r="F139" s="159" t="s">
        <v>60</v>
      </c>
      <c r="G139" s="160" cm="1">
        <f t="array" ref="G139">_xlfn.IFS(F139="","",F139="No interest",0,F139="Nice to have",1,F139="Useful",2,F139="Important",3,F139="Very important",4,F139="Critical",5,F139="Show stopper",6)</f>
        <v>6</v>
      </c>
      <c r="H139" s="161">
        <f t="shared" si="3"/>
        <v>4.7656870532168391E-3</v>
      </c>
      <c r="I139" s="157" t="s">
        <v>827</v>
      </c>
      <c r="J139" s="35" t="str" cm="1">
        <f t="array" ref="J139">_xlfn.TEXTJOIN(","&amp;CHAR(10),,TEXT(Table21215[[#This Row],[12]:[22]],"0,00%"))</f>
        <v>0,00%,
0,00%,
0,00%,
0,00%</v>
      </c>
      <c r="K139" s="36"/>
      <c r="L139" s="37" t="e">
        <f>H139-(H139*((MATCH(Table21215[[#This Row],[Evaluators Response (SELECT)]],Table21215[[#This Row],[1]:[11]],0)-1)/(COUNTA(Table21215[[#This Row],[1]:[11]])-COUNTBLANK(Table21215[[#This Row],[1]:[11]])-1)))</f>
        <v>#N/A</v>
      </c>
      <c r="M139" s="38"/>
      <c r="N139" s="29" t="s">
        <v>828</v>
      </c>
      <c r="O139" s="29" t="s">
        <v>829</v>
      </c>
      <c r="P139" s="29" t="s">
        <v>830</v>
      </c>
      <c r="Q139" s="29" t="str" cm="1">
        <f t="array" ref="Q139">IFERROR(INDEX(_xlfn.UNIQUE(TRIM(_xlfn.TEXTSPLIT(Table21215[[#This Row],[Selection Options]:[Selection Options]],","))),,Q$11),"")</f>
        <v xml:space="preserve">
 0%: Not currently supported</v>
      </c>
      <c r="R139" s="29" t="str" cm="1">
        <f t="array" ref="R139">IFERROR(INDEX(_xlfn.UNIQUE(TRIM(_xlfn.TEXTSPLIT(Table21215[[#This Row],[Selection Options]:[Selection Options]],","))),,R$11),"")</f>
        <v/>
      </c>
      <c r="S139" s="29" t="str" cm="1">
        <f t="array" ref="S139">IFERROR(INDEX(_xlfn.UNIQUE(TRIM(_xlfn.TEXTSPLIT(Table21215[[#This Row],[Selection Options]:[Selection Options]],","))),,S$11),"")</f>
        <v/>
      </c>
      <c r="T139" s="29" t="str" cm="1">
        <f t="array" ref="T139">IFERROR(INDEX(_xlfn.UNIQUE(TRIM(_xlfn.TEXTSPLIT(Table21215[[#This Row],[Selection Options]:[Selection Options]],","))),,T$11),"")</f>
        <v/>
      </c>
      <c r="U139" s="29" t="str" cm="1">
        <f t="array" ref="U139">IFERROR(INDEX(_xlfn.UNIQUE(TRIM(_xlfn.TEXTSPLIT(Table21215[[#This Row],[Selection Options]:[Selection Options]],","))),,U$11),"")</f>
        <v/>
      </c>
      <c r="V139" s="29" t="str" cm="1">
        <f t="array" ref="V139">IFERROR(INDEX(_xlfn.UNIQUE(TRIM(_xlfn.TEXTSPLIT(Table21215[[#This Row],[Selection Options]:[Selection Options]],","))),,V$11),"")</f>
        <v/>
      </c>
      <c r="W139" s="29" t="str" cm="1">
        <f t="array" ref="W139">IFERROR(INDEX(_xlfn.UNIQUE(TRIM(_xlfn.TEXTSPLIT(Table21215[[#This Row],[Selection Options]:[Selection Options]],","))),,W$11),"")</f>
        <v/>
      </c>
      <c r="X139" s="29" t="str" cm="1">
        <f t="array" ref="X139">IFERROR(INDEX(_xlfn.UNIQUE(TRIM(_xlfn.TEXTSPLIT(Table21215[[#This Row],[Selection Options]:[Selection Options]],","))),,X$11),"")</f>
        <v/>
      </c>
      <c r="Y139" s="30" cm="1">
        <f t="array" ref="Y139">IF(Table21215[[#This Row],[1]]="","",Table21215[[#This Row],[Weight]:[Weight]]-(Table21215[[#This Row],[Weight]:[Weight]]*((_xlfn.XMATCH(Table21215[[#This Row],[1]],Table21215[[#This Row],[1]:[11]],0))-1)/(COUNTA(Table21215[[#This Row],[1]:[11]])-COUNTBLANK(Table21215[[#This Row],[1]:[11]])-1)))</f>
        <v>4.7656870532168391E-3</v>
      </c>
      <c r="Z139" s="30" cm="1">
        <f t="array" ref="Z139">IF(Table21215[[#This Row],[2]]="","",Table21215[[#This Row],[Weight]:[Weight]]-(Table21215[[#This Row],[Weight]:[Weight]]*((_xlfn.XMATCH(Table21215[[#This Row],[2]],Table21215[[#This Row],[1]:[11]],0))-1)/(COUNTA(Table21215[[#This Row],[1]:[11]])-COUNTBLANK(Table21215[[#This Row],[1]:[11]])-1)))</f>
        <v>3.1771247021445594E-3</v>
      </c>
      <c r="AA139" s="30" cm="1">
        <f t="array" ref="AA139">IF(Table21215[[#This Row],[3]]="","",Table21215[[#This Row],[Weight]:[Weight]]-(Table21215[[#This Row],[Weight]:[Weight]]*((_xlfn.XMATCH(Table21215[[#This Row],[3]],Table21215[[#This Row],[1]:[11]],0))-1)/(COUNTA(Table21215[[#This Row],[1]:[11]])-COUNTBLANK(Table21215[[#This Row],[1]:[11]])-1)))</f>
        <v>1.5885623510722797E-3</v>
      </c>
      <c r="AB139" s="30" cm="1">
        <f t="array" ref="AB139">IF(Table21215[[#This Row],[4]]="","",Table21215[[#This Row],[Weight]:[Weight]]-(Table21215[[#This Row],[Weight]:[Weight]]*((_xlfn.XMATCH(Table21215[[#This Row],[4]],Table21215[[#This Row],[1]:[11]],0))-1)/(COUNTA(Table21215[[#This Row],[1]:[11]])-COUNTBLANK(Table21215[[#This Row],[1]:[11]])-1)))</f>
        <v>0</v>
      </c>
      <c r="AC139" s="30" t="str" cm="1">
        <f t="array" ref="AC139">IF(Table21215[[#This Row],[5]]="","",Table21215[[#This Row],[Weight]:[Weight]]-(Table21215[[#This Row],[Weight]:[Weight]]*((_xlfn.XMATCH(Table21215[[#This Row],[5]],Table21215[[#This Row],[1]:[11]],0))-1)/(COUNTA(Table21215[[#This Row],[1]:[11]])-COUNTBLANK(Table21215[[#This Row],[1]:[11]])-1)))</f>
        <v/>
      </c>
      <c r="AD139" s="30" t="str" cm="1">
        <f t="array" ref="AD139">IF(Table21215[[#This Row],[6]]="","",Table21215[[#This Row],[Weight]:[Weight]]-(Table21215[[#This Row],[Weight]:[Weight]]*((_xlfn.XMATCH(Table21215[[#This Row],[6]],Table21215[[#This Row],[1]:[11]],0))-1)/(COUNTA(Table21215[[#This Row],[1]:[11]])-COUNTBLANK(Table21215[[#This Row],[1]:[11]])-1)))</f>
        <v/>
      </c>
      <c r="AE139" s="30" t="str" cm="1">
        <f t="array" ref="AE139">IF(Table21215[[#This Row],[7]]="","",Table21215[[#This Row],[Weight]:[Weight]]-(Table21215[[#This Row],[Weight]:[Weight]]*((_xlfn.XMATCH(Table21215[[#This Row],[7]],Table21215[[#This Row],[1]:[11]],0))-1)/(COUNTA(Table21215[[#This Row],[1]:[11]])-COUNTBLANK(Table21215[[#This Row],[1]:[11]])-1)))</f>
        <v/>
      </c>
      <c r="AF139" s="30" t="str" cm="1">
        <f t="array" ref="AF139">IF(Table21215[[#This Row],[8]]="","",Table21215[[#This Row],[Weight]:[Weight]]-(Table21215[[#This Row],[Weight]:[Weight]]*((_xlfn.XMATCH(Table21215[[#This Row],[8]],Table21215[[#This Row],[1]:[11]],0))-1)/(COUNTA(Table21215[[#This Row],[1]:[11]])-COUNTBLANK(Table21215[[#This Row],[1]:[11]])-1)))</f>
        <v/>
      </c>
      <c r="AG139" s="30" t="str" cm="1">
        <f t="array" ref="AG139">IF(Table21215[[#This Row],[9]]="","",Table21215[[#This Row],[Weight]:[Weight]]-(Table21215[[#This Row],[Weight]:[Weight]]*((_xlfn.XMATCH(Table21215[[#This Row],[9]],Table21215[[#This Row],[1]:[11]],0))-1)/(COUNTA(Table21215[[#This Row],[1]:[11]])-COUNTBLANK(Table21215[[#This Row],[1]:[11]])-1)))</f>
        <v/>
      </c>
      <c r="AH139" s="30" t="str" cm="1">
        <f t="array" ref="AH139">IF(Table21215[[#This Row],[10]]="","",Table21215[[#This Row],[Weight]:[Weight]]-(Table21215[[#This Row],[Weight]:[Weight]]*((_xlfn.XMATCH(Table21215[[#This Row],[10]],Table21215[[#This Row],[1]:[11]],0))-1)/(COUNTA(Table21215[[#This Row],[1]:[11]])-COUNTBLANK(Table21215[[#This Row],[1]:[11]])-1)))</f>
        <v/>
      </c>
      <c r="AI139" s="30" t="str" cm="1">
        <f t="array" ref="AI139">IF(Table21215[[#This Row],[11]]="","",Table21215[[#This Row],[Weight]:[Weight]]-(Table21215[[#This Row],[Weight]:[Weight]]*((_xlfn.XMATCH(Table21215[[#This Row],[11]],Table21215[[#This Row],[1]:[11]],0))-1)/(COUNTA(Table21215[[#This Row],[1]:[11]])-COUNTBLANK(Table21215[[#This Row],[1]:[11]])-1)))</f>
        <v/>
      </c>
    </row>
    <row r="140" spans="1:35" ht="108" x14ac:dyDescent="0.2">
      <c r="A140" s="20">
        <v>128</v>
      </c>
      <c r="B140" s="165" t="s">
        <v>957</v>
      </c>
      <c r="C140" s="21" t="s">
        <v>826</v>
      </c>
      <c r="D140" s="38"/>
      <c r="E140" s="38"/>
      <c r="F140" s="159" t="s">
        <v>188</v>
      </c>
      <c r="G140" s="160" cm="1">
        <f t="array" ref="G140">_xlfn.IFS(F140="","",F140="No interest",0,F140="Nice to have",1,F140="Useful",2,F140="Important",3,F140="Very important",4,F140="Critical",5,F140="Show stopper",6)</f>
        <v>5</v>
      </c>
      <c r="H140" s="161">
        <f t="shared" si="3"/>
        <v>3.9714058776806989E-3</v>
      </c>
      <c r="I140" s="157" t="s">
        <v>827</v>
      </c>
      <c r="J140" s="35" t="str" cm="1">
        <f t="array" ref="J140">_xlfn.TEXTJOIN(","&amp;CHAR(10),,TEXT(Table21215[[#This Row],[12]:[22]],"0,00%"))</f>
        <v>0,00%,
0,00%,
0,00%,
0,00%</v>
      </c>
      <c r="K140" s="36"/>
      <c r="L140" s="37" t="e">
        <f>H140-(H140*((MATCH(Table21215[[#This Row],[Evaluators Response (SELECT)]],Table21215[[#This Row],[1]:[11]],0)-1)/(COUNTA(Table21215[[#This Row],[1]:[11]])-COUNTBLANK(Table21215[[#This Row],[1]:[11]])-1)))</f>
        <v>#N/A</v>
      </c>
      <c r="M140" s="38"/>
      <c r="N140" s="29" t="s">
        <v>828</v>
      </c>
      <c r="O140" s="29" t="s">
        <v>829</v>
      </c>
      <c r="P140" s="29" t="s">
        <v>830</v>
      </c>
      <c r="Q140" s="29" t="str" cm="1">
        <f t="array" ref="Q140">IFERROR(INDEX(_xlfn.UNIQUE(TRIM(_xlfn.TEXTSPLIT(Table21215[[#This Row],[Selection Options]:[Selection Options]],","))),,Q$11),"")</f>
        <v xml:space="preserve">
 0%: Not currently supported</v>
      </c>
      <c r="R140" s="29" t="str" cm="1">
        <f t="array" ref="R140">IFERROR(INDEX(_xlfn.UNIQUE(TRIM(_xlfn.TEXTSPLIT(Table21215[[#This Row],[Selection Options]:[Selection Options]],","))),,R$11),"")</f>
        <v/>
      </c>
      <c r="S140" s="29" t="str" cm="1">
        <f t="array" ref="S140">IFERROR(INDEX(_xlfn.UNIQUE(TRIM(_xlfn.TEXTSPLIT(Table21215[[#This Row],[Selection Options]:[Selection Options]],","))),,S$11),"")</f>
        <v/>
      </c>
      <c r="T140" s="29" t="str" cm="1">
        <f t="array" ref="T140">IFERROR(INDEX(_xlfn.UNIQUE(TRIM(_xlfn.TEXTSPLIT(Table21215[[#This Row],[Selection Options]:[Selection Options]],","))),,T$11),"")</f>
        <v/>
      </c>
      <c r="U140" s="29" t="str" cm="1">
        <f t="array" ref="U140">IFERROR(INDEX(_xlfn.UNIQUE(TRIM(_xlfn.TEXTSPLIT(Table21215[[#This Row],[Selection Options]:[Selection Options]],","))),,U$11),"")</f>
        <v/>
      </c>
      <c r="V140" s="29" t="str" cm="1">
        <f t="array" ref="V140">IFERROR(INDEX(_xlfn.UNIQUE(TRIM(_xlfn.TEXTSPLIT(Table21215[[#This Row],[Selection Options]:[Selection Options]],","))),,V$11),"")</f>
        <v/>
      </c>
      <c r="W140" s="29" t="str" cm="1">
        <f t="array" ref="W140">IFERROR(INDEX(_xlfn.UNIQUE(TRIM(_xlfn.TEXTSPLIT(Table21215[[#This Row],[Selection Options]:[Selection Options]],","))),,W$11),"")</f>
        <v/>
      </c>
      <c r="X140" s="29" t="str" cm="1">
        <f t="array" ref="X140">IFERROR(INDEX(_xlfn.UNIQUE(TRIM(_xlfn.TEXTSPLIT(Table21215[[#This Row],[Selection Options]:[Selection Options]],","))),,X$11),"")</f>
        <v/>
      </c>
      <c r="Y140" s="30" cm="1">
        <f t="array" ref="Y140">IF(Table21215[[#This Row],[1]]="","",Table21215[[#This Row],[Weight]:[Weight]]-(Table21215[[#This Row],[Weight]:[Weight]]*((_xlfn.XMATCH(Table21215[[#This Row],[1]],Table21215[[#This Row],[1]:[11]],0))-1)/(COUNTA(Table21215[[#This Row],[1]:[11]])-COUNTBLANK(Table21215[[#This Row],[1]:[11]])-1)))</f>
        <v>3.9714058776806989E-3</v>
      </c>
      <c r="Z140" s="30" cm="1">
        <f t="array" ref="Z140">IF(Table21215[[#This Row],[2]]="","",Table21215[[#This Row],[Weight]:[Weight]]-(Table21215[[#This Row],[Weight]:[Weight]]*((_xlfn.XMATCH(Table21215[[#This Row],[2]],Table21215[[#This Row],[1]:[11]],0))-1)/(COUNTA(Table21215[[#This Row],[1]:[11]])-COUNTBLANK(Table21215[[#This Row],[1]:[11]])-1)))</f>
        <v>2.6476039184537992E-3</v>
      </c>
      <c r="AA140" s="30" cm="1">
        <f t="array" ref="AA140">IF(Table21215[[#This Row],[3]]="","",Table21215[[#This Row],[Weight]:[Weight]]-(Table21215[[#This Row],[Weight]:[Weight]]*((_xlfn.XMATCH(Table21215[[#This Row],[3]],Table21215[[#This Row],[1]:[11]],0))-1)/(COUNTA(Table21215[[#This Row],[1]:[11]])-COUNTBLANK(Table21215[[#This Row],[1]:[11]])-1)))</f>
        <v>1.3238019592268996E-3</v>
      </c>
      <c r="AB140" s="30" cm="1">
        <f t="array" ref="AB140">IF(Table21215[[#This Row],[4]]="","",Table21215[[#This Row],[Weight]:[Weight]]-(Table21215[[#This Row],[Weight]:[Weight]]*((_xlfn.XMATCH(Table21215[[#This Row],[4]],Table21215[[#This Row],[1]:[11]],0))-1)/(COUNTA(Table21215[[#This Row],[1]:[11]])-COUNTBLANK(Table21215[[#This Row],[1]:[11]])-1)))</f>
        <v>0</v>
      </c>
      <c r="AC140" s="30" t="str" cm="1">
        <f t="array" ref="AC140">IF(Table21215[[#This Row],[5]]="","",Table21215[[#This Row],[Weight]:[Weight]]-(Table21215[[#This Row],[Weight]:[Weight]]*((_xlfn.XMATCH(Table21215[[#This Row],[5]],Table21215[[#This Row],[1]:[11]],0))-1)/(COUNTA(Table21215[[#This Row],[1]:[11]])-COUNTBLANK(Table21215[[#This Row],[1]:[11]])-1)))</f>
        <v/>
      </c>
      <c r="AD140" s="30" t="str" cm="1">
        <f t="array" ref="AD140">IF(Table21215[[#This Row],[6]]="","",Table21215[[#This Row],[Weight]:[Weight]]-(Table21215[[#This Row],[Weight]:[Weight]]*((_xlfn.XMATCH(Table21215[[#This Row],[6]],Table21215[[#This Row],[1]:[11]],0))-1)/(COUNTA(Table21215[[#This Row],[1]:[11]])-COUNTBLANK(Table21215[[#This Row],[1]:[11]])-1)))</f>
        <v/>
      </c>
      <c r="AE140" s="30" t="str" cm="1">
        <f t="array" ref="AE140">IF(Table21215[[#This Row],[7]]="","",Table21215[[#This Row],[Weight]:[Weight]]-(Table21215[[#This Row],[Weight]:[Weight]]*((_xlfn.XMATCH(Table21215[[#This Row],[7]],Table21215[[#This Row],[1]:[11]],0))-1)/(COUNTA(Table21215[[#This Row],[1]:[11]])-COUNTBLANK(Table21215[[#This Row],[1]:[11]])-1)))</f>
        <v/>
      </c>
      <c r="AF140" s="30" t="str" cm="1">
        <f t="array" ref="AF140">IF(Table21215[[#This Row],[8]]="","",Table21215[[#This Row],[Weight]:[Weight]]-(Table21215[[#This Row],[Weight]:[Weight]]*((_xlfn.XMATCH(Table21215[[#This Row],[8]],Table21215[[#This Row],[1]:[11]],0))-1)/(COUNTA(Table21215[[#This Row],[1]:[11]])-COUNTBLANK(Table21215[[#This Row],[1]:[11]])-1)))</f>
        <v/>
      </c>
      <c r="AG140" s="30" t="str" cm="1">
        <f t="array" ref="AG140">IF(Table21215[[#This Row],[9]]="","",Table21215[[#This Row],[Weight]:[Weight]]-(Table21215[[#This Row],[Weight]:[Weight]]*((_xlfn.XMATCH(Table21215[[#This Row],[9]],Table21215[[#This Row],[1]:[11]],0))-1)/(COUNTA(Table21215[[#This Row],[1]:[11]])-COUNTBLANK(Table21215[[#This Row],[1]:[11]])-1)))</f>
        <v/>
      </c>
      <c r="AH140" s="30" t="str" cm="1">
        <f t="array" ref="AH140">IF(Table21215[[#This Row],[10]]="","",Table21215[[#This Row],[Weight]:[Weight]]-(Table21215[[#This Row],[Weight]:[Weight]]*((_xlfn.XMATCH(Table21215[[#This Row],[10]],Table21215[[#This Row],[1]:[11]],0))-1)/(COUNTA(Table21215[[#This Row],[1]:[11]])-COUNTBLANK(Table21215[[#This Row],[1]:[11]])-1)))</f>
        <v/>
      </c>
      <c r="AI140" s="30" t="str" cm="1">
        <f t="array" ref="AI140">IF(Table21215[[#This Row],[11]]="","",Table21215[[#This Row],[Weight]:[Weight]]-(Table21215[[#This Row],[Weight]:[Weight]]*((_xlfn.XMATCH(Table21215[[#This Row],[11]],Table21215[[#This Row],[1]:[11]],0))-1)/(COUNTA(Table21215[[#This Row],[1]:[11]])-COUNTBLANK(Table21215[[#This Row],[1]:[11]])-1)))</f>
        <v/>
      </c>
    </row>
    <row r="141" spans="1:35" ht="108" x14ac:dyDescent="0.2">
      <c r="A141" s="20">
        <v>129</v>
      </c>
      <c r="B141" s="165" t="s">
        <v>958</v>
      </c>
      <c r="C141" s="21" t="s">
        <v>826</v>
      </c>
      <c r="D141" s="38"/>
      <c r="E141" s="38"/>
      <c r="F141" s="159" t="s">
        <v>60</v>
      </c>
      <c r="G141" s="160" cm="1">
        <f t="array" ref="G141">_xlfn.IFS(F141="","",F141="No interest",0,F141="Nice to have",1,F141="Useful",2,F141="Important",3,F141="Very important",4,F141="Critical",5,F141="Show stopper",6)</f>
        <v>6</v>
      </c>
      <c r="H141" s="161">
        <f t="shared" si="3"/>
        <v>4.7656870532168391E-3</v>
      </c>
      <c r="I141" s="157" t="s">
        <v>827</v>
      </c>
      <c r="J141" s="35" t="str" cm="1">
        <f t="array" ref="J141">_xlfn.TEXTJOIN(","&amp;CHAR(10),,TEXT(Table21215[[#This Row],[12]:[22]],"0,00%"))</f>
        <v>0,00%,
0,00%,
0,00%,
0,00%</v>
      </c>
      <c r="K141" s="36"/>
      <c r="L141" s="37" t="e">
        <f>H141-(H141*((MATCH(Table21215[[#This Row],[Evaluators Response (SELECT)]],Table21215[[#This Row],[1]:[11]],0)-1)/(COUNTA(Table21215[[#This Row],[1]:[11]])-COUNTBLANK(Table21215[[#This Row],[1]:[11]])-1)))</f>
        <v>#N/A</v>
      </c>
      <c r="M141" s="38"/>
      <c r="N141" s="29" t="s">
        <v>828</v>
      </c>
      <c r="O141" s="29" t="s">
        <v>829</v>
      </c>
      <c r="P141" s="29" t="s">
        <v>830</v>
      </c>
      <c r="Q141" s="29" t="str" cm="1">
        <f t="array" ref="Q141">IFERROR(INDEX(_xlfn.UNIQUE(TRIM(_xlfn.TEXTSPLIT(Table21215[[#This Row],[Selection Options]:[Selection Options]],","))),,Q$11),"")</f>
        <v xml:space="preserve">
 0%: Not currently supported</v>
      </c>
      <c r="R141" s="29" t="str" cm="1">
        <f t="array" ref="R141">IFERROR(INDEX(_xlfn.UNIQUE(TRIM(_xlfn.TEXTSPLIT(Table21215[[#This Row],[Selection Options]:[Selection Options]],","))),,R$11),"")</f>
        <v/>
      </c>
      <c r="S141" s="29" t="str" cm="1">
        <f t="array" ref="S141">IFERROR(INDEX(_xlfn.UNIQUE(TRIM(_xlfn.TEXTSPLIT(Table21215[[#This Row],[Selection Options]:[Selection Options]],","))),,S$11),"")</f>
        <v/>
      </c>
      <c r="T141" s="29" t="str" cm="1">
        <f t="array" ref="T141">IFERROR(INDEX(_xlfn.UNIQUE(TRIM(_xlfn.TEXTSPLIT(Table21215[[#This Row],[Selection Options]:[Selection Options]],","))),,T$11),"")</f>
        <v/>
      </c>
      <c r="U141" s="29" t="str" cm="1">
        <f t="array" ref="U141">IFERROR(INDEX(_xlfn.UNIQUE(TRIM(_xlfn.TEXTSPLIT(Table21215[[#This Row],[Selection Options]:[Selection Options]],","))),,U$11),"")</f>
        <v/>
      </c>
      <c r="V141" s="29" t="str" cm="1">
        <f t="array" ref="V141">IFERROR(INDEX(_xlfn.UNIQUE(TRIM(_xlfn.TEXTSPLIT(Table21215[[#This Row],[Selection Options]:[Selection Options]],","))),,V$11),"")</f>
        <v/>
      </c>
      <c r="W141" s="29" t="str" cm="1">
        <f t="array" ref="W141">IFERROR(INDEX(_xlfn.UNIQUE(TRIM(_xlfn.TEXTSPLIT(Table21215[[#This Row],[Selection Options]:[Selection Options]],","))),,W$11),"")</f>
        <v/>
      </c>
      <c r="X141" s="29" t="str" cm="1">
        <f t="array" ref="X141">IFERROR(INDEX(_xlfn.UNIQUE(TRIM(_xlfn.TEXTSPLIT(Table21215[[#This Row],[Selection Options]:[Selection Options]],","))),,X$11),"")</f>
        <v/>
      </c>
      <c r="Y141" s="30" cm="1">
        <f t="array" ref="Y141">IF(Table21215[[#This Row],[1]]="","",Table21215[[#This Row],[Weight]:[Weight]]-(Table21215[[#This Row],[Weight]:[Weight]]*((_xlfn.XMATCH(Table21215[[#This Row],[1]],Table21215[[#This Row],[1]:[11]],0))-1)/(COUNTA(Table21215[[#This Row],[1]:[11]])-COUNTBLANK(Table21215[[#This Row],[1]:[11]])-1)))</f>
        <v>4.7656870532168391E-3</v>
      </c>
      <c r="Z141" s="30" cm="1">
        <f t="array" ref="Z141">IF(Table21215[[#This Row],[2]]="","",Table21215[[#This Row],[Weight]:[Weight]]-(Table21215[[#This Row],[Weight]:[Weight]]*((_xlfn.XMATCH(Table21215[[#This Row],[2]],Table21215[[#This Row],[1]:[11]],0))-1)/(COUNTA(Table21215[[#This Row],[1]:[11]])-COUNTBLANK(Table21215[[#This Row],[1]:[11]])-1)))</f>
        <v>3.1771247021445594E-3</v>
      </c>
      <c r="AA141" s="30" cm="1">
        <f t="array" ref="AA141">IF(Table21215[[#This Row],[3]]="","",Table21215[[#This Row],[Weight]:[Weight]]-(Table21215[[#This Row],[Weight]:[Weight]]*((_xlfn.XMATCH(Table21215[[#This Row],[3]],Table21215[[#This Row],[1]:[11]],0))-1)/(COUNTA(Table21215[[#This Row],[1]:[11]])-COUNTBLANK(Table21215[[#This Row],[1]:[11]])-1)))</f>
        <v>1.5885623510722797E-3</v>
      </c>
      <c r="AB141" s="30" cm="1">
        <f t="array" ref="AB141">IF(Table21215[[#This Row],[4]]="","",Table21215[[#This Row],[Weight]:[Weight]]-(Table21215[[#This Row],[Weight]:[Weight]]*((_xlfn.XMATCH(Table21215[[#This Row],[4]],Table21215[[#This Row],[1]:[11]],0))-1)/(COUNTA(Table21215[[#This Row],[1]:[11]])-COUNTBLANK(Table21215[[#This Row],[1]:[11]])-1)))</f>
        <v>0</v>
      </c>
      <c r="AC141" s="30" t="str" cm="1">
        <f t="array" ref="AC141">IF(Table21215[[#This Row],[5]]="","",Table21215[[#This Row],[Weight]:[Weight]]-(Table21215[[#This Row],[Weight]:[Weight]]*((_xlfn.XMATCH(Table21215[[#This Row],[5]],Table21215[[#This Row],[1]:[11]],0))-1)/(COUNTA(Table21215[[#This Row],[1]:[11]])-COUNTBLANK(Table21215[[#This Row],[1]:[11]])-1)))</f>
        <v/>
      </c>
      <c r="AD141" s="30" t="str" cm="1">
        <f t="array" ref="AD141">IF(Table21215[[#This Row],[6]]="","",Table21215[[#This Row],[Weight]:[Weight]]-(Table21215[[#This Row],[Weight]:[Weight]]*((_xlfn.XMATCH(Table21215[[#This Row],[6]],Table21215[[#This Row],[1]:[11]],0))-1)/(COUNTA(Table21215[[#This Row],[1]:[11]])-COUNTBLANK(Table21215[[#This Row],[1]:[11]])-1)))</f>
        <v/>
      </c>
      <c r="AE141" s="30" t="str" cm="1">
        <f t="array" ref="AE141">IF(Table21215[[#This Row],[7]]="","",Table21215[[#This Row],[Weight]:[Weight]]-(Table21215[[#This Row],[Weight]:[Weight]]*((_xlfn.XMATCH(Table21215[[#This Row],[7]],Table21215[[#This Row],[1]:[11]],0))-1)/(COUNTA(Table21215[[#This Row],[1]:[11]])-COUNTBLANK(Table21215[[#This Row],[1]:[11]])-1)))</f>
        <v/>
      </c>
      <c r="AF141" s="30" t="str" cm="1">
        <f t="array" ref="AF141">IF(Table21215[[#This Row],[8]]="","",Table21215[[#This Row],[Weight]:[Weight]]-(Table21215[[#This Row],[Weight]:[Weight]]*((_xlfn.XMATCH(Table21215[[#This Row],[8]],Table21215[[#This Row],[1]:[11]],0))-1)/(COUNTA(Table21215[[#This Row],[1]:[11]])-COUNTBLANK(Table21215[[#This Row],[1]:[11]])-1)))</f>
        <v/>
      </c>
      <c r="AG141" s="30" t="str" cm="1">
        <f t="array" ref="AG141">IF(Table21215[[#This Row],[9]]="","",Table21215[[#This Row],[Weight]:[Weight]]-(Table21215[[#This Row],[Weight]:[Weight]]*((_xlfn.XMATCH(Table21215[[#This Row],[9]],Table21215[[#This Row],[1]:[11]],0))-1)/(COUNTA(Table21215[[#This Row],[1]:[11]])-COUNTBLANK(Table21215[[#This Row],[1]:[11]])-1)))</f>
        <v/>
      </c>
      <c r="AH141" s="30" t="str" cm="1">
        <f t="array" ref="AH141">IF(Table21215[[#This Row],[10]]="","",Table21215[[#This Row],[Weight]:[Weight]]-(Table21215[[#This Row],[Weight]:[Weight]]*((_xlfn.XMATCH(Table21215[[#This Row],[10]],Table21215[[#This Row],[1]:[11]],0))-1)/(COUNTA(Table21215[[#This Row],[1]:[11]])-COUNTBLANK(Table21215[[#This Row],[1]:[11]])-1)))</f>
        <v/>
      </c>
      <c r="AI141" s="30" t="str" cm="1">
        <f t="array" ref="AI141">IF(Table21215[[#This Row],[11]]="","",Table21215[[#This Row],[Weight]:[Weight]]-(Table21215[[#This Row],[Weight]:[Weight]]*((_xlfn.XMATCH(Table21215[[#This Row],[11]],Table21215[[#This Row],[1]:[11]],0))-1)/(COUNTA(Table21215[[#This Row],[1]:[11]])-COUNTBLANK(Table21215[[#This Row],[1]:[11]])-1)))</f>
        <v/>
      </c>
    </row>
    <row r="142" spans="1:35" ht="108" x14ac:dyDescent="0.2">
      <c r="A142" s="20">
        <v>130</v>
      </c>
      <c r="B142" s="165" t="s">
        <v>959</v>
      </c>
      <c r="C142" s="21" t="s">
        <v>826</v>
      </c>
      <c r="D142" s="38"/>
      <c r="E142" s="38"/>
      <c r="F142" s="159" t="s">
        <v>60</v>
      </c>
      <c r="G142" s="160" cm="1">
        <f t="array" ref="G142">_xlfn.IFS(F142="","",F142="No interest",0,F142="Nice to have",1,F142="Useful",2,F142="Important",3,F142="Very important",4,F142="Critical",5,F142="Show stopper",6)</f>
        <v>6</v>
      </c>
      <c r="H142" s="161">
        <f t="shared" si="3"/>
        <v>4.7656870532168391E-3</v>
      </c>
      <c r="I142" s="157" t="s">
        <v>827</v>
      </c>
      <c r="J142" s="35" t="str" cm="1">
        <f t="array" ref="J142">_xlfn.TEXTJOIN(","&amp;CHAR(10),,TEXT(Table21215[[#This Row],[12]:[22]],"0,00%"))</f>
        <v>0,00%,
0,00%,
0,00%,
0,00%</v>
      </c>
      <c r="K142" s="36"/>
      <c r="L142" s="37" t="e">
        <f>H142-(H142*((MATCH(Table21215[[#This Row],[Evaluators Response (SELECT)]],Table21215[[#This Row],[1]:[11]],0)-1)/(COUNTA(Table21215[[#This Row],[1]:[11]])-COUNTBLANK(Table21215[[#This Row],[1]:[11]])-1)))</f>
        <v>#N/A</v>
      </c>
      <c r="M142" s="38"/>
      <c r="N142" s="29" t="s">
        <v>828</v>
      </c>
      <c r="O142" s="29" t="s">
        <v>829</v>
      </c>
      <c r="P142" s="29" t="s">
        <v>830</v>
      </c>
      <c r="Q142" s="29" t="str" cm="1">
        <f t="array" ref="Q142">IFERROR(INDEX(_xlfn.UNIQUE(TRIM(_xlfn.TEXTSPLIT(Table21215[[#This Row],[Selection Options]:[Selection Options]],","))),,Q$11),"")</f>
        <v xml:space="preserve">
 0%: Not currently supported</v>
      </c>
      <c r="R142" s="29" t="str" cm="1">
        <f t="array" ref="R142">IFERROR(INDEX(_xlfn.UNIQUE(TRIM(_xlfn.TEXTSPLIT(Table21215[[#This Row],[Selection Options]:[Selection Options]],","))),,R$11),"")</f>
        <v/>
      </c>
      <c r="S142" s="29" t="str" cm="1">
        <f t="array" ref="S142">IFERROR(INDEX(_xlfn.UNIQUE(TRIM(_xlfn.TEXTSPLIT(Table21215[[#This Row],[Selection Options]:[Selection Options]],","))),,S$11),"")</f>
        <v/>
      </c>
      <c r="T142" s="29" t="str" cm="1">
        <f t="array" ref="T142">IFERROR(INDEX(_xlfn.UNIQUE(TRIM(_xlfn.TEXTSPLIT(Table21215[[#This Row],[Selection Options]:[Selection Options]],","))),,T$11),"")</f>
        <v/>
      </c>
      <c r="U142" s="29" t="str" cm="1">
        <f t="array" ref="U142">IFERROR(INDEX(_xlfn.UNIQUE(TRIM(_xlfn.TEXTSPLIT(Table21215[[#This Row],[Selection Options]:[Selection Options]],","))),,U$11),"")</f>
        <v/>
      </c>
      <c r="V142" s="29" t="str" cm="1">
        <f t="array" ref="V142">IFERROR(INDEX(_xlfn.UNIQUE(TRIM(_xlfn.TEXTSPLIT(Table21215[[#This Row],[Selection Options]:[Selection Options]],","))),,V$11),"")</f>
        <v/>
      </c>
      <c r="W142" s="29" t="str" cm="1">
        <f t="array" ref="W142">IFERROR(INDEX(_xlfn.UNIQUE(TRIM(_xlfn.TEXTSPLIT(Table21215[[#This Row],[Selection Options]:[Selection Options]],","))),,W$11),"")</f>
        <v/>
      </c>
      <c r="X142" s="29" t="str" cm="1">
        <f t="array" ref="X142">IFERROR(INDEX(_xlfn.UNIQUE(TRIM(_xlfn.TEXTSPLIT(Table21215[[#This Row],[Selection Options]:[Selection Options]],","))),,X$11),"")</f>
        <v/>
      </c>
      <c r="Y142" s="30" cm="1">
        <f t="array" ref="Y142">IF(Table21215[[#This Row],[1]]="","",Table21215[[#This Row],[Weight]:[Weight]]-(Table21215[[#This Row],[Weight]:[Weight]]*((_xlfn.XMATCH(Table21215[[#This Row],[1]],Table21215[[#This Row],[1]:[11]],0))-1)/(COUNTA(Table21215[[#This Row],[1]:[11]])-COUNTBLANK(Table21215[[#This Row],[1]:[11]])-1)))</f>
        <v>4.7656870532168391E-3</v>
      </c>
      <c r="Z142" s="30" cm="1">
        <f t="array" ref="Z142">IF(Table21215[[#This Row],[2]]="","",Table21215[[#This Row],[Weight]:[Weight]]-(Table21215[[#This Row],[Weight]:[Weight]]*((_xlfn.XMATCH(Table21215[[#This Row],[2]],Table21215[[#This Row],[1]:[11]],0))-1)/(COUNTA(Table21215[[#This Row],[1]:[11]])-COUNTBLANK(Table21215[[#This Row],[1]:[11]])-1)))</f>
        <v>3.1771247021445594E-3</v>
      </c>
      <c r="AA142" s="30" cm="1">
        <f t="array" ref="AA142">IF(Table21215[[#This Row],[3]]="","",Table21215[[#This Row],[Weight]:[Weight]]-(Table21215[[#This Row],[Weight]:[Weight]]*((_xlfn.XMATCH(Table21215[[#This Row],[3]],Table21215[[#This Row],[1]:[11]],0))-1)/(COUNTA(Table21215[[#This Row],[1]:[11]])-COUNTBLANK(Table21215[[#This Row],[1]:[11]])-1)))</f>
        <v>1.5885623510722797E-3</v>
      </c>
      <c r="AB142" s="30" cm="1">
        <f t="array" ref="AB142">IF(Table21215[[#This Row],[4]]="","",Table21215[[#This Row],[Weight]:[Weight]]-(Table21215[[#This Row],[Weight]:[Weight]]*((_xlfn.XMATCH(Table21215[[#This Row],[4]],Table21215[[#This Row],[1]:[11]],0))-1)/(COUNTA(Table21215[[#This Row],[1]:[11]])-COUNTBLANK(Table21215[[#This Row],[1]:[11]])-1)))</f>
        <v>0</v>
      </c>
      <c r="AC142" s="30" t="str" cm="1">
        <f t="array" ref="AC142">IF(Table21215[[#This Row],[5]]="","",Table21215[[#This Row],[Weight]:[Weight]]-(Table21215[[#This Row],[Weight]:[Weight]]*((_xlfn.XMATCH(Table21215[[#This Row],[5]],Table21215[[#This Row],[1]:[11]],0))-1)/(COUNTA(Table21215[[#This Row],[1]:[11]])-COUNTBLANK(Table21215[[#This Row],[1]:[11]])-1)))</f>
        <v/>
      </c>
      <c r="AD142" s="30" t="str" cm="1">
        <f t="array" ref="AD142">IF(Table21215[[#This Row],[6]]="","",Table21215[[#This Row],[Weight]:[Weight]]-(Table21215[[#This Row],[Weight]:[Weight]]*((_xlfn.XMATCH(Table21215[[#This Row],[6]],Table21215[[#This Row],[1]:[11]],0))-1)/(COUNTA(Table21215[[#This Row],[1]:[11]])-COUNTBLANK(Table21215[[#This Row],[1]:[11]])-1)))</f>
        <v/>
      </c>
      <c r="AE142" s="30" t="str" cm="1">
        <f t="array" ref="AE142">IF(Table21215[[#This Row],[7]]="","",Table21215[[#This Row],[Weight]:[Weight]]-(Table21215[[#This Row],[Weight]:[Weight]]*((_xlfn.XMATCH(Table21215[[#This Row],[7]],Table21215[[#This Row],[1]:[11]],0))-1)/(COUNTA(Table21215[[#This Row],[1]:[11]])-COUNTBLANK(Table21215[[#This Row],[1]:[11]])-1)))</f>
        <v/>
      </c>
      <c r="AF142" s="30" t="str" cm="1">
        <f t="array" ref="AF142">IF(Table21215[[#This Row],[8]]="","",Table21215[[#This Row],[Weight]:[Weight]]-(Table21215[[#This Row],[Weight]:[Weight]]*((_xlfn.XMATCH(Table21215[[#This Row],[8]],Table21215[[#This Row],[1]:[11]],0))-1)/(COUNTA(Table21215[[#This Row],[1]:[11]])-COUNTBLANK(Table21215[[#This Row],[1]:[11]])-1)))</f>
        <v/>
      </c>
      <c r="AG142" s="30" t="str" cm="1">
        <f t="array" ref="AG142">IF(Table21215[[#This Row],[9]]="","",Table21215[[#This Row],[Weight]:[Weight]]-(Table21215[[#This Row],[Weight]:[Weight]]*((_xlfn.XMATCH(Table21215[[#This Row],[9]],Table21215[[#This Row],[1]:[11]],0))-1)/(COUNTA(Table21215[[#This Row],[1]:[11]])-COUNTBLANK(Table21215[[#This Row],[1]:[11]])-1)))</f>
        <v/>
      </c>
      <c r="AH142" s="30" t="str" cm="1">
        <f t="array" ref="AH142">IF(Table21215[[#This Row],[10]]="","",Table21215[[#This Row],[Weight]:[Weight]]-(Table21215[[#This Row],[Weight]:[Weight]]*((_xlfn.XMATCH(Table21215[[#This Row],[10]],Table21215[[#This Row],[1]:[11]],0))-1)/(COUNTA(Table21215[[#This Row],[1]:[11]])-COUNTBLANK(Table21215[[#This Row],[1]:[11]])-1)))</f>
        <v/>
      </c>
      <c r="AI142" s="30" t="str" cm="1">
        <f t="array" ref="AI142">IF(Table21215[[#This Row],[11]]="","",Table21215[[#This Row],[Weight]:[Weight]]-(Table21215[[#This Row],[Weight]:[Weight]]*((_xlfn.XMATCH(Table21215[[#This Row],[11]],Table21215[[#This Row],[1]:[11]],0))-1)/(COUNTA(Table21215[[#This Row],[1]:[11]])-COUNTBLANK(Table21215[[#This Row],[1]:[11]])-1)))</f>
        <v/>
      </c>
    </row>
    <row r="143" spans="1:35" ht="108" x14ac:dyDescent="0.2">
      <c r="A143" s="20">
        <v>131</v>
      </c>
      <c r="B143" s="165" t="s">
        <v>960</v>
      </c>
      <c r="C143" s="21" t="s">
        <v>826</v>
      </c>
      <c r="D143" s="38"/>
      <c r="E143" s="38"/>
      <c r="F143" s="159" t="s">
        <v>60</v>
      </c>
      <c r="G143" s="160" cm="1">
        <f t="array" ref="G143">_xlfn.IFS(F143="","",F143="No interest",0,F143="Nice to have",1,F143="Useful",2,F143="Important",3,F143="Very important",4,F143="Critical",5,F143="Show stopper",6)</f>
        <v>6</v>
      </c>
      <c r="H143" s="161">
        <f t="shared" si="3"/>
        <v>4.7656870532168391E-3</v>
      </c>
      <c r="I143" s="157" t="s">
        <v>827</v>
      </c>
      <c r="J143" s="35" t="str" cm="1">
        <f t="array" ref="J143">_xlfn.TEXTJOIN(","&amp;CHAR(10),,TEXT(Table21215[[#This Row],[12]:[22]],"0,00%"))</f>
        <v>0,00%,
0,00%,
0,00%,
0,00%</v>
      </c>
      <c r="K143" s="36"/>
      <c r="L143" s="37" t="e">
        <f>H143-(H143*((MATCH(Table21215[[#This Row],[Evaluators Response (SELECT)]],Table21215[[#This Row],[1]:[11]],0)-1)/(COUNTA(Table21215[[#This Row],[1]:[11]])-COUNTBLANK(Table21215[[#This Row],[1]:[11]])-1)))</f>
        <v>#N/A</v>
      </c>
      <c r="M143" s="38"/>
      <c r="N143" s="29" t="s">
        <v>828</v>
      </c>
      <c r="O143" s="29" t="s">
        <v>829</v>
      </c>
      <c r="P143" s="29" t="s">
        <v>830</v>
      </c>
      <c r="Q143" s="29" t="str" cm="1">
        <f t="array" ref="Q143">IFERROR(INDEX(_xlfn.UNIQUE(TRIM(_xlfn.TEXTSPLIT(Table21215[[#This Row],[Selection Options]:[Selection Options]],","))),,Q$11),"")</f>
        <v xml:space="preserve">
 0%: Not currently supported</v>
      </c>
      <c r="R143" s="29" t="str" cm="1">
        <f t="array" ref="R143">IFERROR(INDEX(_xlfn.UNIQUE(TRIM(_xlfn.TEXTSPLIT(Table21215[[#This Row],[Selection Options]:[Selection Options]],","))),,R$11),"")</f>
        <v/>
      </c>
      <c r="S143" s="29" t="str" cm="1">
        <f t="array" ref="S143">IFERROR(INDEX(_xlfn.UNIQUE(TRIM(_xlfn.TEXTSPLIT(Table21215[[#This Row],[Selection Options]:[Selection Options]],","))),,S$11),"")</f>
        <v/>
      </c>
      <c r="T143" s="29" t="str" cm="1">
        <f t="array" ref="T143">IFERROR(INDEX(_xlfn.UNIQUE(TRIM(_xlfn.TEXTSPLIT(Table21215[[#This Row],[Selection Options]:[Selection Options]],","))),,T$11),"")</f>
        <v/>
      </c>
      <c r="U143" s="29" t="str" cm="1">
        <f t="array" ref="U143">IFERROR(INDEX(_xlfn.UNIQUE(TRIM(_xlfn.TEXTSPLIT(Table21215[[#This Row],[Selection Options]:[Selection Options]],","))),,U$11),"")</f>
        <v/>
      </c>
      <c r="V143" s="29" t="str" cm="1">
        <f t="array" ref="V143">IFERROR(INDEX(_xlfn.UNIQUE(TRIM(_xlfn.TEXTSPLIT(Table21215[[#This Row],[Selection Options]:[Selection Options]],","))),,V$11),"")</f>
        <v/>
      </c>
      <c r="W143" s="29" t="str" cm="1">
        <f t="array" ref="W143">IFERROR(INDEX(_xlfn.UNIQUE(TRIM(_xlfn.TEXTSPLIT(Table21215[[#This Row],[Selection Options]:[Selection Options]],","))),,W$11),"")</f>
        <v/>
      </c>
      <c r="X143" s="29" t="str" cm="1">
        <f t="array" ref="X143">IFERROR(INDEX(_xlfn.UNIQUE(TRIM(_xlfn.TEXTSPLIT(Table21215[[#This Row],[Selection Options]:[Selection Options]],","))),,X$11),"")</f>
        <v/>
      </c>
      <c r="Y143" s="30" cm="1">
        <f t="array" ref="Y143">IF(Table21215[[#This Row],[1]]="","",Table21215[[#This Row],[Weight]:[Weight]]-(Table21215[[#This Row],[Weight]:[Weight]]*((_xlfn.XMATCH(Table21215[[#This Row],[1]],Table21215[[#This Row],[1]:[11]],0))-1)/(COUNTA(Table21215[[#This Row],[1]:[11]])-COUNTBLANK(Table21215[[#This Row],[1]:[11]])-1)))</f>
        <v>4.7656870532168391E-3</v>
      </c>
      <c r="Z143" s="30" cm="1">
        <f t="array" ref="Z143">IF(Table21215[[#This Row],[2]]="","",Table21215[[#This Row],[Weight]:[Weight]]-(Table21215[[#This Row],[Weight]:[Weight]]*((_xlfn.XMATCH(Table21215[[#This Row],[2]],Table21215[[#This Row],[1]:[11]],0))-1)/(COUNTA(Table21215[[#This Row],[1]:[11]])-COUNTBLANK(Table21215[[#This Row],[1]:[11]])-1)))</f>
        <v>3.1771247021445594E-3</v>
      </c>
      <c r="AA143" s="30" cm="1">
        <f t="array" ref="AA143">IF(Table21215[[#This Row],[3]]="","",Table21215[[#This Row],[Weight]:[Weight]]-(Table21215[[#This Row],[Weight]:[Weight]]*((_xlfn.XMATCH(Table21215[[#This Row],[3]],Table21215[[#This Row],[1]:[11]],0))-1)/(COUNTA(Table21215[[#This Row],[1]:[11]])-COUNTBLANK(Table21215[[#This Row],[1]:[11]])-1)))</f>
        <v>1.5885623510722797E-3</v>
      </c>
      <c r="AB143" s="30" cm="1">
        <f t="array" ref="AB143">IF(Table21215[[#This Row],[4]]="","",Table21215[[#This Row],[Weight]:[Weight]]-(Table21215[[#This Row],[Weight]:[Weight]]*((_xlfn.XMATCH(Table21215[[#This Row],[4]],Table21215[[#This Row],[1]:[11]],0))-1)/(COUNTA(Table21215[[#This Row],[1]:[11]])-COUNTBLANK(Table21215[[#This Row],[1]:[11]])-1)))</f>
        <v>0</v>
      </c>
      <c r="AC143" s="30" t="str" cm="1">
        <f t="array" ref="AC143">IF(Table21215[[#This Row],[5]]="","",Table21215[[#This Row],[Weight]:[Weight]]-(Table21215[[#This Row],[Weight]:[Weight]]*((_xlfn.XMATCH(Table21215[[#This Row],[5]],Table21215[[#This Row],[1]:[11]],0))-1)/(COUNTA(Table21215[[#This Row],[1]:[11]])-COUNTBLANK(Table21215[[#This Row],[1]:[11]])-1)))</f>
        <v/>
      </c>
      <c r="AD143" s="30" t="str" cm="1">
        <f t="array" ref="AD143">IF(Table21215[[#This Row],[6]]="","",Table21215[[#This Row],[Weight]:[Weight]]-(Table21215[[#This Row],[Weight]:[Weight]]*((_xlfn.XMATCH(Table21215[[#This Row],[6]],Table21215[[#This Row],[1]:[11]],0))-1)/(COUNTA(Table21215[[#This Row],[1]:[11]])-COUNTBLANK(Table21215[[#This Row],[1]:[11]])-1)))</f>
        <v/>
      </c>
      <c r="AE143" s="30" t="str" cm="1">
        <f t="array" ref="AE143">IF(Table21215[[#This Row],[7]]="","",Table21215[[#This Row],[Weight]:[Weight]]-(Table21215[[#This Row],[Weight]:[Weight]]*((_xlfn.XMATCH(Table21215[[#This Row],[7]],Table21215[[#This Row],[1]:[11]],0))-1)/(COUNTA(Table21215[[#This Row],[1]:[11]])-COUNTBLANK(Table21215[[#This Row],[1]:[11]])-1)))</f>
        <v/>
      </c>
      <c r="AF143" s="30" t="str" cm="1">
        <f t="array" ref="AF143">IF(Table21215[[#This Row],[8]]="","",Table21215[[#This Row],[Weight]:[Weight]]-(Table21215[[#This Row],[Weight]:[Weight]]*((_xlfn.XMATCH(Table21215[[#This Row],[8]],Table21215[[#This Row],[1]:[11]],0))-1)/(COUNTA(Table21215[[#This Row],[1]:[11]])-COUNTBLANK(Table21215[[#This Row],[1]:[11]])-1)))</f>
        <v/>
      </c>
      <c r="AG143" s="30" t="str" cm="1">
        <f t="array" ref="AG143">IF(Table21215[[#This Row],[9]]="","",Table21215[[#This Row],[Weight]:[Weight]]-(Table21215[[#This Row],[Weight]:[Weight]]*((_xlfn.XMATCH(Table21215[[#This Row],[9]],Table21215[[#This Row],[1]:[11]],0))-1)/(COUNTA(Table21215[[#This Row],[1]:[11]])-COUNTBLANK(Table21215[[#This Row],[1]:[11]])-1)))</f>
        <v/>
      </c>
      <c r="AH143" s="30" t="str" cm="1">
        <f t="array" ref="AH143">IF(Table21215[[#This Row],[10]]="","",Table21215[[#This Row],[Weight]:[Weight]]-(Table21215[[#This Row],[Weight]:[Weight]]*((_xlfn.XMATCH(Table21215[[#This Row],[10]],Table21215[[#This Row],[1]:[11]],0))-1)/(COUNTA(Table21215[[#This Row],[1]:[11]])-COUNTBLANK(Table21215[[#This Row],[1]:[11]])-1)))</f>
        <v/>
      </c>
      <c r="AI143" s="30" t="str" cm="1">
        <f t="array" ref="AI143">IF(Table21215[[#This Row],[11]]="","",Table21215[[#This Row],[Weight]:[Weight]]-(Table21215[[#This Row],[Weight]:[Weight]]*((_xlfn.XMATCH(Table21215[[#This Row],[11]],Table21215[[#This Row],[1]:[11]],0))-1)/(COUNTA(Table21215[[#This Row],[1]:[11]])-COUNTBLANK(Table21215[[#This Row],[1]:[11]])-1)))</f>
        <v/>
      </c>
    </row>
    <row r="144" spans="1:35" ht="108" x14ac:dyDescent="0.2">
      <c r="A144" s="20">
        <v>132</v>
      </c>
      <c r="B144" s="165" t="s">
        <v>961</v>
      </c>
      <c r="C144" s="21" t="s">
        <v>826</v>
      </c>
      <c r="D144" s="38"/>
      <c r="E144" s="38"/>
      <c r="F144" s="159" t="s">
        <v>60</v>
      </c>
      <c r="G144" s="160" cm="1">
        <f t="array" ref="G144">_xlfn.IFS(F144="","",F144="No interest",0,F144="Nice to have",1,F144="Useful",2,F144="Important",3,F144="Very important",4,F144="Critical",5,F144="Show stopper",6)</f>
        <v>6</v>
      </c>
      <c r="H144" s="161">
        <f t="shared" si="3"/>
        <v>4.7656870532168391E-3</v>
      </c>
      <c r="I144" s="157" t="s">
        <v>827</v>
      </c>
      <c r="J144" s="35" t="str" cm="1">
        <f t="array" ref="J144">_xlfn.TEXTJOIN(","&amp;CHAR(10),,TEXT(Table21215[[#This Row],[12]:[22]],"0,00%"))</f>
        <v>0,00%,
0,00%,
0,00%,
0,00%</v>
      </c>
      <c r="K144" s="36"/>
      <c r="L144" s="37" t="e">
        <f>H144-(H144*((MATCH(Table21215[[#This Row],[Evaluators Response (SELECT)]],Table21215[[#This Row],[1]:[11]],0)-1)/(COUNTA(Table21215[[#This Row],[1]:[11]])-COUNTBLANK(Table21215[[#This Row],[1]:[11]])-1)))</f>
        <v>#N/A</v>
      </c>
      <c r="M144" s="38"/>
      <c r="N144" s="29" t="s">
        <v>828</v>
      </c>
      <c r="O144" s="29" t="s">
        <v>829</v>
      </c>
      <c r="P144" s="29" t="s">
        <v>830</v>
      </c>
      <c r="Q144" s="29" t="str" cm="1">
        <f t="array" ref="Q144">IFERROR(INDEX(_xlfn.UNIQUE(TRIM(_xlfn.TEXTSPLIT(Table21215[[#This Row],[Selection Options]:[Selection Options]],","))),,Q$11),"")</f>
        <v xml:space="preserve">
 0%: Not currently supported</v>
      </c>
      <c r="R144" s="29" t="str" cm="1">
        <f t="array" ref="R144">IFERROR(INDEX(_xlfn.UNIQUE(TRIM(_xlfn.TEXTSPLIT(Table21215[[#This Row],[Selection Options]:[Selection Options]],","))),,R$11),"")</f>
        <v/>
      </c>
      <c r="S144" s="29" t="str" cm="1">
        <f t="array" ref="S144">IFERROR(INDEX(_xlfn.UNIQUE(TRIM(_xlfn.TEXTSPLIT(Table21215[[#This Row],[Selection Options]:[Selection Options]],","))),,S$11),"")</f>
        <v/>
      </c>
      <c r="T144" s="29" t="str" cm="1">
        <f t="array" ref="T144">IFERROR(INDEX(_xlfn.UNIQUE(TRIM(_xlfn.TEXTSPLIT(Table21215[[#This Row],[Selection Options]:[Selection Options]],","))),,T$11),"")</f>
        <v/>
      </c>
      <c r="U144" s="29" t="str" cm="1">
        <f t="array" ref="U144">IFERROR(INDEX(_xlfn.UNIQUE(TRIM(_xlfn.TEXTSPLIT(Table21215[[#This Row],[Selection Options]:[Selection Options]],","))),,U$11),"")</f>
        <v/>
      </c>
      <c r="V144" s="29" t="str" cm="1">
        <f t="array" ref="V144">IFERROR(INDEX(_xlfn.UNIQUE(TRIM(_xlfn.TEXTSPLIT(Table21215[[#This Row],[Selection Options]:[Selection Options]],","))),,V$11),"")</f>
        <v/>
      </c>
      <c r="W144" s="29" t="str" cm="1">
        <f t="array" ref="W144">IFERROR(INDEX(_xlfn.UNIQUE(TRIM(_xlfn.TEXTSPLIT(Table21215[[#This Row],[Selection Options]:[Selection Options]],","))),,W$11),"")</f>
        <v/>
      </c>
      <c r="X144" s="29" t="str" cm="1">
        <f t="array" ref="X144">IFERROR(INDEX(_xlfn.UNIQUE(TRIM(_xlfn.TEXTSPLIT(Table21215[[#This Row],[Selection Options]:[Selection Options]],","))),,X$11),"")</f>
        <v/>
      </c>
      <c r="Y144" s="30" cm="1">
        <f t="array" ref="Y144">IF(Table21215[[#This Row],[1]]="","",Table21215[[#This Row],[Weight]:[Weight]]-(Table21215[[#This Row],[Weight]:[Weight]]*((_xlfn.XMATCH(Table21215[[#This Row],[1]],Table21215[[#This Row],[1]:[11]],0))-1)/(COUNTA(Table21215[[#This Row],[1]:[11]])-COUNTBLANK(Table21215[[#This Row],[1]:[11]])-1)))</f>
        <v>4.7656870532168391E-3</v>
      </c>
      <c r="Z144" s="30" cm="1">
        <f t="array" ref="Z144">IF(Table21215[[#This Row],[2]]="","",Table21215[[#This Row],[Weight]:[Weight]]-(Table21215[[#This Row],[Weight]:[Weight]]*((_xlfn.XMATCH(Table21215[[#This Row],[2]],Table21215[[#This Row],[1]:[11]],0))-1)/(COUNTA(Table21215[[#This Row],[1]:[11]])-COUNTBLANK(Table21215[[#This Row],[1]:[11]])-1)))</f>
        <v>3.1771247021445594E-3</v>
      </c>
      <c r="AA144" s="30" cm="1">
        <f t="array" ref="AA144">IF(Table21215[[#This Row],[3]]="","",Table21215[[#This Row],[Weight]:[Weight]]-(Table21215[[#This Row],[Weight]:[Weight]]*((_xlfn.XMATCH(Table21215[[#This Row],[3]],Table21215[[#This Row],[1]:[11]],0))-1)/(COUNTA(Table21215[[#This Row],[1]:[11]])-COUNTBLANK(Table21215[[#This Row],[1]:[11]])-1)))</f>
        <v>1.5885623510722797E-3</v>
      </c>
      <c r="AB144" s="30" cm="1">
        <f t="array" ref="AB144">IF(Table21215[[#This Row],[4]]="","",Table21215[[#This Row],[Weight]:[Weight]]-(Table21215[[#This Row],[Weight]:[Weight]]*((_xlfn.XMATCH(Table21215[[#This Row],[4]],Table21215[[#This Row],[1]:[11]],0))-1)/(COUNTA(Table21215[[#This Row],[1]:[11]])-COUNTBLANK(Table21215[[#This Row],[1]:[11]])-1)))</f>
        <v>0</v>
      </c>
      <c r="AC144" s="30" t="str" cm="1">
        <f t="array" ref="AC144">IF(Table21215[[#This Row],[5]]="","",Table21215[[#This Row],[Weight]:[Weight]]-(Table21215[[#This Row],[Weight]:[Weight]]*((_xlfn.XMATCH(Table21215[[#This Row],[5]],Table21215[[#This Row],[1]:[11]],0))-1)/(COUNTA(Table21215[[#This Row],[1]:[11]])-COUNTBLANK(Table21215[[#This Row],[1]:[11]])-1)))</f>
        <v/>
      </c>
      <c r="AD144" s="30" t="str" cm="1">
        <f t="array" ref="AD144">IF(Table21215[[#This Row],[6]]="","",Table21215[[#This Row],[Weight]:[Weight]]-(Table21215[[#This Row],[Weight]:[Weight]]*((_xlfn.XMATCH(Table21215[[#This Row],[6]],Table21215[[#This Row],[1]:[11]],0))-1)/(COUNTA(Table21215[[#This Row],[1]:[11]])-COUNTBLANK(Table21215[[#This Row],[1]:[11]])-1)))</f>
        <v/>
      </c>
      <c r="AE144" s="30" t="str" cm="1">
        <f t="array" ref="AE144">IF(Table21215[[#This Row],[7]]="","",Table21215[[#This Row],[Weight]:[Weight]]-(Table21215[[#This Row],[Weight]:[Weight]]*((_xlfn.XMATCH(Table21215[[#This Row],[7]],Table21215[[#This Row],[1]:[11]],0))-1)/(COUNTA(Table21215[[#This Row],[1]:[11]])-COUNTBLANK(Table21215[[#This Row],[1]:[11]])-1)))</f>
        <v/>
      </c>
      <c r="AF144" s="30" t="str" cm="1">
        <f t="array" ref="AF144">IF(Table21215[[#This Row],[8]]="","",Table21215[[#This Row],[Weight]:[Weight]]-(Table21215[[#This Row],[Weight]:[Weight]]*((_xlfn.XMATCH(Table21215[[#This Row],[8]],Table21215[[#This Row],[1]:[11]],0))-1)/(COUNTA(Table21215[[#This Row],[1]:[11]])-COUNTBLANK(Table21215[[#This Row],[1]:[11]])-1)))</f>
        <v/>
      </c>
      <c r="AG144" s="30" t="str" cm="1">
        <f t="array" ref="AG144">IF(Table21215[[#This Row],[9]]="","",Table21215[[#This Row],[Weight]:[Weight]]-(Table21215[[#This Row],[Weight]:[Weight]]*((_xlfn.XMATCH(Table21215[[#This Row],[9]],Table21215[[#This Row],[1]:[11]],0))-1)/(COUNTA(Table21215[[#This Row],[1]:[11]])-COUNTBLANK(Table21215[[#This Row],[1]:[11]])-1)))</f>
        <v/>
      </c>
      <c r="AH144" s="30" t="str" cm="1">
        <f t="array" ref="AH144">IF(Table21215[[#This Row],[10]]="","",Table21215[[#This Row],[Weight]:[Weight]]-(Table21215[[#This Row],[Weight]:[Weight]]*((_xlfn.XMATCH(Table21215[[#This Row],[10]],Table21215[[#This Row],[1]:[11]],0))-1)/(COUNTA(Table21215[[#This Row],[1]:[11]])-COUNTBLANK(Table21215[[#This Row],[1]:[11]])-1)))</f>
        <v/>
      </c>
      <c r="AI144" s="30" t="str" cm="1">
        <f t="array" ref="AI144">IF(Table21215[[#This Row],[11]]="","",Table21215[[#This Row],[Weight]:[Weight]]-(Table21215[[#This Row],[Weight]:[Weight]]*((_xlfn.XMATCH(Table21215[[#This Row],[11]],Table21215[[#This Row],[1]:[11]],0))-1)/(COUNTA(Table21215[[#This Row],[1]:[11]])-COUNTBLANK(Table21215[[#This Row],[1]:[11]])-1)))</f>
        <v/>
      </c>
    </row>
    <row r="145" spans="1:35" ht="108" x14ac:dyDescent="0.2">
      <c r="A145" s="20">
        <v>133</v>
      </c>
      <c r="B145" s="165" t="s">
        <v>962</v>
      </c>
      <c r="C145" s="21" t="s">
        <v>826</v>
      </c>
      <c r="D145" s="38"/>
      <c r="E145" s="38"/>
      <c r="F145" s="159" t="s">
        <v>60</v>
      </c>
      <c r="G145" s="160" cm="1">
        <f t="array" ref="G145">_xlfn.IFS(F145="","",F145="No interest",0,F145="Nice to have",1,F145="Useful",2,F145="Important",3,F145="Very important",4,F145="Critical",5,F145="Show stopper",6)</f>
        <v>6</v>
      </c>
      <c r="H145" s="161">
        <f t="shared" si="3"/>
        <v>4.7656870532168391E-3</v>
      </c>
      <c r="I145" s="157" t="s">
        <v>827</v>
      </c>
      <c r="J145" s="35" t="str" cm="1">
        <f t="array" ref="J145">_xlfn.TEXTJOIN(","&amp;CHAR(10),,TEXT(Table21215[[#This Row],[12]:[22]],"0,00%"))</f>
        <v>0,00%,
0,00%,
0,00%,
0,00%</v>
      </c>
      <c r="K145" s="36"/>
      <c r="L145" s="37" t="e">
        <f>H145-(H145*((MATCH(Table21215[[#This Row],[Evaluators Response (SELECT)]],Table21215[[#This Row],[1]:[11]],0)-1)/(COUNTA(Table21215[[#This Row],[1]:[11]])-COUNTBLANK(Table21215[[#This Row],[1]:[11]])-1)))</f>
        <v>#N/A</v>
      </c>
      <c r="M145" s="38"/>
      <c r="N145" s="29" t="s">
        <v>828</v>
      </c>
      <c r="O145" s="29" t="s">
        <v>829</v>
      </c>
      <c r="P145" s="29" t="s">
        <v>830</v>
      </c>
      <c r="Q145" s="29" t="str" cm="1">
        <f t="array" ref="Q145">IFERROR(INDEX(_xlfn.UNIQUE(TRIM(_xlfn.TEXTSPLIT(Table21215[[#This Row],[Selection Options]:[Selection Options]],","))),,Q$11),"")</f>
        <v xml:space="preserve">
 0%: Not currently supported</v>
      </c>
      <c r="R145" s="29" t="str" cm="1">
        <f t="array" ref="R145">IFERROR(INDEX(_xlfn.UNIQUE(TRIM(_xlfn.TEXTSPLIT(Table21215[[#This Row],[Selection Options]:[Selection Options]],","))),,R$11),"")</f>
        <v/>
      </c>
      <c r="S145" s="29" t="str" cm="1">
        <f t="array" ref="S145">IFERROR(INDEX(_xlfn.UNIQUE(TRIM(_xlfn.TEXTSPLIT(Table21215[[#This Row],[Selection Options]:[Selection Options]],","))),,S$11),"")</f>
        <v/>
      </c>
      <c r="T145" s="29" t="str" cm="1">
        <f t="array" ref="T145">IFERROR(INDEX(_xlfn.UNIQUE(TRIM(_xlfn.TEXTSPLIT(Table21215[[#This Row],[Selection Options]:[Selection Options]],","))),,T$11),"")</f>
        <v/>
      </c>
      <c r="U145" s="29" t="str" cm="1">
        <f t="array" ref="U145">IFERROR(INDEX(_xlfn.UNIQUE(TRIM(_xlfn.TEXTSPLIT(Table21215[[#This Row],[Selection Options]:[Selection Options]],","))),,U$11),"")</f>
        <v/>
      </c>
      <c r="V145" s="29" t="str" cm="1">
        <f t="array" ref="V145">IFERROR(INDEX(_xlfn.UNIQUE(TRIM(_xlfn.TEXTSPLIT(Table21215[[#This Row],[Selection Options]:[Selection Options]],","))),,V$11),"")</f>
        <v/>
      </c>
      <c r="W145" s="29" t="str" cm="1">
        <f t="array" ref="W145">IFERROR(INDEX(_xlfn.UNIQUE(TRIM(_xlfn.TEXTSPLIT(Table21215[[#This Row],[Selection Options]:[Selection Options]],","))),,W$11),"")</f>
        <v/>
      </c>
      <c r="X145" s="29" t="str" cm="1">
        <f t="array" ref="X145">IFERROR(INDEX(_xlfn.UNIQUE(TRIM(_xlfn.TEXTSPLIT(Table21215[[#This Row],[Selection Options]:[Selection Options]],","))),,X$11),"")</f>
        <v/>
      </c>
      <c r="Y145" s="30" cm="1">
        <f t="array" ref="Y145">IF(Table21215[[#This Row],[1]]="","",Table21215[[#This Row],[Weight]:[Weight]]-(Table21215[[#This Row],[Weight]:[Weight]]*((_xlfn.XMATCH(Table21215[[#This Row],[1]],Table21215[[#This Row],[1]:[11]],0))-1)/(COUNTA(Table21215[[#This Row],[1]:[11]])-COUNTBLANK(Table21215[[#This Row],[1]:[11]])-1)))</f>
        <v>4.7656870532168391E-3</v>
      </c>
      <c r="Z145" s="30" cm="1">
        <f t="array" ref="Z145">IF(Table21215[[#This Row],[2]]="","",Table21215[[#This Row],[Weight]:[Weight]]-(Table21215[[#This Row],[Weight]:[Weight]]*((_xlfn.XMATCH(Table21215[[#This Row],[2]],Table21215[[#This Row],[1]:[11]],0))-1)/(COUNTA(Table21215[[#This Row],[1]:[11]])-COUNTBLANK(Table21215[[#This Row],[1]:[11]])-1)))</f>
        <v>3.1771247021445594E-3</v>
      </c>
      <c r="AA145" s="30" cm="1">
        <f t="array" ref="AA145">IF(Table21215[[#This Row],[3]]="","",Table21215[[#This Row],[Weight]:[Weight]]-(Table21215[[#This Row],[Weight]:[Weight]]*((_xlfn.XMATCH(Table21215[[#This Row],[3]],Table21215[[#This Row],[1]:[11]],0))-1)/(COUNTA(Table21215[[#This Row],[1]:[11]])-COUNTBLANK(Table21215[[#This Row],[1]:[11]])-1)))</f>
        <v>1.5885623510722797E-3</v>
      </c>
      <c r="AB145" s="30" cm="1">
        <f t="array" ref="AB145">IF(Table21215[[#This Row],[4]]="","",Table21215[[#This Row],[Weight]:[Weight]]-(Table21215[[#This Row],[Weight]:[Weight]]*((_xlfn.XMATCH(Table21215[[#This Row],[4]],Table21215[[#This Row],[1]:[11]],0))-1)/(COUNTA(Table21215[[#This Row],[1]:[11]])-COUNTBLANK(Table21215[[#This Row],[1]:[11]])-1)))</f>
        <v>0</v>
      </c>
      <c r="AC145" s="30" t="str" cm="1">
        <f t="array" ref="AC145">IF(Table21215[[#This Row],[5]]="","",Table21215[[#This Row],[Weight]:[Weight]]-(Table21215[[#This Row],[Weight]:[Weight]]*((_xlfn.XMATCH(Table21215[[#This Row],[5]],Table21215[[#This Row],[1]:[11]],0))-1)/(COUNTA(Table21215[[#This Row],[1]:[11]])-COUNTBLANK(Table21215[[#This Row],[1]:[11]])-1)))</f>
        <v/>
      </c>
      <c r="AD145" s="30" t="str" cm="1">
        <f t="array" ref="AD145">IF(Table21215[[#This Row],[6]]="","",Table21215[[#This Row],[Weight]:[Weight]]-(Table21215[[#This Row],[Weight]:[Weight]]*((_xlfn.XMATCH(Table21215[[#This Row],[6]],Table21215[[#This Row],[1]:[11]],0))-1)/(COUNTA(Table21215[[#This Row],[1]:[11]])-COUNTBLANK(Table21215[[#This Row],[1]:[11]])-1)))</f>
        <v/>
      </c>
      <c r="AE145" s="30" t="str" cm="1">
        <f t="array" ref="AE145">IF(Table21215[[#This Row],[7]]="","",Table21215[[#This Row],[Weight]:[Weight]]-(Table21215[[#This Row],[Weight]:[Weight]]*((_xlfn.XMATCH(Table21215[[#This Row],[7]],Table21215[[#This Row],[1]:[11]],0))-1)/(COUNTA(Table21215[[#This Row],[1]:[11]])-COUNTBLANK(Table21215[[#This Row],[1]:[11]])-1)))</f>
        <v/>
      </c>
      <c r="AF145" s="30" t="str" cm="1">
        <f t="array" ref="AF145">IF(Table21215[[#This Row],[8]]="","",Table21215[[#This Row],[Weight]:[Weight]]-(Table21215[[#This Row],[Weight]:[Weight]]*((_xlfn.XMATCH(Table21215[[#This Row],[8]],Table21215[[#This Row],[1]:[11]],0))-1)/(COUNTA(Table21215[[#This Row],[1]:[11]])-COUNTBLANK(Table21215[[#This Row],[1]:[11]])-1)))</f>
        <v/>
      </c>
      <c r="AG145" s="30" t="str" cm="1">
        <f t="array" ref="AG145">IF(Table21215[[#This Row],[9]]="","",Table21215[[#This Row],[Weight]:[Weight]]-(Table21215[[#This Row],[Weight]:[Weight]]*((_xlfn.XMATCH(Table21215[[#This Row],[9]],Table21215[[#This Row],[1]:[11]],0))-1)/(COUNTA(Table21215[[#This Row],[1]:[11]])-COUNTBLANK(Table21215[[#This Row],[1]:[11]])-1)))</f>
        <v/>
      </c>
      <c r="AH145" s="30" t="str" cm="1">
        <f t="array" ref="AH145">IF(Table21215[[#This Row],[10]]="","",Table21215[[#This Row],[Weight]:[Weight]]-(Table21215[[#This Row],[Weight]:[Weight]]*((_xlfn.XMATCH(Table21215[[#This Row],[10]],Table21215[[#This Row],[1]:[11]],0))-1)/(COUNTA(Table21215[[#This Row],[1]:[11]])-COUNTBLANK(Table21215[[#This Row],[1]:[11]])-1)))</f>
        <v/>
      </c>
      <c r="AI145" s="30" t="str" cm="1">
        <f t="array" ref="AI145">IF(Table21215[[#This Row],[11]]="","",Table21215[[#This Row],[Weight]:[Weight]]-(Table21215[[#This Row],[Weight]:[Weight]]*((_xlfn.XMATCH(Table21215[[#This Row],[11]],Table21215[[#This Row],[1]:[11]],0))-1)/(COUNTA(Table21215[[#This Row],[1]:[11]])-COUNTBLANK(Table21215[[#This Row],[1]:[11]])-1)))</f>
        <v/>
      </c>
    </row>
    <row r="146" spans="1:35" ht="108" x14ac:dyDescent="0.2">
      <c r="A146" s="20">
        <v>134</v>
      </c>
      <c r="B146" s="165" t="s">
        <v>963</v>
      </c>
      <c r="C146" s="21" t="s">
        <v>826</v>
      </c>
      <c r="D146" s="38"/>
      <c r="E146" s="38"/>
      <c r="F146" s="159" t="s">
        <v>60</v>
      </c>
      <c r="G146" s="160" cm="1">
        <f t="array" ref="G146">_xlfn.IFS(F146="","",F146="No interest",0,F146="Nice to have",1,F146="Useful",2,F146="Important",3,F146="Very important",4,F146="Critical",5,F146="Show stopper",6)</f>
        <v>6</v>
      </c>
      <c r="H146" s="161">
        <f t="shared" si="3"/>
        <v>4.7656870532168391E-3</v>
      </c>
      <c r="I146" s="157" t="s">
        <v>827</v>
      </c>
      <c r="J146" s="35" t="str" cm="1">
        <f t="array" ref="J146">_xlfn.TEXTJOIN(","&amp;CHAR(10),,TEXT(Table21215[[#This Row],[12]:[22]],"0,00%"))</f>
        <v>0,00%,
0,00%,
0,00%,
0,00%</v>
      </c>
      <c r="K146" s="36"/>
      <c r="L146" s="37" t="e">
        <f>H146-(H146*((MATCH(Table21215[[#This Row],[Evaluators Response (SELECT)]],Table21215[[#This Row],[1]:[11]],0)-1)/(COUNTA(Table21215[[#This Row],[1]:[11]])-COUNTBLANK(Table21215[[#This Row],[1]:[11]])-1)))</f>
        <v>#N/A</v>
      </c>
      <c r="M146" s="38"/>
      <c r="N146" s="29" t="s">
        <v>828</v>
      </c>
      <c r="O146" s="29" t="s">
        <v>829</v>
      </c>
      <c r="P146" s="29" t="s">
        <v>830</v>
      </c>
      <c r="Q146" s="29" t="str" cm="1">
        <f t="array" ref="Q146">IFERROR(INDEX(_xlfn.UNIQUE(TRIM(_xlfn.TEXTSPLIT(Table21215[[#This Row],[Selection Options]:[Selection Options]],","))),,Q$11),"")</f>
        <v xml:space="preserve">
 0%: Not currently supported</v>
      </c>
      <c r="R146" s="29" t="str" cm="1">
        <f t="array" ref="R146">IFERROR(INDEX(_xlfn.UNIQUE(TRIM(_xlfn.TEXTSPLIT(Table21215[[#This Row],[Selection Options]:[Selection Options]],","))),,R$11),"")</f>
        <v/>
      </c>
      <c r="S146" s="29" t="str" cm="1">
        <f t="array" ref="S146">IFERROR(INDEX(_xlfn.UNIQUE(TRIM(_xlfn.TEXTSPLIT(Table21215[[#This Row],[Selection Options]:[Selection Options]],","))),,S$11),"")</f>
        <v/>
      </c>
      <c r="T146" s="29" t="str" cm="1">
        <f t="array" ref="T146">IFERROR(INDEX(_xlfn.UNIQUE(TRIM(_xlfn.TEXTSPLIT(Table21215[[#This Row],[Selection Options]:[Selection Options]],","))),,T$11),"")</f>
        <v/>
      </c>
      <c r="U146" s="29" t="str" cm="1">
        <f t="array" ref="U146">IFERROR(INDEX(_xlfn.UNIQUE(TRIM(_xlfn.TEXTSPLIT(Table21215[[#This Row],[Selection Options]:[Selection Options]],","))),,U$11),"")</f>
        <v/>
      </c>
      <c r="V146" s="29" t="str" cm="1">
        <f t="array" ref="V146">IFERROR(INDEX(_xlfn.UNIQUE(TRIM(_xlfn.TEXTSPLIT(Table21215[[#This Row],[Selection Options]:[Selection Options]],","))),,V$11),"")</f>
        <v/>
      </c>
      <c r="W146" s="29" t="str" cm="1">
        <f t="array" ref="W146">IFERROR(INDEX(_xlfn.UNIQUE(TRIM(_xlfn.TEXTSPLIT(Table21215[[#This Row],[Selection Options]:[Selection Options]],","))),,W$11),"")</f>
        <v/>
      </c>
      <c r="X146" s="29" t="str" cm="1">
        <f t="array" ref="X146">IFERROR(INDEX(_xlfn.UNIQUE(TRIM(_xlfn.TEXTSPLIT(Table21215[[#This Row],[Selection Options]:[Selection Options]],","))),,X$11),"")</f>
        <v/>
      </c>
      <c r="Y146" s="30" cm="1">
        <f t="array" ref="Y146">IF(Table21215[[#This Row],[1]]="","",Table21215[[#This Row],[Weight]:[Weight]]-(Table21215[[#This Row],[Weight]:[Weight]]*((_xlfn.XMATCH(Table21215[[#This Row],[1]],Table21215[[#This Row],[1]:[11]],0))-1)/(COUNTA(Table21215[[#This Row],[1]:[11]])-COUNTBLANK(Table21215[[#This Row],[1]:[11]])-1)))</f>
        <v>4.7656870532168391E-3</v>
      </c>
      <c r="Z146" s="30" cm="1">
        <f t="array" ref="Z146">IF(Table21215[[#This Row],[2]]="","",Table21215[[#This Row],[Weight]:[Weight]]-(Table21215[[#This Row],[Weight]:[Weight]]*((_xlfn.XMATCH(Table21215[[#This Row],[2]],Table21215[[#This Row],[1]:[11]],0))-1)/(COUNTA(Table21215[[#This Row],[1]:[11]])-COUNTBLANK(Table21215[[#This Row],[1]:[11]])-1)))</f>
        <v>3.1771247021445594E-3</v>
      </c>
      <c r="AA146" s="30" cm="1">
        <f t="array" ref="AA146">IF(Table21215[[#This Row],[3]]="","",Table21215[[#This Row],[Weight]:[Weight]]-(Table21215[[#This Row],[Weight]:[Weight]]*((_xlfn.XMATCH(Table21215[[#This Row],[3]],Table21215[[#This Row],[1]:[11]],0))-1)/(COUNTA(Table21215[[#This Row],[1]:[11]])-COUNTBLANK(Table21215[[#This Row],[1]:[11]])-1)))</f>
        <v>1.5885623510722797E-3</v>
      </c>
      <c r="AB146" s="30" cm="1">
        <f t="array" ref="AB146">IF(Table21215[[#This Row],[4]]="","",Table21215[[#This Row],[Weight]:[Weight]]-(Table21215[[#This Row],[Weight]:[Weight]]*((_xlfn.XMATCH(Table21215[[#This Row],[4]],Table21215[[#This Row],[1]:[11]],0))-1)/(COUNTA(Table21215[[#This Row],[1]:[11]])-COUNTBLANK(Table21215[[#This Row],[1]:[11]])-1)))</f>
        <v>0</v>
      </c>
      <c r="AC146" s="30" t="str" cm="1">
        <f t="array" ref="AC146">IF(Table21215[[#This Row],[5]]="","",Table21215[[#This Row],[Weight]:[Weight]]-(Table21215[[#This Row],[Weight]:[Weight]]*((_xlfn.XMATCH(Table21215[[#This Row],[5]],Table21215[[#This Row],[1]:[11]],0))-1)/(COUNTA(Table21215[[#This Row],[1]:[11]])-COUNTBLANK(Table21215[[#This Row],[1]:[11]])-1)))</f>
        <v/>
      </c>
      <c r="AD146" s="30" t="str" cm="1">
        <f t="array" ref="AD146">IF(Table21215[[#This Row],[6]]="","",Table21215[[#This Row],[Weight]:[Weight]]-(Table21215[[#This Row],[Weight]:[Weight]]*((_xlfn.XMATCH(Table21215[[#This Row],[6]],Table21215[[#This Row],[1]:[11]],0))-1)/(COUNTA(Table21215[[#This Row],[1]:[11]])-COUNTBLANK(Table21215[[#This Row],[1]:[11]])-1)))</f>
        <v/>
      </c>
      <c r="AE146" s="30" t="str" cm="1">
        <f t="array" ref="AE146">IF(Table21215[[#This Row],[7]]="","",Table21215[[#This Row],[Weight]:[Weight]]-(Table21215[[#This Row],[Weight]:[Weight]]*((_xlfn.XMATCH(Table21215[[#This Row],[7]],Table21215[[#This Row],[1]:[11]],0))-1)/(COUNTA(Table21215[[#This Row],[1]:[11]])-COUNTBLANK(Table21215[[#This Row],[1]:[11]])-1)))</f>
        <v/>
      </c>
      <c r="AF146" s="30" t="str" cm="1">
        <f t="array" ref="AF146">IF(Table21215[[#This Row],[8]]="","",Table21215[[#This Row],[Weight]:[Weight]]-(Table21215[[#This Row],[Weight]:[Weight]]*((_xlfn.XMATCH(Table21215[[#This Row],[8]],Table21215[[#This Row],[1]:[11]],0))-1)/(COUNTA(Table21215[[#This Row],[1]:[11]])-COUNTBLANK(Table21215[[#This Row],[1]:[11]])-1)))</f>
        <v/>
      </c>
      <c r="AG146" s="30" t="str" cm="1">
        <f t="array" ref="AG146">IF(Table21215[[#This Row],[9]]="","",Table21215[[#This Row],[Weight]:[Weight]]-(Table21215[[#This Row],[Weight]:[Weight]]*((_xlfn.XMATCH(Table21215[[#This Row],[9]],Table21215[[#This Row],[1]:[11]],0))-1)/(COUNTA(Table21215[[#This Row],[1]:[11]])-COUNTBLANK(Table21215[[#This Row],[1]:[11]])-1)))</f>
        <v/>
      </c>
      <c r="AH146" s="30" t="str" cm="1">
        <f t="array" ref="AH146">IF(Table21215[[#This Row],[10]]="","",Table21215[[#This Row],[Weight]:[Weight]]-(Table21215[[#This Row],[Weight]:[Weight]]*((_xlfn.XMATCH(Table21215[[#This Row],[10]],Table21215[[#This Row],[1]:[11]],0))-1)/(COUNTA(Table21215[[#This Row],[1]:[11]])-COUNTBLANK(Table21215[[#This Row],[1]:[11]])-1)))</f>
        <v/>
      </c>
      <c r="AI146" s="30" t="str" cm="1">
        <f t="array" ref="AI146">IF(Table21215[[#This Row],[11]]="","",Table21215[[#This Row],[Weight]:[Weight]]-(Table21215[[#This Row],[Weight]:[Weight]]*((_xlfn.XMATCH(Table21215[[#This Row],[11]],Table21215[[#This Row],[1]:[11]],0))-1)/(COUNTA(Table21215[[#This Row],[1]:[11]])-COUNTBLANK(Table21215[[#This Row],[1]:[11]])-1)))</f>
        <v/>
      </c>
    </row>
    <row r="147" spans="1:35" ht="108" x14ac:dyDescent="0.2">
      <c r="A147" s="20">
        <v>135</v>
      </c>
      <c r="B147" s="165" t="s">
        <v>964</v>
      </c>
      <c r="C147" s="21" t="s">
        <v>826</v>
      </c>
      <c r="D147" s="38"/>
      <c r="E147" s="38"/>
      <c r="F147" s="159" t="s">
        <v>60</v>
      </c>
      <c r="G147" s="160" cm="1">
        <f t="array" ref="G147">_xlfn.IFS(F147="","",F147="No interest",0,F147="Nice to have",1,F147="Useful",2,F147="Important",3,F147="Very important",4,F147="Critical",5,F147="Show stopper",6)</f>
        <v>6</v>
      </c>
      <c r="H147" s="161">
        <f t="shared" si="3"/>
        <v>4.7656870532168391E-3</v>
      </c>
      <c r="I147" s="157" t="s">
        <v>827</v>
      </c>
      <c r="J147" s="35" t="str" cm="1">
        <f t="array" ref="J147">_xlfn.TEXTJOIN(","&amp;CHAR(10),,TEXT(Table21215[[#This Row],[12]:[22]],"0,00%"))</f>
        <v>0,00%,
0,00%,
0,00%,
0,00%</v>
      </c>
      <c r="K147" s="36"/>
      <c r="L147" s="37" t="e">
        <f>H147-(H147*((MATCH(Table21215[[#This Row],[Evaluators Response (SELECT)]],Table21215[[#This Row],[1]:[11]],0)-1)/(COUNTA(Table21215[[#This Row],[1]:[11]])-COUNTBLANK(Table21215[[#This Row],[1]:[11]])-1)))</f>
        <v>#N/A</v>
      </c>
      <c r="M147" s="38"/>
      <c r="N147" s="29" t="s">
        <v>828</v>
      </c>
      <c r="O147" s="29" t="s">
        <v>829</v>
      </c>
      <c r="P147" s="29" t="s">
        <v>830</v>
      </c>
      <c r="Q147" s="29" t="str" cm="1">
        <f t="array" ref="Q147">IFERROR(INDEX(_xlfn.UNIQUE(TRIM(_xlfn.TEXTSPLIT(Table21215[[#This Row],[Selection Options]:[Selection Options]],","))),,Q$11),"")</f>
        <v xml:space="preserve">
 0%: Not currently supported</v>
      </c>
      <c r="R147" s="29" t="str" cm="1">
        <f t="array" ref="R147">IFERROR(INDEX(_xlfn.UNIQUE(TRIM(_xlfn.TEXTSPLIT(Table21215[[#This Row],[Selection Options]:[Selection Options]],","))),,R$11),"")</f>
        <v/>
      </c>
      <c r="S147" s="29" t="str" cm="1">
        <f t="array" ref="S147">IFERROR(INDEX(_xlfn.UNIQUE(TRIM(_xlfn.TEXTSPLIT(Table21215[[#This Row],[Selection Options]:[Selection Options]],","))),,S$11),"")</f>
        <v/>
      </c>
      <c r="T147" s="29" t="str" cm="1">
        <f t="array" ref="T147">IFERROR(INDEX(_xlfn.UNIQUE(TRIM(_xlfn.TEXTSPLIT(Table21215[[#This Row],[Selection Options]:[Selection Options]],","))),,T$11),"")</f>
        <v/>
      </c>
      <c r="U147" s="29" t="str" cm="1">
        <f t="array" ref="U147">IFERROR(INDEX(_xlfn.UNIQUE(TRIM(_xlfn.TEXTSPLIT(Table21215[[#This Row],[Selection Options]:[Selection Options]],","))),,U$11),"")</f>
        <v/>
      </c>
      <c r="V147" s="29" t="str" cm="1">
        <f t="array" ref="V147">IFERROR(INDEX(_xlfn.UNIQUE(TRIM(_xlfn.TEXTSPLIT(Table21215[[#This Row],[Selection Options]:[Selection Options]],","))),,V$11),"")</f>
        <v/>
      </c>
      <c r="W147" s="29" t="str" cm="1">
        <f t="array" ref="W147">IFERROR(INDEX(_xlfn.UNIQUE(TRIM(_xlfn.TEXTSPLIT(Table21215[[#This Row],[Selection Options]:[Selection Options]],","))),,W$11),"")</f>
        <v/>
      </c>
      <c r="X147" s="29" t="str" cm="1">
        <f t="array" ref="X147">IFERROR(INDEX(_xlfn.UNIQUE(TRIM(_xlfn.TEXTSPLIT(Table21215[[#This Row],[Selection Options]:[Selection Options]],","))),,X$11),"")</f>
        <v/>
      </c>
      <c r="Y147" s="30" cm="1">
        <f t="array" ref="Y147">IF(Table21215[[#This Row],[1]]="","",Table21215[[#This Row],[Weight]:[Weight]]-(Table21215[[#This Row],[Weight]:[Weight]]*((_xlfn.XMATCH(Table21215[[#This Row],[1]],Table21215[[#This Row],[1]:[11]],0))-1)/(COUNTA(Table21215[[#This Row],[1]:[11]])-COUNTBLANK(Table21215[[#This Row],[1]:[11]])-1)))</f>
        <v>4.7656870532168391E-3</v>
      </c>
      <c r="Z147" s="30" cm="1">
        <f t="array" ref="Z147">IF(Table21215[[#This Row],[2]]="","",Table21215[[#This Row],[Weight]:[Weight]]-(Table21215[[#This Row],[Weight]:[Weight]]*((_xlfn.XMATCH(Table21215[[#This Row],[2]],Table21215[[#This Row],[1]:[11]],0))-1)/(COUNTA(Table21215[[#This Row],[1]:[11]])-COUNTBLANK(Table21215[[#This Row],[1]:[11]])-1)))</f>
        <v>3.1771247021445594E-3</v>
      </c>
      <c r="AA147" s="30" cm="1">
        <f t="array" ref="AA147">IF(Table21215[[#This Row],[3]]="","",Table21215[[#This Row],[Weight]:[Weight]]-(Table21215[[#This Row],[Weight]:[Weight]]*((_xlfn.XMATCH(Table21215[[#This Row],[3]],Table21215[[#This Row],[1]:[11]],0))-1)/(COUNTA(Table21215[[#This Row],[1]:[11]])-COUNTBLANK(Table21215[[#This Row],[1]:[11]])-1)))</f>
        <v>1.5885623510722797E-3</v>
      </c>
      <c r="AB147" s="30" cm="1">
        <f t="array" ref="AB147">IF(Table21215[[#This Row],[4]]="","",Table21215[[#This Row],[Weight]:[Weight]]-(Table21215[[#This Row],[Weight]:[Weight]]*((_xlfn.XMATCH(Table21215[[#This Row],[4]],Table21215[[#This Row],[1]:[11]],0))-1)/(COUNTA(Table21215[[#This Row],[1]:[11]])-COUNTBLANK(Table21215[[#This Row],[1]:[11]])-1)))</f>
        <v>0</v>
      </c>
      <c r="AC147" s="30" t="str" cm="1">
        <f t="array" ref="AC147">IF(Table21215[[#This Row],[5]]="","",Table21215[[#This Row],[Weight]:[Weight]]-(Table21215[[#This Row],[Weight]:[Weight]]*((_xlfn.XMATCH(Table21215[[#This Row],[5]],Table21215[[#This Row],[1]:[11]],0))-1)/(COUNTA(Table21215[[#This Row],[1]:[11]])-COUNTBLANK(Table21215[[#This Row],[1]:[11]])-1)))</f>
        <v/>
      </c>
      <c r="AD147" s="30" t="str" cm="1">
        <f t="array" ref="AD147">IF(Table21215[[#This Row],[6]]="","",Table21215[[#This Row],[Weight]:[Weight]]-(Table21215[[#This Row],[Weight]:[Weight]]*((_xlfn.XMATCH(Table21215[[#This Row],[6]],Table21215[[#This Row],[1]:[11]],0))-1)/(COUNTA(Table21215[[#This Row],[1]:[11]])-COUNTBLANK(Table21215[[#This Row],[1]:[11]])-1)))</f>
        <v/>
      </c>
      <c r="AE147" s="30" t="str" cm="1">
        <f t="array" ref="AE147">IF(Table21215[[#This Row],[7]]="","",Table21215[[#This Row],[Weight]:[Weight]]-(Table21215[[#This Row],[Weight]:[Weight]]*((_xlfn.XMATCH(Table21215[[#This Row],[7]],Table21215[[#This Row],[1]:[11]],0))-1)/(COUNTA(Table21215[[#This Row],[1]:[11]])-COUNTBLANK(Table21215[[#This Row],[1]:[11]])-1)))</f>
        <v/>
      </c>
      <c r="AF147" s="30" t="str" cm="1">
        <f t="array" ref="AF147">IF(Table21215[[#This Row],[8]]="","",Table21215[[#This Row],[Weight]:[Weight]]-(Table21215[[#This Row],[Weight]:[Weight]]*((_xlfn.XMATCH(Table21215[[#This Row],[8]],Table21215[[#This Row],[1]:[11]],0))-1)/(COUNTA(Table21215[[#This Row],[1]:[11]])-COUNTBLANK(Table21215[[#This Row],[1]:[11]])-1)))</f>
        <v/>
      </c>
      <c r="AG147" s="30" t="str" cm="1">
        <f t="array" ref="AG147">IF(Table21215[[#This Row],[9]]="","",Table21215[[#This Row],[Weight]:[Weight]]-(Table21215[[#This Row],[Weight]:[Weight]]*((_xlfn.XMATCH(Table21215[[#This Row],[9]],Table21215[[#This Row],[1]:[11]],0))-1)/(COUNTA(Table21215[[#This Row],[1]:[11]])-COUNTBLANK(Table21215[[#This Row],[1]:[11]])-1)))</f>
        <v/>
      </c>
      <c r="AH147" s="30" t="str" cm="1">
        <f t="array" ref="AH147">IF(Table21215[[#This Row],[10]]="","",Table21215[[#This Row],[Weight]:[Weight]]-(Table21215[[#This Row],[Weight]:[Weight]]*((_xlfn.XMATCH(Table21215[[#This Row],[10]],Table21215[[#This Row],[1]:[11]],0))-1)/(COUNTA(Table21215[[#This Row],[1]:[11]])-COUNTBLANK(Table21215[[#This Row],[1]:[11]])-1)))</f>
        <v/>
      </c>
      <c r="AI147" s="30" t="str" cm="1">
        <f t="array" ref="AI147">IF(Table21215[[#This Row],[11]]="","",Table21215[[#This Row],[Weight]:[Weight]]-(Table21215[[#This Row],[Weight]:[Weight]]*((_xlfn.XMATCH(Table21215[[#This Row],[11]],Table21215[[#This Row],[1]:[11]],0))-1)/(COUNTA(Table21215[[#This Row],[1]:[11]])-COUNTBLANK(Table21215[[#This Row],[1]:[11]])-1)))</f>
        <v/>
      </c>
    </row>
    <row r="148" spans="1:35" ht="108" x14ac:dyDescent="0.2">
      <c r="A148" s="20">
        <v>136</v>
      </c>
      <c r="B148" s="165" t="s">
        <v>965</v>
      </c>
      <c r="C148" s="21" t="s">
        <v>826</v>
      </c>
      <c r="D148" s="38"/>
      <c r="E148" s="38"/>
      <c r="F148" s="159" t="s">
        <v>60</v>
      </c>
      <c r="G148" s="160" cm="1">
        <f t="array" ref="G148">_xlfn.IFS(F148="","",F148="No interest",0,F148="Nice to have",1,F148="Useful",2,F148="Important",3,F148="Very important",4,F148="Critical",5,F148="Show stopper",6)</f>
        <v>6</v>
      </c>
      <c r="H148" s="161">
        <f t="shared" si="3"/>
        <v>4.7656870532168391E-3</v>
      </c>
      <c r="I148" s="157" t="s">
        <v>827</v>
      </c>
      <c r="J148" s="35" t="str" cm="1">
        <f t="array" ref="J148">_xlfn.TEXTJOIN(","&amp;CHAR(10),,TEXT(Table21215[[#This Row],[12]:[22]],"0,00%"))</f>
        <v>0,00%,
0,00%,
0,00%,
0,00%</v>
      </c>
      <c r="K148" s="36"/>
      <c r="L148" s="37" t="e">
        <f>H148-(H148*((MATCH(Table21215[[#This Row],[Evaluators Response (SELECT)]],Table21215[[#This Row],[1]:[11]],0)-1)/(COUNTA(Table21215[[#This Row],[1]:[11]])-COUNTBLANK(Table21215[[#This Row],[1]:[11]])-1)))</f>
        <v>#N/A</v>
      </c>
      <c r="M148" s="38"/>
      <c r="N148" s="29" t="s">
        <v>828</v>
      </c>
      <c r="O148" s="29" t="s">
        <v>829</v>
      </c>
      <c r="P148" s="29" t="s">
        <v>830</v>
      </c>
      <c r="Q148" s="29" t="str" cm="1">
        <f t="array" ref="Q148">IFERROR(INDEX(_xlfn.UNIQUE(TRIM(_xlfn.TEXTSPLIT(Table21215[[#This Row],[Selection Options]:[Selection Options]],","))),,Q$11),"")</f>
        <v xml:space="preserve">
 0%: Not currently supported</v>
      </c>
      <c r="R148" s="29" t="str" cm="1">
        <f t="array" ref="R148">IFERROR(INDEX(_xlfn.UNIQUE(TRIM(_xlfn.TEXTSPLIT(Table21215[[#This Row],[Selection Options]:[Selection Options]],","))),,R$11),"")</f>
        <v/>
      </c>
      <c r="S148" s="29" t="str" cm="1">
        <f t="array" ref="S148">IFERROR(INDEX(_xlfn.UNIQUE(TRIM(_xlfn.TEXTSPLIT(Table21215[[#This Row],[Selection Options]:[Selection Options]],","))),,S$11),"")</f>
        <v/>
      </c>
      <c r="T148" s="29" t="str" cm="1">
        <f t="array" ref="T148">IFERROR(INDEX(_xlfn.UNIQUE(TRIM(_xlfn.TEXTSPLIT(Table21215[[#This Row],[Selection Options]:[Selection Options]],","))),,T$11),"")</f>
        <v/>
      </c>
      <c r="U148" s="29" t="str" cm="1">
        <f t="array" ref="U148">IFERROR(INDEX(_xlfn.UNIQUE(TRIM(_xlfn.TEXTSPLIT(Table21215[[#This Row],[Selection Options]:[Selection Options]],","))),,U$11),"")</f>
        <v/>
      </c>
      <c r="V148" s="29" t="str" cm="1">
        <f t="array" ref="V148">IFERROR(INDEX(_xlfn.UNIQUE(TRIM(_xlfn.TEXTSPLIT(Table21215[[#This Row],[Selection Options]:[Selection Options]],","))),,V$11),"")</f>
        <v/>
      </c>
      <c r="W148" s="29" t="str" cm="1">
        <f t="array" ref="W148">IFERROR(INDEX(_xlfn.UNIQUE(TRIM(_xlfn.TEXTSPLIT(Table21215[[#This Row],[Selection Options]:[Selection Options]],","))),,W$11),"")</f>
        <v/>
      </c>
      <c r="X148" s="29" t="str" cm="1">
        <f t="array" ref="X148">IFERROR(INDEX(_xlfn.UNIQUE(TRIM(_xlfn.TEXTSPLIT(Table21215[[#This Row],[Selection Options]:[Selection Options]],","))),,X$11),"")</f>
        <v/>
      </c>
      <c r="Y148" s="30" cm="1">
        <f t="array" ref="Y148">IF(Table21215[[#This Row],[1]]="","",Table21215[[#This Row],[Weight]:[Weight]]-(Table21215[[#This Row],[Weight]:[Weight]]*((_xlfn.XMATCH(Table21215[[#This Row],[1]],Table21215[[#This Row],[1]:[11]],0))-1)/(COUNTA(Table21215[[#This Row],[1]:[11]])-COUNTBLANK(Table21215[[#This Row],[1]:[11]])-1)))</f>
        <v>4.7656870532168391E-3</v>
      </c>
      <c r="Z148" s="30" cm="1">
        <f t="array" ref="Z148">IF(Table21215[[#This Row],[2]]="","",Table21215[[#This Row],[Weight]:[Weight]]-(Table21215[[#This Row],[Weight]:[Weight]]*((_xlfn.XMATCH(Table21215[[#This Row],[2]],Table21215[[#This Row],[1]:[11]],0))-1)/(COUNTA(Table21215[[#This Row],[1]:[11]])-COUNTBLANK(Table21215[[#This Row],[1]:[11]])-1)))</f>
        <v>3.1771247021445594E-3</v>
      </c>
      <c r="AA148" s="30" cm="1">
        <f t="array" ref="AA148">IF(Table21215[[#This Row],[3]]="","",Table21215[[#This Row],[Weight]:[Weight]]-(Table21215[[#This Row],[Weight]:[Weight]]*((_xlfn.XMATCH(Table21215[[#This Row],[3]],Table21215[[#This Row],[1]:[11]],0))-1)/(COUNTA(Table21215[[#This Row],[1]:[11]])-COUNTBLANK(Table21215[[#This Row],[1]:[11]])-1)))</f>
        <v>1.5885623510722797E-3</v>
      </c>
      <c r="AB148" s="30" cm="1">
        <f t="array" ref="AB148">IF(Table21215[[#This Row],[4]]="","",Table21215[[#This Row],[Weight]:[Weight]]-(Table21215[[#This Row],[Weight]:[Weight]]*((_xlfn.XMATCH(Table21215[[#This Row],[4]],Table21215[[#This Row],[1]:[11]],0))-1)/(COUNTA(Table21215[[#This Row],[1]:[11]])-COUNTBLANK(Table21215[[#This Row],[1]:[11]])-1)))</f>
        <v>0</v>
      </c>
      <c r="AC148" s="30" t="str" cm="1">
        <f t="array" ref="AC148">IF(Table21215[[#This Row],[5]]="","",Table21215[[#This Row],[Weight]:[Weight]]-(Table21215[[#This Row],[Weight]:[Weight]]*((_xlfn.XMATCH(Table21215[[#This Row],[5]],Table21215[[#This Row],[1]:[11]],0))-1)/(COUNTA(Table21215[[#This Row],[1]:[11]])-COUNTBLANK(Table21215[[#This Row],[1]:[11]])-1)))</f>
        <v/>
      </c>
      <c r="AD148" s="30" t="str" cm="1">
        <f t="array" ref="AD148">IF(Table21215[[#This Row],[6]]="","",Table21215[[#This Row],[Weight]:[Weight]]-(Table21215[[#This Row],[Weight]:[Weight]]*((_xlfn.XMATCH(Table21215[[#This Row],[6]],Table21215[[#This Row],[1]:[11]],0))-1)/(COUNTA(Table21215[[#This Row],[1]:[11]])-COUNTBLANK(Table21215[[#This Row],[1]:[11]])-1)))</f>
        <v/>
      </c>
      <c r="AE148" s="30" t="str" cm="1">
        <f t="array" ref="AE148">IF(Table21215[[#This Row],[7]]="","",Table21215[[#This Row],[Weight]:[Weight]]-(Table21215[[#This Row],[Weight]:[Weight]]*((_xlfn.XMATCH(Table21215[[#This Row],[7]],Table21215[[#This Row],[1]:[11]],0))-1)/(COUNTA(Table21215[[#This Row],[1]:[11]])-COUNTBLANK(Table21215[[#This Row],[1]:[11]])-1)))</f>
        <v/>
      </c>
      <c r="AF148" s="30" t="str" cm="1">
        <f t="array" ref="AF148">IF(Table21215[[#This Row],[8]]="","",Table21215[[#This Row],[Weight]:[Weight]]-(Table21215[[#This Row],[Weight]:[Weight]]*((_xlfn.XMATCH(Table21215[[#This Row],[8]],Table21215[[#This Row],[1]:[11]],0))-1)/(COUNTA(Table21215[[#This Row],[1]:[11]])-COUNTBLANK(Table21215[[#This Row],[1]:[11]])-1)))</f>
        <v/>
      </c>
      <c r="AG148" s="30" t="str" cm="1">
        <f t="array" ref="AG148">IF(Table21215[[#This Row],[9]]="","",Table21215[[#This Row],[Weight]:[Weight]]-(Table21215[[#This Row],[Weight]:[Weight]]*((_xlfn.XMATCH(Table21215[[#This Row],[9]],Table21215[[#This Row],[1]:[11]],0))-1)/(COUNTA(Table21215[[#This Row],[1]:[11]])-COUNTBLANK(Table21215[[#This Row],[1]:[11]])-1)))</f>
        <v/>
      </c>
      <c r="AH148" s="30" t="str" cm="1">
        <f t="array" ref="AH148">IF(Table21215[[#This Row],[10]]="","",Table21215[[#This Row],[Weight]:[Weight]]-(Table21215[[#This Row],[Weight]:[Weight]]*((_xlfn.XMATCH(Table21215[[#This Row],[10]],Table21215[[#This Row],[1]:[11]],0))-1)/(COUNTA(Table21215[[#This Row],[1]:[11]])-COUNTBLANK(Table21215[[#This Row],[1]:[11]])-1)))</f>
        <v/>
      </c>
      <c r="AI148" s="30" t="str" cm="1">
        <f t="array" ref="AI148">IF(Table21215[[#This Row],[11]]="","",Table21215[[#This Row],[Weight]:[Weight]]-(Table21215[[#This Row],[Weight]:[Weight]]*((_xlfn.XMATCH(Table21215[[#This Row],[11]],Table21215[[#This Row],[1]:[11]],0))-1)/(COUNTA(Table21215[[#This Row],[1]:[11]])-COUNTBLANK(Table21215[[#This Row],[1]:[11]])-1)))</f>
        <v/>
      </c>
    </row>
    <row r="149" spans="1:35" ht="108" x14ac:dyDescent="0.2">
      <c r="A149" s="20">
        <v>137</v>
      </c>
      <c r="B149" s="165" t="s">
        <v>966</v>
      </c>
      <c r="C149" s="21" t="s">
        <v>826</v>
      </c>
      <c r="D149" s="38"/>
      <c r="E149" s="38"/>
      <c r="F149" s="159" t="s">
        <v>60</v>
      </c>
      <c r="G149" s="160" cm="1">
        <f t="array" ref="G149">_xlfn.IFS(F149="","",F149="No interest",0,F149="Nice to have",1,F149="Useful",2,F149="Important",3,F149="Very important",4,F149="Critical",5,F149="Show stopper",6)</f>
        <v>6</v>
      </c>
      <c r="H149" s="161">
        <f t="shared" si="3"/>
        <v>4.7656870532168391E-3</v>
      </c>
      <c r="I149" s="157" t="s">
        <v>827</v>
      </c>
      <c r="J149" s="35" t="str" cm="1">
        <f t="array" ref="J149">_xlfn.TEXTJOIN(","&amp;CHAR(10),,TEXT(Table21215[[#This Row],[12]:[22]],"0,00%"))</f>
        <v>0,00%,
0,00%,
0,00%,
0,00%</v>
      </c>
      <c r="K149" s="36"/>
      <c r="L149" s="37" t="e">
        <f>H149-(H149*((MATCH(Table21215[[#This Row],[Evaluators Response (SELECT)]],Table21215[[#This Row],[1]:[11]],0)-1)/(COUNTA(Table21215[[#This Row],[1]:[11]])-COUNTBLANK(Table21215[[#This Row],[1]:[11]])-1)))</f>
        <v>#N/A</v>
      </c>
      <c r="M149" s="38"/>
      <c r="N149" s="29" t="s">
        <v>828</v>
      </c>
      <c r="O149" s="29" t="s">
        <v>829</v>
      </c>
      <c r="P149" s="29" t="s">
        <v>830</v>
      </c>
      <c r="Q149" s="29" t="str" cm="1">
        <f t="array" ref="Q149">IFERROR(INDEX(_xlfn.UNIQUE(TRIM(_xlfn.TEXTSPLIT(Table21215[[#This Row],[Selection Options]:[Selection Options]],","))),,Q$11),"")</f>
        <v xml:space="preserve">
 0%: Not currently supported</v>
      </c>
      <c r="R149" s="29" t="str" cm="1">
        <f t="array" ref="R149">IFERROR(INDEX(_xlfn.UNIQUE(TRIM(_xlfn.TEXTSPLIT(Table21215[[#This Row],[Selection Options]:[Selection Options]],","))),,R$11),"")</f>
        <v/>
      </c>
      <c r="S149" s="29" t="str" cm="1">
        <f t="array" ref="S149">IFERROR(INDEX(_xlfn.UNIQUE(TRIM(_xlfn.TEXTSPLIT(Table21215[[#This Row],[Selection Options]:[Selection Options]],","))),,S$11),"")</f>
        <v/>
      </c>
      <c r="T149" s="29" t="str" cm="1">
        <f t="array" ref="T149">IFERROR(INDEX(_xlfn.UNIQUE(TRIM(_xlfn.TEXTSPLIT(Table21215[[#This Row],[Selection Options]:[Selection Options]],","))),,T$11),"")</f>
        <v/>
      </c>
      <c r="U149" s="29" t="str" cm="1">
        <f t="array" ref="U149">IFERROR(INDEX(_xlfn.UNIQUE(TRIM(_xlfn.TEXTSPLIT(Table21215[[#This Row],[Selection Options]:[Selection Options]],","))),,U$11),"")</f>
        <v/>
      </c>
      <c r="V149" s="29" t="str" cm="1">
        <f t="array" ref="V149">IFERROR(INDEX(_xlfn.UNIQUE(TRIM(_xlfn.TEXTSPLIT(Table21215[[#This Row],[Selection Options]:[Selection Options]],","))),,V$11),"")</f>
        <v/>
      </c>
      <c r="W149" s="29" t="str" cm="1">
        <f t="array" ref="W149">IFERROR(INDEX(_xlfn.UNIQUE(TRIM(_xlfn.TEXTSPLIT(Table21215[[#This Row],[Selection Options]:[Selection Options]],","))),,W$11),"")</f>
        <v/>
      </c>
      <c r="X149" s="29" t="str" cm="1">
        <f t="array" ref="X149">IFERROR(INDEX(_xlfn.UNIQUE(TRIM(_xlfn.TEXTSPLIT(Table21215[[#This Row],[Selection Options]:[Selection Options]],","))),,X$11),"")</f>
        <v/>
      </c>
      <c r="Y149" s="30" cm="1">
        <f t="array" ref="Y149">IF(Table21215[[#This Row],[1]]="","",Table21215[[#This Row],[Weight]:[Weight]]-(Table21215[[#This Row],[Weight]:[Weight]]*((_xlfn.XMATCH(Table21215[[#This Row],[1]],Table21215[[#This Row],[1]:[11]],0))-1)/(COUNTA(Table21215[[#This Row],[1]:[11]])-COUNTBLANK(Table21215[[#This Row],[1]:[11]])-1)))</f>
        <v>4.7656870532168391E-3</v>
      </c>
      <c r="Z149" s="30" cm="1">
        <f t="array" ref="Z149">IF(Table21215[[#This Row],[2]]="","",Table21215[[#This Row],[Weight]:[Weight]]-(Table21215[[#This Row],[Weight]:[Weight]]*((_xlfn.XMATCH(Table21215[[#This Row],[2]],Table21215[[#This Row],[1]:[11]],0))-1)/(COUNTA(Table21215[[#This Row],[1]:[11]])-COUNTBLANK(Table21215[[#This Row],[1]:[11]])-1)))</f>
        <v>3.1771247021445594E-3</v>
      </c>
      <c r="AA149" s="30" cm="1">
        <f t="array" ref="AA149">IF(Table21215[[#This Row],[3]]="","",Table21215[[#This Row],[Weight]:[Weight]]-(Table21215[[#This Row],[Weight]:[Weight]]*((_xlfn.XMATCH(Table21215[[#This Row],[3]],Table21215[[#This Row],[1]:[11]],0))-1)/(COUNTA(Table21215[[#This Row],[1]:[11]])-COUNTBLANK(Table21215[[#This Row],[1]:[11]])-1)))</f>
        <v>1.5885623510722797E-3</v>
      </c>
      <c r="AB149" s="30" cm="1">
        <f t="array" ref="AB149">IF(Table21215[[#This Row],[4]]="","",Table21215[[#This Row],[Weight]:[Weight]]-(Table21215[[#This Row],[Weight]:[Weight]]*((_xlfn.XMATCH(Table21215[[#This Row],[4]],Table21215[[#This Row],[1]:[11]],0))-1)/(COUNTA(Table21215[[#This Row],[1]:[11]])-COUNTBLANK(Table21215[[#This Row],[1]:[11]])-1)))</f>
        <v>0</v>
      </c>
      <c r="AC149" s="30" t="str" cm="1">
        <f t="array" ref="AC149">IF(Table21215[[#This Row],[5]]="","",Table21215[[#This Row],[Weight]:[Weight]]-(Table21215[[#This Row],[Weight]:[Weight]]*((_xlfn.XMATCH(Table21215[[#This Row],[5]],Table21215[[#This Row],[1]:[11]],0))-1)/(COUNTA(Table21215[[#This Row],[1]:[11]])-COUNTBLANK(Table21215[[#This Row],[1]:[11]])-1)))</f>
        <v/>
      </c>
      <c r="AD149" s="30" t="str" cm="1">
        <f t="array" ref="AD149">IF(Table21215[[#This Row],[6]]="","",Table21215[[#This Row],[Weight]:[Weight]]-(Table21215[[#This Row],[Weight]:[Weight]]*((_xlfn.XMATCH(Table21215[[#This Row],[6]],Table21215[[#This Row],[1]:[11]],0))-1)/(COUNTA(Table21215[[#This Row],[1]:[11]])-COUNTBLANK(Table21215[[#This Row],[1]:[11]])-1)))</f>
        <v/>
      </c>
      <c r="AE149" s="30" t="str" cm="1">
        <f t="array" ref="AE149">IF(Table21215[[#This Row],[7]]="","",Table21215[[#This Row],[Weight]:[Weight]]-(Table21215[[#This Row],[Weight]:[Weight]]*((_xlfn.XMATCH(Table21215[[#This Row],[7]],Table21215[[#This Row],[1]:[11]],0))-1)/(COUNTA(Table21215[[#This Row],[1]:[11]])-COUNTBLANK(Table21215[[#This Row],[1]:[11]])-1)))</f>
        <v/>
      </c>
      <c r="AF149" s="30" t="str" cm="1">
        <f t="array" ref="AF149">IF(Table21215[[#This Row],[8]]="","",Table21215[[#This Row],[Weight]:[Weight]]-(Table21215[[#This Row],[Weight]:[Weight]]*((_xlfn.XMATCH(Table21215[[#This Row],[8]],Table21215[[#This Row],[1]:[11]],0))-1)/(COUNTA(Table21215[[#This Row],[1]:[11]])-COUNTBLANK(Table21215[[#This Row],[1]:[11]])-1)))</f>
        <v/>
      </c>
      <c r="AG149" s="30" t="str" cm="1">
        <f t="array" ref="AG149">IF(Table21215[[#This Row],[9]]="","",Table21215[[#This Row],[Weight]:[Weight]]-(Table21215[[#This Row],[Weight]:[Weight]]*((_xlfn.XMATCH(Table21215[[#This Row],[9]],Table21215[[#This Row],[1]:[11]],0))-1)/(COUNTA(Table21215[[#This Row],[1]:[11]])-COUNTBLANK(Table21215[[#This Row],[1]:[11]])-1)))</f>
        <v/>
      </c>
      <c r="AH149" s="30" t="str" cm="1">
        <f t="array" ref="AH149">IF(Table21215[[#This Row],[10]]="","",Table21215[[#This Row],[Weight]:[Weight]]-(Table21215[[#This Row],[Weight]:[Weight]]*((_xlfn.XMATCH(Table21215[[#This Row],[10]],Table21215[[#This Row],[1]:[11]],0))-1)/(COUNTA(Table21215[[#This Row],[1]:[11]])-COUNTBLANK(Table21215[[#This Row],[1]:[11]])-1)))</f>
        <v/>
      </c>
      <c r="AI149" s="30" t="str" cm="1">
        <f t="array" ref="AI149">IF(Table21215[[#This Row],[11]]="","",Table21215[[#This Row],[Weight]:[Weight]]-(Table21215[[#This Row],[Weight]:[Weight]]*((_xlfn.XMATCH(Table21215[[#This Row],[11]],Table21215[[#This Row],[1]:[11]],0))-1)/(COUNTA(Table21215[[#This Row],[1]:[11]])-COUNTBLANK(Table21215[[#This Row],[1]:[11]])-1)))</f>
        <v/>
      </c>
    </row>
    <row r="150" spans="1:35" ht="108" x14ac:dyDescent="0.2">
      <c r="A150" s="20">
        <v>138</v>
      </c>
      <c r="B150" s="165" t="s">
        <v>967</v>
      </c>
      <c r="C150" s="21" t="s">
        <v>826</v>
      </c>
      <c r="D150" s="38"/>
      <c r="E150" s="38"/>
      <c r="F150" s="159" t="s">
        <v>60</v>
      </c>
      <c r="G150" s="160" cm="1">
        <f t="array" ref="G150">_xlfn.IFS(F150="","",F150="No interest",0,F150="Nice to have",1,F150="Useful",2,F150="Important",3,F150="Very important",4,F150="Critical",5,F150="Show stopper",6)</f>
        <v>6</v>
      </c>
      <c r="H150" s="161">
        <f t="shared" si="3"/>
        <v>4.7656870532168391E-3</v>
      </c>
      <c r="I150" s="157" t="s">
        <v>827</v>
      </c>
      <c r="J150" s="35" t="str" cm="1">
        <f t="array" ref="J150">_xlfn.TEXTJOIN(","&amp;CHAR(10),,TEXT(Table21215[[#This Row],[12]:[22]],"0,00%"))</f>
        <v>0,00%,
0,00%,
0,00%,
0,00%</v>
      </c>
      <c r="K150" s="36"/>
      <c r="L150" s="37" t="e">
        <f>H150-(H150*((MATCH(Table21215[[#This Row],[Evaluators Response (SELECT)]],Table21215[[#This Row],[1]:[11]],0)-1)/(COUNTA(Table21215[[#This Row],[1]:[11]])-COUNTBLANK(Table21215[[#This Row],[1]:[11]])-1)))</f>
        <v>#N/A</v>
      </c>
      <c r="M150" s="38"/>
      <c r="N150" s="29" t="s">
        <v>828</v>
      </c>
      <c r="O150" s="29" t="s">
        <v>829</v>
      </c>
      <c r="P150" s="29" t="s">
        <v>830</v>
      </c>
      <c r="Q150" s="29" t="str" cm="1">
        <f t="array" ref="Q150">IFERROR(INDEX(_xlfn.UNIQUE(TRIM(_xlfn.TEXTSPLIT(Table21215[[#This Row],[Selection Options]:[Selection Options]],","))),,Q$11),"")</f>
        <v xml:space="preserve">
 0%: Not currently supported</v>
      </c>
      <c r="R150" s="29" t="str" cm="1">
        <f t="array" ref="R150">IFERROR(INDEX(_xlfn.UNIQUE(TRIM(_xlfn.TEXTSPLIT(Table21215[[#This Row],[Selection Options]:[Selection Options]],","))),,R$11),"")</f>
        <v/>
      </c>
      <c r="S150" s="29" t="str" cm="1">
        <f t="array" ref="S150">IFERROR(INDEX(_xlfn.UNIQUE(TRIM(_xlfn.TEXTSPLIT(Table21215[[#This Row],[Selection Options]:[Selection Options]],","))),,S$11),"")</f>
        <v/>
      </c>
      <c r="T150" s="29" t="str" cm="1">
        <f t="array" ref="T150">IFERROR(INDEX(_xlfn.UNIQUE(TRIM(_xlfn.TEXTSPLIT(Table21215[[#This Row],[Selection Options]:[Selection Options]],","))),,T$11),"")</f>
        <v/>
      </c>
      <c r="U150" s="29" t="str" cm="1">
        <f t="array" ref="U150">IFERROR(INDEX(_xlfn.UNIQUE(TRIM(_xlfn.TEXTSPLIT(Table21215[[#This Row],[Selection Options]:[Selection Options]],","))),,U$11),"")</f>
        <v/>
      </c>
      <c r="V150" s="29" t="str" cm="1">
        <f t="array" ref="V150">IFERROR(INDEX(_xlfn.UNIQUE(TRIM(_xlfn.TEXTSPLIT(Table21215[[#This Row],[Selection Options]:[Selection Options]],","))),,V$11),"")</f>
        <v/>
      </c>
      <c r="W150" s="29" t="str" cm="1">
        <f t="array" ref="W150">IFERROR(INDEX(_xlfn.UNIQUE(TRIM(_xlfn.TEXTSPLIT(Table21215[[#This Row],[Selection Options]:[Selection Options]],","))),,W$11),"")</f>
        <v/>
      </c>
      <c r="X150" s="29" t="str" cm="1">
        <f t="array" ref="X150">IFERROR(INDEX(_xlfn.UNIQUE(TRIM(_xlfn.TEXTSPLIT(Table21215[[#This Row],[Selection Options]:[Selection Options]],","))),,X$11),"")</f>
        <v/>
      </c>
      <c r="Y150" s="30" cm="1">
        <f t="array" ref="Y150">IF(Table21215[[#This Row],[1]]="","",Table21215[[#This Row],[Weight]:[Weight]]-(Table21215[[#This Row],[Weight]:[Weight]]*((_xlfn.XMATCH(Table21215[[#This Row],[1]],Table21215[[#This Row],[1]:[11]],0))-1)/(COUNTA(Table21215[[#This Row],[1]:[11]])-COUNTBLANK(Table21215[[#This Row],[1]:[11]])-1)))</f>
        <v>4.7656870532168391E-3</v>
      </c>
      <c r="Z150" s="30" cm="1">
        <f t="array" ref="Z150">IF(Table21215[[#This Row],[2]]="","",Table21215[[#This Row],[Weight]:[Weight]]-(Table21215[[#This Row],[Weight]:[Weight]]*((_xlfn.XMATCH(Table21215[[#This Row],[2]],Table21215[[#This Row],[1]:[11]],0))-1)/(COUNTA(Table21215[[#This Row],[1]:[11]])-COUNTBLANK(Table21215[[#This Row],[1]:[11]])-1)))</f>
        <v>3.1771247021445594E-3</v>
      </c>
      <c r="AA150" s="30" cm="1">
        <f t="array" ref="AA150">IF(Table21215[[#This Row],[3]]="","",Table21215[[#This Row],[Weight]:[Weight]]-(Table21215[[#This Row],[Weight]:[Weight]]*((_xlfn.XMATCH(Table21215[[#This Row],[3]],Table21215[[#This Row],[1]:[11]],0))-1)/(COUNTA(Table21215[[#This Row],[1]:[11]])-COUNTBLANK(Table21215[[#This Row],[1]:[11]])-1)))</f>
        <v>1.5885623510722797E-3</v>
      </c>
      <c r="AB150" s="30" cm="1">
        <f t="array" ref="AB150">IF(Table21215[[#This Row],[4]]="","",Table21215[[#This Row],[Weight]:[Weight]]-(Table21215[[#This Row],[Weight]:[Weight]]*((_xlfn.XMATCH(Table21215[[#This Row],[4]],Table21215[[#This Row],[1]:[11]],0))-1)/(COUNTA(Table21215[[#This Row],[1]:[11]])-COUNTBLANK(Table21215[[#This Row],[1]:[11]])-1)))</f>
        <v>0</v>
      </c>
      <c r="AC150" s="30" t="str" cm="1">
        <f t="array" ref="AC150">IF(Table21215[[#This Row],[5]]="","",Table21215[[#This Row],[Weight]:[Weight]]-(Table21215[[#This Row],[Weight]:[Weight]]*((_xlfn.XMATCH(Table21215[[#This Row],[5]],Table21215[[#This Row],[1]:[11]],0))-1)/(COUNTA(Table21215[[#This Row],[1]:[11]])-COUNTBLANK(Table21215[[#This Row],[1]:[11]])-1)))</f>
        <v/>
      </c>
      <c r="AD150" s="30" t="str" cm="1">
        <f t="array" ref="AD150">IF(Table21215[[#This Row],[6]]="","",Table21215[[#This Row],[Weight]:[Weight]]-(Table21215[[#This Row],[Weight]:[Weight]]*((_xlfn.XMATCH(Table21215[[#This Row],[6]],Table21215[[#This Row],[1]:[11]],0))-1)/(COUNTA(Table21215[[#This Row],[1]:[11]])-COUNTBLANK(Table21215[[#This Row],[1]:[11]])-1)))</f>
        <v/>
      </c>
      <c r="AE150" s="30" t="str" cm="1">
        <f t="array" ref="AE150">IF(Table21215[[#This Row],[7]]="","",Table21215[[#This Row],[Weight]:[Weight]]-(Table21215[[#This Row],[Weight]:[Weight]]*((_xlfn.XMATCH(Table21215[[#This Row],[7]],Table21215[[#This Row],[1]:[11]],0))-1)/(COUNTA(Table21215[[#This Row],[1]:[11]])-COUNTBLANK(Table21215[[#This Row],[1]:[11]])-1)))</f>
        <v/>
      </c>
      <c r="AF150" s="30" t="str" cm="1">
        <f t="array" ref="AF150">IF(Table21215[[#This Row],[8]]="","",Table21215[[#This Row],[Weight]:[Weight]]-(Table21215[[#This Row],[Weight]:[Weight]]*((_xlfn.XMATCH(Table21215[[#This Row],[8]],Table21215[[#This Row],[1]:[11]],0))-1)/(COUNTA(Table21215[[#This Row],[1]:[11]])-COUNTBLANK(Table21215[[#This Row],[1]:[11]])-1)))</f>
        <v/>
      </c>
      <c r="AG150" s="30" t="str" cm="1">
        <f t="array" ref="AG150">IF(Table21215[[#This Row],[9]]="","",Table21215[[#This Row],[Weight]:[Weight]]-(Table21215[[#This Row],[Weight]:[Weight]]*((_xlfn.XMATCH(Table21215[[#This Row],[9]],Table21215[[#This Row],[1]:[11]],0))-1)/(COUNTA(Table21215[[#This Row],[1]:[11]])-COUNTBLANK(Table21215[[#This Row],[1]:[11]])-1)))</f>
        <v/>
      </c>
      <c r="AH150" s="30" t="str" cm="1">
        <f t="array" ref="AH150">IF(Table21215[[#This Row],[10]]="","",Table21215[[#This Row],[Weight]:[Weight]]-(Table21215[[#This Row],[Weight]:[Weight]]*((_xlfn.XMATCH(Table21215[[#This Row],[10]],Table21215[[#This Row],[1]:[11]],0))-1)/(COUNTA(Table21215[[#This Row],[1]:[11]])-COUNTBLANK(Table21215[[#This Row],[1]:[11]])-1)))</f>
        <v/>
      </c>
      <c r="AI150" s="30" t="str" cm="1">
        <f t="array" ref="AI150">IF(Table21215[[#This Row],[11]]="","",Table21215[[#This Row],[Weight]:[Weight]]-(Table21215[[#This Row],[Weight]:[Weight]]*((_xlfn.XMATCH(Table21215[[#This Row],[11]],Table21215[[#This Row],[1]:[11]],0))-1)/(COUNTA(Table21215[[#This Row],[1]:[11]])-COUNTBLANK(Table21215[[#This Row],[1]:[11]])-1)))</f>
        <v/>
      </c>
    </row>
    <row r="151" spans="1:35" ht="108" x14ac:dyDescent="0.2">
      <c r="A151" s="20">
        <v>139</v>
      </c>
      <c r="B151" s="165" t="s">
        <v>968</v>
      </c>
      <c r="C151" s="21" t="s">
        <v>826</v>
      </c>
      <c r="D151" s="38"/>
      <c r="E151" s="38"/>
      <c r="F151" s="159" t="s">
        <v>60</v>
      </c>
      <c r="G151" s="160" cm="1">
        <f t="array" ref="G151">_xlfn.IFS(F151="","",F151="No interest",0,F151="Nice to have",1,F151="Useful",2,F151="Important",3,F151="Very important",4,F151="Critical",5,F151="Show stopper",6)</f>
        <v>6</v>
      </c>
      <c r="H151" s="161">
        <f t="shared" si="3"/>
        <v>4.7656870532168391E-3</v>
      </c>
      <c r="I151" s="157" t="s">
        <v>827</v>
      </c>
      <c r="J151" s="35" t="str" cm="1">
        <f t="array" ref="J151">_xlfn.TEXTJOIN(","&amp;CHAR(10),,TEXT(Table21215[[#This Row],[12]:[22]],"0,00%"))</f>
        <v>0,00%,
0,00%,
0,00%,
0,00%</v>
      </c>
      <c r="K151" s="36"/>
      <c r="L151" s="37" t="e">
        <f>H151-(H151*((MATCH(Table21215[[#This Row],[Evaluators Response (SELECT)]],Table21215[[#This Row],[1]:[11]],0)-1)/(COUNTA(Table21215[[#This Row],[1]:[11]])-COUNTBLANK(Table21215[[#This Row],[1]:[11]])-1)))</f>
        <v>#N/A</v>
      </c>
      <c r="M151" s="38"/>
      <c r="N151" s="29" t="s">
        <v>828</v>
      </c>
      <c r="O151" s="29" t="s">
        <v>829</v>
      </c>
      <c r="P151" s="29" t="s">
        <v>830</v>
      </c>
      <c r="Q151" s="29" t="str" cm="1">
        <f t="array" ref="Q151">IFERROR(INDEX(_xlfn.UNIQUE(TRIM(_xlfn.TEXTSPLIT(Table21215[[#This Row],[Selection Options]:[Selection Options]],","))),,Q$11),"")</f>
        <v xml:space="preserve">
 0%: Not currently supported</v>
      </c>
      <c r="R151" s="29" t="str" cm="1">
        <f t="array" ref="R151">IFERROR(INDEX(_xlfn.UNIQUE(TRIM(_xlfn.TEXTSPLIT(Table21215[[#This Row],[Selection Options]:[Selection Options]],","))),,R$11),"")</f>
        <v/>
      </c>
      <c r="S151" s="29" t="str" cm="1">
        <f t="array" ref="S151">IFERROR(INDEX(_xlfn.UNIQUE(TRIM(_xlfn.TEXTSPLIT(Table21215[[#This Row],[Selection Options]:[Selection Options]],","))),,S$11),"")</f>
        <v/>
      </c>
      <c r="T151" s="29" t="str" cm="1">
        <f t="array" ref="T151">IFERROR(INDEX(_xlfn.UNIQUE(TRIM(_xlfn.TEXTSPLIT(Table21215[[#This Row],[Selection Options]:[Selection Options]],","))),,T$11),"")</f>
        <v/>
      </c>
      <c r="U151" s="29" t="str" cm="1">
        <f t="array" ref="U151">IFERROR(INDEX(_xlfn.UNIQUE(TRIM(_xlfn.TEXTSPLIT(Table21215[[#This Row],[Selection Options]:[Selection Options]],","))),,U$11),"")</f>
        <v/>
      </c>
      <c r="V151" s="29" t="str" cm="1">
        <f t="array" ref="V151">IFERROR(INDEX(_xlfn.UNIQUE(TRIM(_xlfn.TEXTSPLIT(Table21215[[#This Row],[Selection Options]:[Selection Options]],","))),,V$11),"")</f>
        <v/>
      </c>
      <c r="W151" s="29" t="str" cm="1">
        <f t="array" ref="W151">IFERROR(INDEX(_xlfn.UNIQUE(TRIM(_xlfn.TEXTSPLIT(Table21215[[#This Row],[Selection Options]:[Selection Options]],","))),,W$11),"")</f>
        <v/>
      </c>
      <c r="X151" s="29" t="str" cm="1">
        <f t="array" ref="X151">IFERROR(INDEX(_xlfn.UNIQUE(TRIM(_xlfn.TEXTSPLIT(Table21215[[#This Row],[Selection Options]:[Selection Options]],","))),,X$11),"")</f>
        <v/>
      </c>
      <c r="Y151" s="30" cm="1">
        <f t="array" ref="Y151">IF(Table21215[[#This Row],[1]]="","",Table21215[[#This Row],[Weight]:[Weight]]-(Table21215[[#This Row],[Weight]:[Weight]]*((_xlfn.XMATCH(Table21215[[#This Row],[1]],Table21215[[#This Row],[1]:[11]],0))-1)/(COUNTA(Table21215[[#This Row],[1]:[11]])-COUNTBLANK(Table21215[[#This Row],[1]:[11]])-1)))</f>
        <v>4.7656870532168391E-3</v>
      </c>
      <c r="Z151" s="30" cm="1">
        <f t="array" ref="Z151">IF(Table21215[[#This Row],[2]]="","",Table21215[[#This Row],[Weight]:[Weight]]-(Table21215[[#This Row],[Weight]:[Weight]]*((_xlfn.XMATCH(Table21215[[#This Row],[2]],Table21215[[#This Row],[1]:[11]],0))-1)/(COUNTA(Table21215[[#This Row],[1]:[11]])-COUNTBLANK(Table21215[[#This Row],[1]:[11]])-1)))</f>
        <v>3.1771247021445594E-3</v>
      </c>
      <c r="AA151" s="30" cm="1">
        <f t="array" ref="AA151">IF(Table21215[[#This Row],[3]]="","",Table21215[[#This Row],[Weight]:[Weight]]-(Table21215[[#This Row],[Weight]:[Weight]]*((_xlfn.XMATCH(Table21215[[#This Row],[3]],Table21215[[#This Row],[1]:[11]],0))-1)/(COUNTA(Table21215[[#This Row],[1]:[11]])-COUNTBLANK(Table21215[[#This Row],[1]:[11]])-1)))</f>
        <v>1.5885623510722797E-3</v>
      </c>
      <c r="AB151" s="30" cm="1">
        <f t="array" ref="AB151">IF(Table21215[[#This Row],[4]]="","",Table21215[[#This Row],[Weight]:[Weight]]-(Table21215[[#This Row],[Weight]:[Weight]]*((_xlfn.XMATCH(Table21215[[#This Row],[4]],Table21215[[#This Row],[1]:[11]],0))-1)/(COUNTA(Table21215[[#This Row],[1]:[11]])-COUNTBLANK(Table21215[[#This Row],[1]:[11]])-1)))</f>
        <v>0</v>
      </c>
      <c r="AC151" s="30" t="str" cm="1">
        <f t="array" ref="AC151">IF(Table21215[[#This Row],[5]]="","",Table21215[[#This Row],[Weight]:[Weight]]-(Table21215[[#This Row],[Weight]:[Weight]]*((_xlfn.XMATCH(Table21215[[#This Row],[5]],Table21215[[#This Row],[1]:[11]],0))-1)/(COUNTA(Table21215[[#This Row],[1]:[11]])-COUNTBLANK(Table21215[[#This Row],[1]:[11]])-1)))</f>
        <v/>
      </c>
      <c r="AD151" s="30" t="str" cm="1">
        <f t="array" ref="AD151">IF(Table21215[[#This Row],[6]]="","",Table21215[[#This Row],[Weight]:[Weight]]-(Table21215[[#This Row],[Weight]:[Weight]]*((_xlfn.XMATCH(Table21215[[#This Row],[6]],Table21215[[#This Row],[1]:[11]],0))-1)/(COUNTA(Table21215[[#This Row],[1]:[11]])-COUNTBLANK(Table21215[[#This Row],[1]:[11]])-1)))</f>
        <v/>
      </c>
      <c r="AE151" s="30" t="str" cm="1">
        <f t="array" ref="AE151">IF(Table21215[[#This Row],[7]]="","",Table21215[[#This Row],[Weight]:[Weight]]-(Table21215[[#This Row],[Weight]:[Weight]]*((_xlfn.XMATCH(Table21215[[#This Row],[7]],Table21215[[#This Row],[1]:[11]],0))-1)/(COUNTA(Table21215[[#This Row],[1]:[11]])-COUNTBLANK(Table21215[[#This Row],[1]:[11]])-1)))</f>
        <v/>
      </c>
      <c r="AF151" s="30" t="str" cm="1">
        <f t="array" ref="AF151">IF(Table21215[[#This Row],[8]]="","",Table21215[[#This Row],[Weight]:[Weight]]-(Table21215[[#This Row],[Weight]:[Weight]]*((_xlfn.XMATCH(Table21215[[#This Row],[8]],Table21215[[#This Row],[1]:[11]],0))-1)/(COUNTA(Table21215[[#This Row],[1]:[11]])-COUNTBLANK(Table21215[[#This Row],[1]:[11]])-1)))</f>
        <v/>
      </c>
      <c r="AG151" s="30" t="str" cm="1">
        <f t="array" ref="AG151">IF(Table21215[[#This Row],[9]]="","",Table21215[[#This Row],[Weight]:[Weight]]-(Table21215[[#This Row],[Weight]:[Weight]]*((_xlfn.XMATCH(Table21215[[#This Row],[9]],Table21215[[#This Row],[1]:[11]],0))-1)/(COUNTA(Table21215[[#This Row],[1]:[11]])-COUNTBLANK(Table21215[[#This Row],[1]:[11]])-1)))</f>
        <v/>
      </c>
      <c r="AH151" s="30" t="str" cm="1">
        <f t="array" ref="AH151">IF(Table21215[[#This Row],[10]]="","",Table21215[[#This Row],[Weight]:[Weight]]-(Table21215[[#This Row],[Weight]:[Weight]]*((_xlfn.XMATCH(Table21215[[#This Row],[10]],Table21215[[#This Row],[1]:[11]],0))-1)/(COUNTA(Table21215[[#This Row],[1]:[11]])-COUNTBLANK(Table21215[[#This Row],[1]:[11]])-1)))</f>
        <v/>
      </c>
      <c r="AI151" s="30" t="str" cm="1">
        <f t="array" ref="AI151">IF(Table21215[[#This Row],[11]]="","",Table21215[[#This Row],[Weight]:[Weight]]-(Table21215[[#This Row],[Weight]:[Weight]]*((_xlfn.XMATCH(Table21215[[#This Row],[11]],Table21215[[#This Row],[1]:[11]],0))-1)/(COUNTA(Table21215[[#This Row],[1]:[11]])-COUNTBLANK(Table21215[[#This Row],[1]:[11]])-1)))</f>
        <v/>
      </c>
    </row>
    <row r="152" spans="1:35" ht="108" x14ac:dyDescent="0.2">
      <c r="A152" s="20">
        <v>140</v>
      </c>
      <c r="B152" s="165" t="s">
        <v>969</v>
      </c>
      <c r="C152" s="21" t="s">
        <v>826</v>
      </c>
      <c r="D152" s="38"/>
      <c r="E152" s="38"/>
      <c r="F152" s="159" t="s">
        <v>60</v>
      </c>
      <c r="G152" s="160" cm="1">
        <f t="array" ref="G152">_xlfn.IFS(F152="","",F152="No interest",0,F152="Nice to have",1,F152="Useful",2,F152="Important",3,F152="Very important",4,F152="Critical",5,F152="Show stopper",6)</f>
        <v>6</v>
      </c>
      <c r="H152" s="161">
        <f t="shared" si="3"/>
        <v>4.7656870532168391E-3</v>
      </c>
      <c r="I152" s="157" t="s">
        <v>827</v>
      </c>
      <c r="J152" s="35" t="str" cm="1">
        <f t="array" ref="J152">_xlfn.TEXTJOIN(","&amp;CHAR(10),,TEXT(Table21215[[#This Row],[12]:[22]],"0,00%"))</f>
        <v>0,00%,
0,00%,
0,00%,
0,00%</v>
      </c>
      <c r="K152" s="36"/>
      <c r="L152" s="37" t="e">
        <f>H152-(H152*((MATCH(Table21215[[#This Row],[Evaluators Response (SELECT)]],Table21215[[#This Row],[1]:[11]],0)-1)/(COUNTA(Table21215[[#This Row],[1]:[11]])-COUNTBLANK(Table21215[[#This Row],[1]:[11]])-1)))</f>
        <v>#N/A</v>
      </c>
      <c r="M152" s="38"/>
      <c r="N152" s="29" t="s">
        <v>828</v>
      </c>
      <c r="O152" s="29" t="s">
        <v>829</v>
      </c>
      <c r="P152" s="29" t="s">
        <v>830</v>
      </c>
      <c r="Q152" s="29" t="str" cm="1">
        <f t="array" ref="Q152">IFERROR(INDEX(_xlfn.UNIQUE(TRIM(_xlfn.TEXTSPLIT(Table21215[[#This Row],[Selection Options]:[Selection Options]],","))),,Q$11),"")</f>
        <v xml:space="preserve">
 0%: Not currently supported</v>
      </c>
      <c r="R152" s="29" t="str" cm="1">
        <f t="array" ref="R152">IFERROR(INDEX(_xlfn.UNIQUE(TRIM(_xlfn.TEXTSPLIT(Table21215[[#This Row],[Selection Options]:[Selection Options]],","))),,R$11),"")</f>
        <v/>
      </c>
      <c r="S152" s="29" t="str" cm="1">
        <f t="array" ref="S152">IFERROR(INDEX(_xlfn.UNIQUE(TRIM(_xlfn.TEXTSPLIT(Table21215[[#This Row],[Selection Options]:[Selection Options]],","))),,S$11),"")</f>
        <v/>
      </c>
      <c r="T152" s="29" t="str" cm="1">
        <f t="array" ref="T152">IFERROR(INDEX(_xlfn.UNIQUE(TRIM(_xlfn.TEXTSPLIT(Table21215[[#This Row],[Selection Options]:[Selection Options]],","))),,T$11),"")</f>
        <v/>
      </c>
      <c r="U152" s="29" t="str" cm="1">
        <f t="array" ref="U152">IFERROR(INDEX(_xlfn.UNIQUE(TRIM(_xlfn.TEXTSPLIT(Table21215[[#This Row],[Selection Options]:[Selection Options]],","))),,U$11),"")</f>
        <v/>
      </c>
      <c r="V152" s="29" t="str" cm="1">
        <f t="array" ref="V152">IFERROR(INDEX(_xlfn.UNIQUE(TRIM(_xlfn.TEXTSPLIT(Table21215[[#This Row],[Selection Options]:[Selection Options]],","))),,V$11),"")</f>
        <v/>
      </c>
      <c r="W152" s="29" t="str" cm="1">
        <f t="array" ref="W152">IFERROR(INDEX(_xlfn.UNIQUE(TRIM(_xlfn.TEXTSPLIT(Table21215[[#This Row],[Selection Options]:[Selection Options]],","))),,W$11),"")</f>
        <v/>
      </c>
      <c r="X152" s="29" t="str" cm="1">
        <f t="array" ref="X152">IFERROR(INDEX(_xlfn.UNIQUE(TRIM(_xlfn.TEXTSPLIT(Table21215[[#This Row],[Selection Options]:[Selection Options]],","))),,X$11),"")</f>
        <v/>
      </c>
      <c r="Y152" s="30" cm="1">
        <f t="array" ref="Y152">IF(Table21215[[#This Row],[1]]="","",Table21215[[#This Row],[Weight]:[Weight]]-(Table21215[[#This Row],[Weight]:[Weight]]*((_xlfn.XMATCH(Table21215[[#This Row],[1]],Table21215[[#This Row],[1]:[11]],0))-1)/(COUNTA(Table21215[[#This Row],[1]:[11]])-COUNTBLANK(Table21215[[#This Row],[1]:[11]])-1)))</f>
        <v>4.7656870532168391E-3</v>
      </c>
      <c r="Z152" s="30" cm="1">
        <f t="array" ref="Z152">IF(Table21215[[#This Row],[2]]="","",Table21215[[#This Row],[Weight]:[Weight]]-(Table21215[[#This Row],[Weight]:[Weight]]*((_xlfn.XMATCH(Table21215[[#This Row],[2]],Table21215[[#This Row],[1]:[11]],0))-1)/(COUNTA(Table21215[[#This Row],[1]:[11]])-COUNTBLANK(Table21215[[#This Row],[1]:[11]])-1)))</f>
        <v>3.1771247021445594E-3</v>
      </c>
      <c r="AA152" s="30" cm="1">
        <f t="array" ref="AA152">IF(Table21215[[#This Row],[3]]="","",Table21215[[#This Row],[Weight]:[Weight]]-(Table21215[[#This Row],[Weight]:[Weight]]*((_xlfn.XMATCH(Table21215[[#This Row],[3]],Table21215[[#This Row],[1]:[11]],0))-1)/(COUNTA(Table21215[[#This Row],[1]:[11]])-COUNTBLANK(Table21215[[#This Row],[1]:[11]])-1)))</f>
        <v>1.5885623510722797E-3</v>
      </c>
      <c r="AB152" s="30" cm="1">
        <f t="array" ref="AB152">IF(Table21215[[#This Row],[4]]="","",Table21215[[#This Row],[Weight]:[Weight]]-(Table21215[[#This Row],[Weight]:[Weight]]*((_xlfn.XMATCH(Table21215[[#This Row],[4]],Table21215[[#This Row],[1]:[11]],0))-1)/(COUNTA(Table21215[[#This Row],[1]:[11]])-COUNTBLANK(Table21215[[#This Row],[1]:[11]])-1)))</f>
        <v>0</v>
      </c>
      <c r="AC152" s="30" t="str" cm="1">
        <f t="array" ref="AC152">IF(Table21215[[#This Row],[5]]="","",Table21215[[#This Row],[Weight]:[Weight]]-(Table21215[[#This Row],[Weight]:[Weight]]*((_xlfn.XMATCH(Table21215[[#This Row],[5]],Table21215[[#This Row],[1]:[11]],0))-1)/(COUNTA(Table21215[[#This Row],[1]:[11]])-COUNTBLANK(Table21215[[#This Row],[1]:[11]])-1)))</f>
        <v/>
      </c>
      <c r="AD152" s="30" t="str" cm="1">
        <f t="array" ref="AD152">IF(Table21215[[#This Row],[6]]="","",Table21215[[#This Row],[Weight]:[Weight]]-(Table21215[[#This Row],[Weight]:[Weight]]*((_xlfn.XMATCH(Table21215[[#This Row],[6]],Table21215[[#This Row],[1]:[11]],0))-1)/(COUNTA(Table21215[[#This Row],[1]:[11]])-COUNTBLANK(Table21215[[#This Row],[1]:[11]])-1)))</f>
        <v/>
      </c>
      <c r="AE152" s="30" t="str" cm="1">
        <f t="array" ref="AE152">IF(Table21215[[#This Row],[7]]="","",Table21215[[#This Row],[Weight]:[Weight]]-(Table21215[[#This Row],[Weight]:[Weight]]*((_xlfn.XMATCH(Table21215[[#This Row],[7]],Table21215[[#This Row],[1]:[11]],0))-1)/(COUNTA(Table21215[[#This Row],[1]:[11]])-COUNTBLANK(Table21215[[#This Row],[1]:[11]])-1)))</f>
        <v/>
      </c>
      <c r="AF152" s="30" t="str" cm="1">
        <f t="array" ref="AF152">IF(Table21215[[#This Row],[8]]="","",Table21215[[#This Row],[Weight]:[Weight]]-(Table21215[[#This Row],[Weight]:[Weight]]*((_xlfn.XMATCH(Table21215[[#This Row],[8]],Table21215[[#This Row],[1]:[11]],0))-1)/(COUNTA(Table21215[[#This Row],[1]:[11]])-COUNTBLANK(Table21215[[#This Row],[1]:[11]])-1)))</f>
        <v/>
      </c>
      <c r="AG152" s="30" t="str" cm="1">
        <f t="array" ref="AG152">IF(Table21215[[#This Row],[9]]="","",Table21215[[#This Row],[Weight]:[Weight]]-(Table21215[[#This Row],[Weight]:[Weight]]*((_xlfn.XMATCH(Table21215[[#This Row],[9]],Table21215[[#This Row],[1]:[11]],0))-1)/(COUNTA(Table21215[[#This Row],[1]:[11]])-COUNTBLANK(Table21215[[#This Row],[1]:[11]])-1)))</f>
        <v/>
      </c>
      <c r="AH152" s="30" t="str" cm="1">
        <f t="array" ref="AH152">IF(Table21215[[#This Row],[10]]="","",Table21215[[#This Row],[Weight]:[Weight]]-(Table21215[[#This Row],[Weight]:[Weight]]*((_xlfn.XMATCH(Table21215[[#This Row],[10]],Table21215[[#This Row],[1]:[11]],0))-1)/(COUNTA(Table21215[[#This Row],[1]:[11]])-COUNTBLANK(Table21215[[#This Row],[1]:[11]])-1)))</f>
        <v/>
      </c>
      <c r="AI152" s="30" t="str" cm="1">
        <f t="array" ref="AI152">IF(Table21215[[#This Row],[11]]="","",Table21215[[#This Row],[Weight]:[Weight]]-(Table21215[[#This Row],[Weight]:[Weight]]*((_xlfn.XMATCH(Table21215[[#This Row],[11]],Table21215[[#This Row],[1]:[11]],0))-1)/(COUNTA(Table21215[[#This Row],[1]:[11]])-COUNTBLANK(Table21215[[#This Row],[1]:[11]])-1)))</f>
        <v/>
      </c>
    </row>
    <row r="153" spans="1:35" ht="108" x14ac:dyDescent="0.2">
      <c r="A153" s="20">
        <v>141</v>
      </c>
      <c r="B153" s="165" t="s">
        <v>970</v>
      </c>
      <c r="C153" s="21" t="s">
        <v>826</v>
      </c>
      <c r="D153" s="38"/>
      <c r="E153" s="38"/>
      <c r="F153" s="159" t="s">
        <v>60</v>
      </c>
      <c r="G153" s="160" cm="1">
        <f t="array" ref="G153">_xlfn.IFS(F153="","",F153="No interest",0,F153="Nice to have",1,F153="Useful",2,F153="Important",3,F153="Very important",4,F153="Critical",5,F153="Show stopper",6)</f>
        <v>6</v>
      </c>
      <c r="H153" s="161">
        <f t="shared" si="3"/>
        <v>4.7656870532168391E-3</v>
      </c>
      <c r="I153" s="157" t="s">
        <v>827</v>
      </c>
      <c r="J153" s="35" t="str" cm="1">
        <f t="array" ref="J153">_xlfn.TEXTJOIN(","&amp;CHAR(10),,TEXT(Table21215[[#This Row],[12]:[22]],"0,00%"))</f>
        <v>0,00%,
0,00%,
0,00%,
0,00%</v>
      </c>
      <c r="K153" s="36"/>
      <c r="L153" s="37" t="e">
        <f>H153-(H153*((MATCH(Table21215[[#This Row],[Evaluators Response (SELECT)]],Table21215[[#This Row],[1]:[11]],0)-1)/(COUNTA(Table21215[[#This Row],[1]:[11]])-COUNTBLANK(Table21215[[#This Row],[1]:[11]])-1)))</f>
        <v>#N/A</v>
      </c>
      <c r="M153" s="38"/>
      <c r="N153" s="29" t="s">
        <v>828</v>
      </c>
      <c r="O153" s="29" t="s">
        <v>829</v>
      </c>
      <c r="P153" s="29" t="s">
        <v>830</v>
      </c>
      <c r="Q153" s="29" t="str" cm="1">
        <f t="array" ref="Q153">IFERROR(INDEX(_xlfn.UNIQUE(TRIM(_xlfn.TEXTSPLIT(Table21215[[#This Row],[Selection Options]:[Selection Options]],","))),,Q$11),"")</f>
        <v xml:space="preserve">
 0%: Not currently supported</v>
      </c>
      <c r="R153" s="29" t="str" cm="1">
        <f t="array" ref="R153">IFERROR(INDEX(_xlfn.UNIQUE(TRIM(_xlfn.TEXTSPLIT(Table21215[[#This Row],[Selection Options]:[Selection Options]],","))),,R$11),"")</f>
        <v/>
      </c>
      <c r="S153" s="29" t="str" cm="1">
        <f t="array" ref="S153">IFERROR(INDEX(_xlfn.UNIQUE(TRIM(_xlfn.TEXTSPLIT(Table21215[[#This Row],[Selection Options]:[Selection Options]],","))),,S$11),"")</f>
        <v/>
      </c>
      <c r="T153" s="29" t="str" cm="1">
        <f t="array" ref="T153">IFERROR(INDEX(_xlfn.UNIQUE(TRIM(_xlfn.TEXTSPLIT(Table21215[[#This Row],[Selection Options]:[Selection Options]],","))),,T$11),"")</f>
        <v/>
      </c>
      <c r="U153" s="29" t="str" cm="1">
        <f t="array" ref="U153">IFERROR(INDEX(_xlfn.UNIQUE(TRIM(_xlfn.TEXTSPLIT(Table21215[[#This Row],[Selection Options]:[Selection Options]],","))),,U$11),"")</f>
        <v/>
      </c>
      <c r="V153" s="29" t="str" cm="1">
        <f t="array" ref="V153">IFERROR(INDEX(_xlfn.UNIQUE(TRIM(_xlfn.TEXTSPLIT(Table21215[[#This Row],[Selection Options]:[Selection Options]],","))),,V$11),"")</f>
        <v/>
      </c>
      <c r="W153" s="29" t="str" cm="1">
        <f t="array" ref="W153">IFERROR(INDEX(_xlfn.UNIQUE(TRIM(_xlfn.TEXTSPLIT(Table21215[[#This Row],[Selection Options]:[Selection Options]],","))),,W$11),"")</f>
        <v/>
      </c>
      <c r="X153" s="29" t="str" cm="1">
        <f t="array" ref="X153">IFERROR(INDEX(_xlfn.UNIQUE(TRIM(_xlfn.TEXTSPLIT(Table21215[[#This Row],[Selection Options]:[Selection Options]],","))),,X$11),"")</f>
        <v/>
      </c>
      <c r="Y153" s="30" cm="1">
        <f t="array" ref="Y153">IF(Table21215[[#This Row],[1]]="","",Table21215[[#This Row],[Weight]:[Weight]]-(Table21215[[#This Row],[Weight]:[Weight]]*((_xlfn.XMATCH(Table21215[[#This Row],[1]],Table21215[[#This Row],[1]:[11]],0))-1)/(COUNTA(Table21215[[#This Row],[1]:[11]])-COUNTBLANK(Table21215[[#This Row],[1]:[11]])-1)))</f>
        <v>4.7656870532168391E-3</v>
      </c>
      <c r="Z153" s="30" cm="1">
        <f t="array" ref="Z153">IF(Table21215[[#This Row],[2]]="","",Table21215[[#This Row],[Weight]:[Weight]]-(Table21215[[#This Row],[Weight]:[Weight]]*((_xlfn.XMATCH(Table21215[[#This Row],[2]],Table21215[[#This Row],[1]:[11]],0))-1)/(COUNTA(Table21215[[#This Row],[1]:[11]])-COUNTBLANK(Table21215[[#This Row],[1]:[11]])-1)))</f>
        <v>3.1771247021445594E-3</v>
      </c>
      <c r="AA153" s="30" cm="1">
        <f t="array" ref="AA153">IF(Table21215[[#This Row],[3]]="","",Table21215[[#This Row],[Weight]:[Weight]]-(Table21215[[#This Row],[Weight]:[Weight]]*((_xlfn.XMATCH(Table21215[[#This Row],[3]],Table21215[[#This Row],[1]:[11]],0))-1)/(COUNTA(Table21215[[#This Row],[1]:[11]])-COUNTBLANK(Table21215[[#This Row],[1]:[11]])-1)))</f>
        <v>1.5885623510722797E-3</v>
      </c>
      <c r="AB153" s="30" cm="1">
        <f t="array" ref="AB153">IF(Table21215[[#This Row],[4]]="","",Table21215[[#This Row],[Weight]:[Weight]]-(Table21215[[#This Row],[Weight]:[Weight]]*((_xlfn.XMATCH(Table21215[[#This Row],[4]],Table21215[[#This Row],[1]:[11]],0))-1)/(COUNTA(Table21215[[#This Row],[1]:[11]])-COUNTBLANK(Table21215[[#This Row],[1]:[11]])-1)))</f>
        <v>0</v>
      </c>
      <c r="AC153" s="30" t="str" cm="1">
        <f t="array" ref="AC153">IF(Table21215[[#This Row],[5]]="","",Table21215[[#This Row],[Weight]:[Weight]]-(Table21215[[#This Row],[Weight]:[Weight]]*((_xlfn.XMATCH(Table21215[[#This Row],[5]],Table21215[[#This Row],[1]:[11]],0))-1)/(COUNTA(Table21215[[#This Row],[1]:[11]])-COUNTBLANK(Table21215[[#This Row],[1]:[11]])-1)))</f>
        <v/>
      </c>
      <c r="AD153" s="30" t="str" cm="1">
        <f t="array" ref="AD153">IF(Table21215[[#This Row],[6]]="","",Table21215[[#This Row],[Weight]:[Weight]]-(Table21215[[#This Row],[Weight]:[Weight]]*((_xlfn.XMATCH(Table21215[[#This Row],[6]],Table21215[[#This Row],[1]:[11]],0))-1)/(COUNTA(Table21215[[#This Row],[1]:[11]])-COUNTBLANK(Table21215[[#This Row],[1]:[11]])-1)))</f>
        <v/>
      </c>
      <c r="AE153" s="30" t="str" cm="1">
        <f t="array" ref="AE153">IF(Table21215[[#This Row],[7]]="","",Table21215[[#This Row],[Weight]:[Weight]]-(Table21215[[#This Row],[Weight]:[Weight]]*((_xlfn.XMATCH(Table21215[[#This Row],[7]],Table21215[[#This Row],[1]:[11]],0))-1)/(COUNTA(Table21215[[#This Row],[1]:[11]])-COUNTBLANK(Table21215[[#This Row],[1]:[11]])-1)))</f>
        <v/>
      </c>
      <c r="AF153" s="30" t="str" cm="1">
        <f t="array" ref="AF153">IF(Table21215[[#This Row],[8]]="","",Table21215[[#This Row],[Weight]:[Weight]]-(Table21215[[#This Row],[Weight]:[Weight]]*((_xlfn.XMATCH(Table21215[[#This Row],[8]],Table21215[[#This Row],[1]:[11]],0))-1)/(COUNTA(Table21215[[#This Row],[1]:[11]])-COUNTBLANK(Table21215[[#This Row],[1]:[11]])-1)))</f>
        <v/>
      </c>
      <c r="AG153" s="30" t="str" cm="1">
        <f t="array" ref="AG153">IF(Table21215[[#This Row],[9]]="","",Table21215[[#This Row],[Weight]:[Weight]]-(Table21215[[#This Row],[Weight]:[Weight]]*((_xlfn.XMATCH(Table21215[[#This Row],[9]],Table21215[[#This Row],[1]:[11]],0))-1)/(COUNTA(Table21215[[#This Row],[1]:[11]])-COUNTBLANK(Table21215[[#This Row],[1]:[11]])-1)))</f>
        <v/>
      </c>
      <c r="AH153" s="30" t="str" cm="1">
        <f t="array" ref="AH153">IF(Table21215[[#This Row],[10]]="","",Table21215[[#This Row],[Weight]:[Weight]]-(Table21215[[#This Row],[Weight]:[Weight]]*((_xlfn.XMATCH(Table21215[[#This Row],[10]],Table21215[[#This Row],[1]:[11]],0))-1)/(COUNTA(Table21215[[#This Row],[1]:[11]])-COUNTBLANK(Table21215[[#This Row],[1]:[11]])-1)))</f>
        <v/>
      </c>
      <c r="AI153" s="30" t="str" cm="1">
        <f t="array" ref="AI153">IF(Table21215[[#This Row],[11]]="","",Table21215[[#This Row],[Weight]:[Weight]]-(Table21215[[#This Row],[Weight]:[Weight]]*((_xlfn.XMATCH(Table21215[[#This Row],[11]],Table21215[[#This Row],[1]:[11]],0))-1)/(COUNTA(Table21215[[#This Row],[1]:[11]])-COUNTBLANK(Table21215[[#This Row],[1]:[11]])-1)))</f>
        <v/>
      </c>
    </row>
    <row r="154" spans="1:35" ht="108" x14ac:dyDescent="0.2">
      <c r="A154" s="20">
        <v>142</v>
      </c>
      <c r="B154" s="165" t="s">
        <v>971</v>
      </c>
      <c r="C154" s="21" t="s">
        <v>826</v>
      </c>
      <c r="D154" s="38"/>
      <c r="E154" s="38"/>
      <c r="F154" s="159" t="s">
        <v>60</v>
      </c>
      <c r="G154" s="160" cm="1">
        <f t="array" ref="G154">_xlfn.IFS(F154="","",F154="No interest",0,F154="Nice to have",1,F154="Useful",2,F154="Important",3,F154="Very important",4,F154="Critical",5,F154="Show stopper",6)</f>
        <v>6</v>
      </c>
      <c r="H154" s="161">
        <f t="shared" si="3"/>
        <v>4.7656870532168391E-3</v>
      </c>
      <c r="I154" s="157" t="s">
        <v>827</v>
      </c>
      <c r="J154" s="35" t="str" cm="1">
        <f t="array" ref="J154">_xlfn.TEXTJOIN(","&amp;CHAR(10),,TEXT(Table21215[[#This Row],[12]:[22]],"0,00%"))</f>
        <v>0,00%,
0,00%,
0,00%,
0,00%</v>
      </c>
      <c r="K154" s="36"/>
      <c r="L154" s="37" t="e">
        <f>H154-(H154*((MATCH(Table21215[[#This Row],[Evaluators Response (SELECT)]],Table21215[[#This Row],[1]:[11]],0)-1)/(COUNTA(Table21215[[#This Row],[1]:[11]])-COUNTBLANK(Table21215[[#This Row],[1]:[11]])-1)))</f>
        <v>#N/A</v>
      </c>
      <c r="M154" s="38"/>
      <c r="N154" s="29" t="s">
        <v>828</v>
      </c>
      <c r="O154" s="29" t="s">
        <v>829</v>
      </c>
      <c r="P154" s="29" t="s">
        <v>830</v>
      </c>
      <c r="Q154" s="29" t="str" cm="1">
        <f t="array" ref="Q154">IFERROR(INDEX(_xlfn.UNIQUE(TRIM(_xlfn.TEXTSPLIT(Table21215[[#This Row],[Selection Options]:[Selection Options]],","))),,Q$11),"")</f>
        <v xml:space="preserve">
 0%: Not currently supported</v>
      </c>
      <c r="R154" s="29" t="str" cm="1">
        <f t="array" ref="R154">IFERROR(INDEX(_xlfn.UNIQUE(TRIM(_xlfn.TEXTSPLIT(Table21215[[#This Row],[Selection Options]:[Selection Options]],","))),,R$11),"")</f>
        <v/>
      </c>
      <c r="S154" s="29" t="str" cm="1">
        <f t="array" ref="S154">IFERROR(INDEX(_xlfn.UNIQUE(TRIM(_xlfn.TEXTSPLIT(Table21215[[#This Row],[Selection Options]:[Selection Options]],","))),,S$11),"")</f>
        <v/>
      </c>
      <c r="T154" s="29" t="str" cm="1">
        <f t="array" ref="T154">IFERROR(INDEX(_xlfn.UNIQUE(TRIM(_xlfn.TEXTSPLIT(Table21215[[#This Row],[Selection Options]:[Selection Options]],","))),,T$11),"")</f>
        <v/>
      </c>
      <c r="U154" s="29" t="str" cm="1">
        <f t="array" ref="U154">IFERROR(INDEX(_xlfn.UNIQUE(TRIM(_xlfn.TEXTSPLIT(Table21215[[#This Row],[Selection Options]:[Selection Options]],","))),,U$11),"")</f>
        <v/>
      </c>
      <c r="V154" s="29" t="str" cm="1">
        <f t="array" ref="V154">IFERROR(INDEX(_xlfn.UNIQUE(TRIM(_xlfn.TEXTSPLIT(Table21215[[#This Row],[Selection Options]:[Selection Options]],","))),,V$11),"")</f>
        <v/>
      </c>
      <c r="W154" s="29" t="str" cm="1">
        <f t="array" ref="W154">IFERROR(INDEX(_xlfn.UNIQUE(TRIM(_xlfn.TEXTSPLIT(Table21215[[#This Row],[Selection Options]:[Selection Options]],","))),,W$11),"")</f>
        <v/>
      </c>
      <c r="X154" s="29" t="str" cm="1">
        <f t="array" ref="X154">IFERROR(INDEX(_xlfn.UNIQUE(TRIM(_xlfn.TEXTSPLIT(Table21215[[#This Row],[Selection Options]:[Selection Options]],","))),,X$11),"")</f>
        <v/>
      </c>
      <c r="Y154" s="30" cm="1">
        <f t="array" ref="Y154">IF(Table21215[[#This Row],[1]]="","",Table21215[[#This Row],[Weight]:[Weight]]-(Table21215[[#This Row],[Weight]:[Weight]]*((_xlfn.XMATCH(Table21215[[#This Row],[1]],Table21215[[#This Row],[1]:[11]],0))-1)/(COUNTA(Table21215[[#This Row],[1]:[11]])-COUNTBLANK(Table21215[[#This Row],[1]:[11]])-1)))</f>
        <v>4.7656870532168391E-3</v>
      </c>
      <c r="Z154" s="30" cm="1">
        <f t="array" ref="Z154">IF(Table21215[[#This Row],[2]]="","",Table21215[[#This Row],[Weight]:[Weight]]-(Table21215[[#This Row],[Weight]:[Weight]]*((_xlfn.XMATCH(Table21215[[#This Row],[2]],Table21215[[#This Row],[1]:[11]],0))-1)/(COUNTA(Table21215[[#This Row],[1]:[11]])-COUNTBLANK(Table21215[[#This Row],[1]:[11]])-1)))</f>
        <v>3.1771247021445594E-3</v>
      </c>
      <c r="AA154" s="30" cm="1">
        <f t="array" ref="AA154">IF(Table21215[[#This Row],[3]]="","",Table21215[[#This Row],[Weight]:[Weight]]-(Table21215[[#This Row],[Weight]:[Weight]]*((_xlfn.XMATCH(Table21215[[#This Row],[3]],Table21215[[#This Row],[1]:[11]],0))-1)/(COUNTA(Table21215[[#This Row],[1]:[11]])-COUNTBLANK(Table21215[[#This Row],[1]:[11]])-1)))</f>
        <v>1.5885623510722797E-3</v>
      </c>
      <c r="AB154" s="30" cm="1">
        <f t="array" ref="AB154">IF(Table21215[[#This Row],[4]]="","",Table21215[[#This Row],[Weight]:[Weight]]-(Table21215[[#This Row],[Weight]:[Weight]]*((_xlfn.XMATCH(Table21215[[#This Row],[4]],Table21215[[#This Row],[1]:[11]],0))-1)/(COUNTA(Table21215[[#This Row],[1]:[11]])-COUNTBLANK(Table21215[[#This Row],[1]:[11]])-1)))</f>
        <v>0</v>
      </c>
      <c r="AC154" s="30" t="str" cm="1">
        <f t="array" ref="AC154">IF(Table21215[[#This Row],[5]]="","",Table21215[[#This Row],[Weight]:[Weight]]-(Table21215[[#This Row],[Weight]:[Weight]]*((_xlfn.XMATCH(Table21215[[#This Row],[5]],Table21215[[#This Row],[1]:[11]],0))-1)/(COUNTA(Table21215[[#This Row],[1]:[11]])-COUNTBLANK(Table21215[[#This Row],[1]:[11]])-1)))</f>
        <v/>
      </c>
      <c r="AD154" s="30" t="str" cm="1">
        <f t="array" ref="AD154">IF(Table21215[[#This Row],[6]]="","",Table21215[[#This Row],[Weight]:[Weight]]-(Table21215[[#This Row],[Weight]:[Weight]]*((_xlfn.XMATCH(Table21215[[#This Row],[6]],Table21215[[#This Row],[1]:[11]],0))-1)/(COUNTA(Table21215[[#This Row],[1]:[11]])-COUNTBLANK(Table21215[[#This Row],[1]:[11]])-1)))</f>
        <v/>
      </c>
      <c r="AE154" s="30" t="str" cm="1">
        <f t="array" ref="AE154">IF(Table21215[[#This Row],[7]]="","",Table21215[[#This Row],[Weight]:[Weight]]-(Table21215[[#This Row],[Weight]:[Weight]]*((_xlfn.XMATCH(Table21215[[#This Row],[7]],Table21215[[#This Row],[1]:[11]],0))-1)/(COUNTA(Table21215[[#This Row],[1]:[11]])-COUNTBLANK(Table21215[[#This Row],[1]:[11]])-1)))</f>
        <v/>
      </c>
      <c r="AF154" s="30" t="str" cm="1">
        <f t="array" ref="AF154">IF(Table21215[[#This Row],[8]]="","",Table21215[[#This Row],[Weight]:[Weight]]-(Table21215[[#This Row],[Weight]:[Weight]]*((_xlfn.XMATCH(Table21215[[#This Row],[8]],Table21215[[#This Row],[1]:[11]],0))-1)/(COUNTA(Table21215[[#This Row],[1]:[11]])-COUNTBLANK(Table21215[[#This Row],[1]:[11]])-1)))</f>
        <v/>
      </c>
      <c r="AG154" s="30" t="str" cm="1">
        <f t="array" ref="AG154">IF(Table21215[[#This Row],[9]]="","",Table21215[[#This Row],[Weight]:[Weight]]-(Table21215[[#This Row],[Weight]:[Weight]]*((_xlfn.XMATCH(Table21215[[#This Row],[9]],Table21215[[#This Row],[1]:[11]],0))-1)/(COUNTA(Table21215[[#This Row],[1]:[11]])-COUNTBLANK(Table21215[[#This Row],[1]:[11]])-1)))</f>
        <v/>
      </c>
      <c r="AH154" s="30" t="str" cm="1">
        <f t="array" ref="AH154">IF(Table21215[[#This Row],[10]]="","",Table21215[[#This Row],[Weight]:[Weight]]-(Table21215[[#This Row],[Weight]:[Weight]]*((_xlfn.XMATCH(Table21215[[#This Row],[10]],Table21215[[#This Row],[1]:[11]],0))-1)/(COUNTA(Table21215[[#This Row],[1]:[11]])-COUNTBLANK(Table21215[[#This Row],[1]:[11]])-1)))</f>
        <v/>
      </c>
      <c r="AI154" s="30" t="str" cm="1">
        <f t="array" ref="AI154">IF(Table21215[[#This Row],[11]]="","",Table21215[[#This Row],[Weight]:[Weight]]-(Table21215[[#This Row],[Weight]:[Weight]]*((_xlfn.XMATCH(Table21215[[#This Row],[11]],Table21215[[#This Row],[1]:[11]],0))-1)/(COUNTA(Table21215[[#This Row],[1]:[11]])-COUNTBLANK(Table21215[[#This Row],[1]:[11]])-1)))</f>
        <v/>
      </c>
    </row>
    <row r="155" spans="1:35" ht="108" x14ac:dyDescent="0.2">
      <c r="A155" s="20">
        <v>143</v>
      </c>
      <c r="B155" s="165" t="s">
        <v>972</v>
      </c>
      <c r="C155" s="21" t="s">
        <v>826</v>
      </c>
      <c r="D155" s="38"/>
      <c r="E155" s="38"/>
      <c r="F155" s="159" t="s">
        <v>60</v>
      </c>
      <c r="G155" s="160" cm="1">
        <f t="array" ref="G155">_xlfn.IFS(F155="","",F155="No interest",0,F155="Nice to have",1,F155="Useful",2,F155="Important",3,F155="Very important",4,F155="Critical",5,F155="Show stopper",6)</f>
        <v>6</v>
      </c>
      <c r="H155" s="161">
        <f t="shared" ref="H155:H218" si="4">(G155/$G$11)*$F$11</f>
        <v>4.7656870532168391E-3</v>
      </c>
      <c r="I155" s="157" t="s">
        <v>827</v>
      </c>
      <c r="J155" s="35" t="str" cm="1">
        <f t="array" ref="J155">_xlfn.TEXTJOIN(","&amp;CHAR(10),,TEXT(Table21215[[#This Row],[12]:[22]],"0,00%"))</f>
        <v>0,00%,
0,00%,
0,00%,
0,00%</v>
      </c>
      <c r="K155" s="36"/>
      <c r="L155" s="37" t="e">
        <f>H155-(H155*((MATCH(Table21215[[#This Row],[Evaluators Response (SELECT)]],Table21215[[#This Row],[1]:[11]],0)-1)/(COUNTA(Table21215[[#This Row],[1]:[11]])-COUNTBLANK(Table21215[[#This Row],[1]:[11]])-1)))</f>
        <v>#N/A</v>
      </c>
      <c r="M155" s="38"/>
      <c r="N155" s="29" t="s">
        <v>828</v>
      </c>
      <c r="O155" s="29" t="s">
        <v>829</v>
      </c>
      <c r="P155" s="29" t="s">
        <v>830</v>
      </c>
      <c r="Q155" s="29" t="str" cm="1">
        <f t="array" ref="Q155">IFERROR(INDEX(_xlfn.UNIQUE(TRIM(_xlfn.TEXTSPLIT(Table21215[[#This Row],[Selection Options]:[Selection Options]],","))),,Q$11),"")</f>
        <v xml:space="preserve">
 0%: Not currently supported</v>
      </c>
      <c r="R155" s="29" t="str" cm="1">
        <f t="array" ref="R155">IFERROR(INDEX(_xlfn.UNIQUE(TRIM(_xlfn.TEXTSPLIT(Table21215[[#This Row],[Selection Options]:[Selection Options]],","))),,R$11),"")</f>
        <v/>
      </c>
      <c r="S155" s="29" t="str" cm="1">
        <f t="array" ref="S155">IFERROR(INDEX(_xlfn.UNIQUE(TRIM(_xlfn.TEXTSPLIT(Table21215[[#This Row],[Selection Options]:[Selection Options]],","))),,S$11),"")</f>
        <v/>
      </c>
      <c r="T155" s="29" t="str" cm="1">
        <f t="array" ref="T155">IFERROR(INDEX(_xlfn.UNIQUE(TRIM(_xlfn.TEXTSPLIT(Table21215[[#This Row],[Selection Options]:[Selection Options]],","))),,T$11),"")</f>
        <v/>
      </c>
      <c r="U155" s="29" t="str" cm="1">
        <f t="array" ref="U155">IFERROR(INDEX(_xlfn.UNIQUE(TRIM(_xlfn.TEXTSPLIT(Table21215[[#This Row],[Selection Options]:[Selection Options]],","))),,U$11),"")</f>
        <v/>
      </c>
      <c r="V155" s="29" t="str" cm="1">
        <f t="array" ref="V155">IFERROR(INDEX(_xlfn.UNIQUE(TRIM(_xlfn.TEXTSPLIT(Table21215[[#This Row],[Selection Options]:[Selection Options]],","))),,V$11),"")</f>
        <v/>
      </c>
      <c r="W155" s="29" t="str" cm="1">
        <f t="array" ref="W155">IFERROR(INDEX(_xlfn.UNIQUE(TRIM(_xlfn.TEXTSPLIT(Table21215[[#This Row],[Selection Options]:[Selection Options]],","))),,W$11),"")</f>
        <v/>
      </c>
      <c r="X155" s="29" t="str" cm="1">
        <f t="array" ref="X155">IFERROR(INDEX(_xlfn.UNIQUE(TRIM(_xlfn.TEXTSPLIT(Table21215[[#This Row],[Selection Options]:[Selection Options]],","))),,X$11),"")</f>
        <v/>
      </c>
      <c r="Y155" s="30" cm="1">
        <f t="array" ref="Y155">IF(Table21215[[#This Row],[1]]="","",Table21215[[#This Row],[Weight]:[Weight]]-(Table21215[[#This Row],[Weight]:[Weight]]*((_xlfn.XMATCH(Table21215[[#This Row],[1]],Table21215[[#This Row],[1]:[11]],0))-1)/(COUNTA(Table21215[[#This Row],[1]:[11]])-COUNTBLANK(Table21215[[#This Row],[1]:[11]])-1)))</f>
        <v>4.7656870532168391E-3</v>
      </c>
      <c r="Z155" s="30" cm="1">
        <f t="array" ref="Z155">IF(Table21215[[#This Row],[2]]="","",Table21215[[#This Row],[Weight]:[Weight]]-(Table21215[[#This Row],[Weight]:[Weight]]*((_xlfn.XMATCH(Table21215[[#This Row],[2]],Table21215[[#This Row],[1]:[11]],0))-1)/(COUNTA(Table21215[[#This Row],[1]:[11]])-COUNTBLANK(Table21215[[#This Row],[1]:[11]])-1)))</f>
        <v>3.1771247021445594E-3</v>
      </c>
      <c r="AA155" s="30" cm="1">
        <f t="array" ref="AA155">IF(Table21215[[#This Row],[3]]="","",Table21215[[#This Row],[Weight]:[Weight]]-(Table21215[[#This Row],[Weight]:[Weight]]*((_xlfn.XMATCH(Table21215[[#This Row],[3]],Table21215[[#This Row],[1]:[11]],0))-1)/(COUNTA(Table21215[[#This Row],[1]:[11]])-COUNTBLANK(Table21215[[#This Row],[1]:[11]])-1)))</f>
        <v>1.5885623510722797E-3</v>
      </c>
      <c r="AB155" s="30" cm="1">
        <f t="array" ref="AB155">IF(Table21215[[#This Row],[4]]="","",Table21215[[#This Row],[Weight]:[Weight]]-(Table21215[[#This Row],[Weight]:[Weight]]*((_xlfn.XMATCH(Table21215[[#This Row],[4]],Table21215[[#This Row],[1]:[11]],0))-1)/(COUNTA(Table21215[[#This Row],[1]:[11]])-COUNTBLANK(Table21215[[#This Row],[1]:[11]])-1)))</f>
        <v>0</v>
      </c>
      <c r="AC155" s="30" t="str" cm="1">
        <f t="array" ref="AC155">IF(Table21215[[#This Row],[5]]="","",Table21215[[#This Row],[Weight]:[Weight]]-(Table21215[[#This Row],[Weight]:[Weight]]*((_xlfn.XMATCH(Table21215[[#This Row],[5]],Table21215[[#This Row],[1]:[11]],0))-1)/(COUNTA(Table21215[[#This Row],[1]:[11]])-COUNTBLANK(Table21215[[#This Row],[1]:[11]])-1)))</f>
        <v/>
      </c>
      <c r="AD155" s="30" t="str" cm="1">
        <f t="array" ref="AD155">IF(Table21215[[#This Row],[6]]="","",Table21215[[#This Row],[Weight]:[Weight]]-(Table21215[[#This Row],[Weight]:[Weight]]*((_xlfn.XMATCH(Table21215[[#This Row],[6]],Table21215[[#This Row],[1]:[11]],0))-1)/(COUNTA(Table21215[[#This Row],[1]:[11]])-COUNTBLANK(Table21215[[#This Row],[1]:[11]])-1)))</f>
        <v/>
      </c>
      <c r="AE155" s="30" t="str" cm="1">
        <f t="array" ref="AE155">IF(Table21215[[#This Row],[7]]="","",Table21215[[#This Row],[Weight]:[Weight]]-(Table21215[[#This Row],[Weight]:[Weight]]*((_xlfn.XMATCH(Table21215[[#This Row],[7]],Table21215[[#This Row],[1]:[11]],0))-1)/(COUNTA(Table21215[[#This Row],[1]:[11]])-COUNTBLANK(Table21215[[#This Row],[1]:[11]])-1)))</f>
        <v/>
      </c>
      <c r="AF155" s="30" t="str" cm="1">
        <f t="array" ref="AF155">IF(Table21215[[#This Row],[8]]="","",Table21215[[#This Row],[Weight]:[Weight]]-(Table21215[[#This Row],[Weight]:[Weight]]*((_xlfn.XMATCH(Table21215[[#This Row],[8]],Table21215[[#This Row],[1]:[11]],0))-1)/(COUNTA(Table21215[[#This Row],[1]:[11]])-COUNTBLANK(Table21215[[#This Row],[1]:[11]])-1)))</f>
        <v/>
      </c>
      <c r="AG155" s="30" t="str" cm="1">
        <f t="array" ref="AG155">IF(Table21215[[#This Row],[9]]="","",Table21215[[#This Row],[Weight]:[Weight]]-(Table21215[[#This Row],[Weight]:[Weight]]*((_xlfn.XMATCH(Table21215[[#This Row],[9]],Table21215[[#This Row],[1]:[11]],0))-1)/(COUNTA(Table21215[[#This Row],[1]:[11]])-COUNTBLANK(Table21215[[#This Row],[1]:[11]])-1)))</f>
        <v/>
      </c>
      <c r="AH155" s="30" t="str" cm="1">
        <f t="array" ref="AH155">IF(Table21215[[#This Row],[10]]="","",Table21215[[#This Row],[Weight]:[Weight]]-(Table21215[[#This Row],[Weight]:[Weight]]*((_xlfn.XMATCH(Table21215[[#This Row],[10]],Table21215[[#This Row],[1]:[11]],0))-1)/(COUNTA(Table21215[[#This Row],[1]:[11]])-COUNTBLANK(Table21215[[#This Row],[1]:[11]])-1)))</f>
        <v/>
      </c>
      <c r="AI155" s="30" t="str" cm="1">
        <f t="array" ref="AI155">IF(Table21215[[#This Row],[11]]="","",Table21215[[#This Row],[Weight]:[Weight]]-(Table21215[[#This Row],[Weight]:[Weight]]*((_xlfn.XMATCH(Table21215[[#This Row],[11]],Table21215[[#This Row],[1]:[11]],0))-1)/(COUNTA(Table21215[[#This Row],[1]:[11]])-COUNTBLANK(Table21215[[#This Row],[1]:[11]])-1)))</f>
        <v/>
      </c>
    </row>
    <row r="156" spans="1:35" ht="108" x14ac:dyDescent="0.2">
      <c r="A156" s="20">
        <v>144</v>
      </c>
      <c r="B156" s="165" t="s">
        <v>973</v>
      </c>
      <c r="C156" s="21" t="s">
        <v>826</v>
      </c>
      <c r="D156" s="38"/>
      <c r="E156" s="38"/>
      <c r="F156" s="159" t="s">
        <v>60</v>
      </c>
      <c r="G156" s="160" cm="1">
        <f t="array" ref="G156">_xlfn.IFS(F156="","",F156="No interest",0,F156="Nice to have",1,F156="Useful",2,F156="Important",3,F156="Very important",4,F156="Critical",5,F156="Show stopper",6)</f>
        <v>6</v>
      </c>
      <c r="H156" s="161">
        <f t="shared" si="4"/>
        <v>4.7656870532168391E-3</v>
      </c>
      <c r="I156" s="157" t="s">
        <v>827</v>
      </c>
      <c r="J156" s="35" t="str" cm="1">
        <f t="array" ref="J156">_xlfn.TEXTJOIN(","&amp;CHAR(10),,TEXT(Table21215[[#This Row],[12]:[22]],"0,00%"))</f>
        <v>0,00%,
0,00%,
0,00%,
0,00%</v>
      </c>
      <c r="K156" s="36"/>
      <c r="L156" s="37" t="e">
        <f>H156-(H156*((MATCH(Table21215[[#This Row],[Evaluators Response (SELECT)]],Table21215[[#This Row],[1]:[11]],0)-1)/(COUNTA(Table21215[[#This Row],[1]:[11]])-COUNTBLANK(Table21215[[#This Row],[1]:[11]])-1)))</f>
        <v>#N/A</v>
      </c>
      <c r="M156" s="38"/>
      <c r="N156" s="29" t="s">
        <v>828</v>
      </c>
      <c r="O156" s="29" t="s">
        <v>829</v>
      </c>
      <c r="P156" s="29" t="s">
        <v>830</v>
      </c>
      <c r="Q156" s="29" t="str" cm="1">
        <f t="array" ref="Q156">IFERROR(INDEX(_xlfn.UNIQUE(TRIM(_xlfn.TEXTSPLIT(Table21215[[#This Row],[Selection Options]:[Selection Options]],","))),,Q$11),"")</f>
        <v xml:space="preserve">
 0%: Not currently supported</v>
      </c>
      <c r="R156" s="29" t="str" cm="1">
        <f t="array" ref="R156">IFERROR(INDEX(_xlfn.UNIQUE(TRIM(_xlfn.TEXTSPLIT(Table21215[[#This Row],[Selection Options]:[Selection Options]],","))),,R$11),"")</f>
        <v/>
      </c>
      <c r="S156" s="29" t="str" cm="1">
        <f t="array" ref="S156">IFERROR(INDEX(_xlfn.UNIQUE(TRIM(_xlfn.TEXTSPLIT(Table21215[[#This Row],[Selection Options]:[Selection Options]],","))),,S$11),"")</f>
        <v/>
      </c>
      <c r="T156" s="29" t="str" cm="1">
        <f t="array" ref="T156">IFERROR(INDEX(_xlfn.UNIQUE(TRIM(_xlfn.TEXTSPLIT(Table21215[[#This Row],[Selection Options]:[Selection Options]],","))),,T$11),"")</f>
        <v/>
      </c>
      <c r="U156" s="29" t="str" cm="1">
        <f t="array" ref="U156">IFERROR(INDEX(_xlfn.UNIQUE(TRIM(_xlfn.TEXTSPLIT(Table21215[[#This Row],[Selection Options]:[Selection Options]],","))),,U$11),"")</f>
        <v/>
      </c>
      <c r="V156" s="29" t="str" cm="1">
        <f t="array" ref="V156">IFERROR(INDEX(_xlfn.UNIQUE(TRIM(_xlfn.TEXTSPLIT(Table21215[[#This Row],[Selection Options]:[Selection Options]],","))),,V$11),"")</f>
        <v/>
      </c>
      <c r="W156" s="29" t="str" cm="1">
        <f t="array" ref="W156">IFERROR(INDEX(_xlfn.UNIQUE(TRIM(_xlfn.TEXTSPLIT(Table21215[[#This Row],[Selection Options]:[Selection Options]],","))),,W$11),"")</f>
        <v/>
      </c>
      <c r="X156" s="29" t="str" cm="1">
        <f t="array" ref="X156">IFERROR(INDEX(_xlfn.UNIQUE(TRIM(_xlfn.TEXTSPLIT(Table21215[[#This Row],[Selection Options]:[Selection Options]],","))),,X$11),"")</f>
        <v/>
      </c>
      <c r="Y156" s="30" cm="1">
        <f t="array" ref="Y156">IF(Table21215[[#This Row],[1]]="","",Table21215[[#This Row],[Weight]:[Weight]]-(Table21215[[#This Row],[Weight]:[Weight]]*((_xlfn.XMATCH(Table21215[[#This Row],[1]],Table21215[[#This Row],[1]:[11]],0))-1)/(COUNTA(Table21215[[#This Row],[1]:[11]])-COUNTBLANK(Table21215[[#This Row],[1]:[11]])-1)))</f>
        <v>4.7656870532168391E-3</v>
      </c>
      <c r="Z156" s="30" cm="1">
        <f t="array" ref="Z156">IF(Table21215[[#This Row],[2]]="","",Table21215[[#This Row],[Weight]:[Weight]]-(Table21215[[#This Row],[Weight]:[Weight]]*((_xlfn.XMATCH(Table21215[[#This Row],[2]],Table21215[[#This Row],[1]:[11]],0))-1)/(COUNTA(Table21215[[#This Row],[1]:[11]])-COUNTBLANK(Table21215[[#This Row],[1]:[11]])-1)))</f>
        <v>3.1771247021445594E-3</v>
      </c>
      <c r="AA156" s="30" cm="1">
        <f t="array" ref="AA156">IF(Table21215[[#This Row],[3]]="","",Table21215[[#This Row],[Weight]:[Weight]]-(Table21215[[#This Row],[Weight]:[Weight]]*((_xlfn.XMATCH(Table21215[[#This Row],[3]],Table21215[[#This Row],[1]:[11]],0))-1)/(COUNTA(Table21215[[#This Row],[1]:[11]])-COUNTBLANK(Table21215[[#This Row],[1]:[11]])-1)))</f>
        <v>1.5885623510722797E-3</v>
      </c>
      <c r="AB156" s="30" cm="1">
        <f t="array" ref="AB156">IF(Table21215[[#This Row],[4]]="","",Table21215[[#This Row],[Weight]:[Weight]]-(Table21215[[#This Row],[Weight]:[Weight]]*((_xlfn.XMATCH(Table21215[[#This Row],[4]],Table21215[[#This Row],[1]:[11]],0))-1)/(COUNTA(Table21215[[#This Row],[1]:[11]])-COUNTBLANK(Table21215[[#This Row],[1]:[11]])-1)))</f>
        <v>0</v>
      </c>
      <c r="AC156" s="30" t="str" cm="1">
        <f t="array" ref="AC156">IF(Table21215[[#This Row],[5]]="","",Table21215[[#This Row],[Weight]:[Weight]]-(Table21215[[#This Row],[Weight]:[Weight]]*((_xlfn.XMATCH(Table21215[[#This Row],[5]],Table21215[[#This Row],[1]:[11]],0))-1)/(COUNTA(Table21215[[#This Row],[1]:[11]])-COUNTBLANK(Table21215[[#This Row],[1]:[11]])-1)))</f>
        <v/>
      </c>
      <c r="AD156" s="30" t="str" cm="1">
        <f t="array" ref="AD156">IF(Table21215[[#This Row],[6]]="","",Table21215[[#This Row],[Weight]:[Weight]]-(Table21215[[#This Row],[Weight]:[Weight]]*((_xlfn.XMATCH(Table21215[[#This Row],[6]],Table21215[[#This Row],[1]:[11]],0))-1)/(COUNTA(Table21215[[#This Row],[1]:[11]])-COUNTBLANK(Table21215[[#This Row],[1]:[11]])-1)))</f>
        <v/>
      </c>
      <c r="AE156" s="30" t="str" cm="1">
        <f t="array" ref="AE156">IF(Table21215[[#This Row],[7]]="","",Table21215[[#This Row],[Weight]:[Weight]]-(Table21215[[#This Row],[Weight]:[Weight]]*((_xlfn.XMATCH(Table21215[[#This Row],[7]],Table21215[[#This Row],[1]:[11]],0))-1)/(COUNTA(Table21215[[#This Row],[1]:[11]])-COUNTBLANK(Table21215[[#This Row],[1]:[11]])-1)))</f>
        <v/>
      </c>
      <c r="AF156" s="30" t="str" cm="1">
        <f t="array" ref="AF156">IF(Table21215[[#This Row],[8]]="","",Table21215[[#This Row],[Weight]:[Weight]]-(Table21215[[#This Row],[Weight]:[Weight]]*((_xlfn.XMATCH(Table21215[[#This Row],[8]],Table21215[[#This Row],[1]:[11]],0))-1)/(COUNTA(Table21215[[#This Row],[1]:[11]])-COUNTBLANK(Table21215[[#This Row],[1]:[11]])-1)))</f>
        <v/>
      </c>
      <c r="AG156" s="30" t="str" cm="1">
        <f t="array" ref="AG156">IF(Table21215[[#This Row],[9]]="","",Table21215[[#This Row],[Weight]:[Weight]]-(Table21215[[#This Row],[Weight]:[Weight]]*((_xlfn.XMATCH(Table21215[[#This Row],[9]],Table21215[[#This Row],[1]:[11]],0))-1)/(COUNTA(Table21215[[#This Row],[1]:[11]])-COUNTBLANK(Table21215[[#This Row],[1]:[11]])-1)))</f>
        <v/>
      </c>
      <c r="AH156" s="30" t="str" cm="1">
        <f t="array" ref="AH156">IF(Table21215[[#This Row],[10]]="","",Table21215[[#This Row],[Weight]:[Weight]]-(Table21215[[#This Row],[Weight]:[Weight]]*((_xlfn.XMATCH(Table21215[[#This Row],[10]],Table21215[[#This Row],[1]:[11]],0))-1)/(COUNTA(Table21215[[#This Row],[1]:[11]])-COUNTBLANK(Table21215[[#This Row],[1]:[11]])-1)))</f>
        <v/>
      </c>
      <c r="AI156" s="30" t="str" cm="1">
        <f t="array" ref="AI156">IF(Table21215[[#This Row],[11]]="","",Table21215[[#This Row],[Weight]:[Weight]]-(Table21215[[#This Row],[Weight]:[Weight]]*((_xlfn.XMATCH(Table21215[[#This Row],[11]],Table21215[[#This Row],[1]:[11]],0))-1)/(COUNTA(Table21215[[#This Row],[1]:[11]])-COUNTBLANK(Table21215[[#This Row],[1]:[11]])-1)))</f>
        <v/>
      </c>
    </row>
    <row r="157" spans="1:35" ht="108" x14ac:dyDescent="0.2">
      <c r="A157" s="20">
        <v>145</v>
      </c>
      <c r="B157" s="165" t="s">
        <v>974</v>
      </c>
      <c r="C157" s="21" t="s">
        <v>826</v>
      </c>
      <c r="D157" s="38"/>
      <c r="E157" s="38"/>
      <c r="F157" s="159" t="s">
        <v>60</v>
      </c>
      <c r="G157" s="160" cm="1">
        <f t="array" ref="G157">_xlfn.IFS(F157="","",F157="No interest",0,F157="Nice to have",1,F157="Useful",2,F157="Important",3,F157="Very important",4,F157="Critical",5,F157="Show stopper",6)</f>
        <v>6</v>
      </c>
      <c r="H157" s="161">
        <f t="shared" si="4"/>
        <v>4.7656870532168391E-3</v>
      </c>
      <c r="I157" s="157" t="s">
        <v>827</v>
      </c>
      <c r="J157" s="35" t="str" cm="1">
        <f t="array" ref="J157">_xlfn.TEXTJOIN(","&amp;CHAR(10),,TEXT(Table21215[[#This Row],[12]:[22]],"0,00%"))</f>
        <v>0,00%,
0,00%,
0,00%,
0,00%</v>
      </c>
      <c r="K157" s="36"/>
      <c r="L157" s="37" t="e">
        <f>H157-(H157*((MATCH(Table21215[[#This Row],[Evaluators Response (SELECT)]],Table21215[[#This Row],[1]:[11]],0)-1)/(COUNTA(Table21215[[#This Row],[1]:[11]])-COUNTBLANK(Table21215[[#This Row],[1]:[11]])-1)))</f>
        <v>#N/A</v>
      </c>
      <c r="M157" s="38"/>
      <c r="N157" s="29" t="s">
        <v>828</v>
      </c>
      <c r="O157" s="29" t="s">
        <v>829</v>
      </c>
      <c r="P157" s="29" t="s">
        <v>830</v>
      </c>
      <c r="Q157" s="29" t="str" cm="1">
        <f t="array" ref="Q157">IFERROR(INDEX(_xlfn.UNIQUE(TRIM(_xlfn.TEXTSPLIT(Table21215[[#This Row],[Selection Options]:[Selection Options]],","))),,Q$11),"")</f>
        <v xml:space="preserve">
 0%: Not currently supported</v>
      </c>
      <c r="R157" s="29" t="str" cm="1">
        <f t="array" ref="R157">IFERROR(INDEX(_xlfn.UNIQUE(TRIM(_xlfn.TEXTSPLIT(Table21215[[#This Row],[Selection Options]:[Selection Options]],","))),,R$11),"")</f>
        <v/>
      </c>
      <c r="S157" s="29" t="str" cm="1">
        <f t="array" ref="S157">IFERROR(INDEX(_xlfn.UNIQUE(TRIM(_xlfn.TEXTSPLIT(Table21215[[#This Row],[Selection Options]:[Selection Options]],","))),,S$11),"")</f>
        <v/>
      </c>
      <c r="T157" s="29" t="str" cm="1">
        <f t="array" ref="T157">IFERROR(INDEX(_xlfn.UNIQUE(TRIM(_xlfn.TEXTSPLIT(Table21215[[#This Row],[Selection Options]:[Selection Options]],","))),,T$11),"")</f>
        <v/>
      </c>
      <c r="U157" s="29" t="str" cm="1">
        <f t="array" ref="U157">IFERROR(INDEX(_xlfn.UNIQUE(TRIM(_xlfn.TEXTSPLIT(Table21215[[#This Row],[Selection Options]:[Selection Options]],","))),,U$11),"")</f>
        <v/>
      </c>
      <c r="V157" s="29" t="str" cm="1">
        <f t="array" ref="V157">IFERROR(INDEX(_xlfn.UNIQUE(TRIM(_xlfn.TEXTSPLIT(Table21215[[#This Row],[Selection Options]:[Selection Options]],","))),,V$11),"")</f>
        <v/>
      </c>
      <c r="W157" s="29" t="str" cm="1">
        <f t="array" ref="W157">IFERROR(INDEX(_xlfn.UNIQUE(TRIM(_xlfn.TEXTSPLIT(Table21215[[#This Row],[Selection Options]:[Selection Options]],","))),,W$11),"")</f>
        <v/>
      </c>
      <c r="X157" s="29" t="str" cm="1">
        <f t="array" ref="X157">IFERROR(INDEX(_xlfn.UNIQUE(TRIM(_xlfn.TEXTSPLIT(Table21215[[#This Row],[Selection Options]:[Selection Options]],","))),,X$11),"")</f>
        <v/>
      </c>
      <c r="Y157" s="30" cm="1">
        <f t="array" ref="Y157">IF(Table21215[[#This Row],[1]]="","",Table21215[[#This Row],[Weight]:[Weight]]-(Table21215[[#This Row],[Weight]:[Weight]]*((_xlfn.XMATCH(Table21215[[#This Row],[1]],Table21215[[#This Row],[1]:[11]],0))-1)/(COUNTA(Table21215[[#This Row],[1]:[11]])-COUNTBLANK(Table21215[[#This Row],[1]:[11]])-1)))</f>
        <v>4.7656870532168391E-3</v>
      </c>
      <c r="Z157" s="30" cm="1">
        <f t="array" ref="Z157">IF(Table21215[[#This Row],[2]]="","",Table21215[[#This Row],[Weight]:[Weight]]-(Table21215[[#This Row],[Weight]:[Weight]]*((_xlfn.XMATCH(Table21215[[#This Row],[2]],Table21215[[#This Row],[1]:[11]],0))-1)/(COUNTA(Table21215[[#This Row],[1]:[11]])-COUNTBLANK(Table21215[[#This Row],[1]:[11]])-1)))</f>
        <v>3.1771247021445594E-3</v>
      </c>
      <c r="AA157" s="30" cm="1">
        <f t="array" ref="AA157">IF(Table21215[[#This Row],[3]]="","",Table21215[[#This Row],[Weight]:[Weight]]-(Table21215[[#This Row],[Weight]:[Weight]]*((_xlfn.XMATCH(Table21215[[#This Row],[3]],Table21215[[#This Row],[1]:[11]],0))-1)/(COUNTA(Table21215[[#This Row],[1]:[11]])-COUNTBLANK(Table21215[[#This Row],[1]:[11]])-1)))</f>
        <v>1.5885623510722797E-3</v>
      </c>
      <c r="AB157" s="30" cm="1">
        <f t="array" ref="AB157">IF(Table21215[[#This Row],[4]]="","",Table21215[[#This Row],[Weight]:[Weight]]-(Table21215[[#This Row],[Weight]:[Weight]]*((_xlfn.XMATCH(Table21215[[#This Row],[4]],Table21215[[#This Row],[1]:[11]],0))-1)/(COUNTA(Table21215[[#This Row],[1]:[11]])-COUNTBLANK(Table21215[[#This Row],[1]:[11]])-1)))</f>
        <v>0</v>
      </c>
      <c r="AC157" s="30" t="str" cm="1">
        <f t="array" ref="AC157">IF(Table21215[[#This Row],[5]]="","",Table21215[[#This Row],[Weight]:[Weight]]-(Table21215[[#This Row],[Weight]:[Weight]]*((_xlfn.XMATCH(Table21215[[#This Row],[5]],Table21215[[#This Row],[1]:[11]],0))-1)/(COUNTA(Table21215[[#This Row],[1]:[11]])-COUNTBLANK(Table21215[[#This Row],[1]:[11]])-1)))</f>
        <v/>
      </c>
      <c r="AD157" s="30" t="str" cm="1">
        <f t="array" ref="AD157">IF(Table21215[[#This Row],[6]]="","",Table21215[[#This Row],[Weight]:[Weight]]-(Table21215[[#This Row],[Weight]:[Weight]]*((_xlfn.XMATCH(Table21215[[#This Row],[6]],Table21215[[#This Row],[1]:[11]],0))-1)/(COUNTA(Table21215[[#This Row],[1]:[11]])-COUNTBLANK(Table21215[[#This Row],[1]:[11]])-1)))</f>
        <v/>
      </c>
      <c r="AE157" s="30" t="str" cm="1">
        <f t="array" ref="AE157">IF(Table21215[[#This Row],[7]]="","",Table21215[[#This Row],[Weight]:[Weight]]-(Table21215[[#This Row],[Weight]:[Weight]]*((_xlfn.XMATCH(Table21215[[#This Row],[7]],Table21215[[#This Row],[1]:[11]],0))-1)/(COUNTA(Table21215[[#This Row],[1]:[11]])-COUNTBLANK(Table21215[[#This Row],[1]:[11]])-1)))</f>
        <v/>
      </c>
      <c r="AF157" s="30" t="str" cm="1">
        <f t="array" ref="AF157">IF(Table21215[[#This Row],[8]]="","",Table21215[[#This Row],[Weight]:[Weight]]-(Table21215[[#This Row],[Weight]:[Weight]]*((_xlfn.XMATCH(Table21215[[#This Row],[8]],Table21215[[#This Row],[1]:[11]],0))-1)/(COUNTA(Table21215[[#This Row],[1]:[11]])-COUNTBLANK(Table21215[[#This Row],[1]:[11]])-1)))</f>
        <v/>
      </c>
      <c r="AG157" s="30" t="str" cm="1">
        <f t="array" ref="AG157">IF(Table21215[[#This Row],[9]]="","",Table21215[[#This Row],[Weight]:[Weight]]-(Table21215[[#This Row],[Weight]:[Weight]]*((_xlfn.XMATCH(Table21215[[#This Row],[9]],Table21215[[#This Row],[1]:[11]],0))-1)/(COUNTA(Table21215[[#This Row],[1]:[11]])-COUNTBLANK(Table21215[[#This Row],[1]:[11]])-1)))</f>
        <v/>
      </c>
      <c r="AH157" s="30" t="str" cm="1">
        <f t="array" ref="AH157">IF(Table21215[[#This Row],[10]]="","",Table21215[[#This Row],[Weight]:[Weight]]-(Table21215[[#This Row],[Weight]:[Weight]]*((_xlfn.XMATCH(Table21215[[#This Row],[10]],Table21215[[#This Row],[1]:[11]],0))-1)/(COUNTA(Table21215[[#This Row],[1]:[11]])-COUNTBLANK(Table21215[[#This Row],[1]:[11]])-1)))</f>
        <v/>
      </c>
      <c r="AI157" s="30" t="str" cm="1">
        <f t="array" ref="AI157">IF(Table21215[[#This Row],[11]]="","",Table21215[[#This Row],[Weight]:[Weight]]-(Table21215[[#This Row],[Weight]:[Weight]]*((_xlfn.XMATCH(Table21215[[#This Row],[11]],Table21215[[#This Row],[1]:[11]],0))-1)/(COUNTA(Table21215[[#This Row],[1]:[11]])-COUNTBLANK(Table21215[[#This Row],[1]:[11]])-1)))</f>
        <v/>
      </c>
    </row>
    <row r="158" spans="1:35" ht="108" x14ac:dyDescent="0.2">
      <c r="A158" s="20">
        <v>146</v>
      </c>
      <c r="B158" s="165" t="s">
        <v>975</v>
      </c>
      <c r="C158" s="21" t="s">
        <v>826</v>
      </c>
      <c r="D158" s="38"/>
      <c r="E158" s="38"/>
      <c r="F158" s="159" t="s">
        <v>188</v>
      </c>
      <c r="G158" s="160" cm="1">
        <f t="array" ref="G158">_xlfn.IFS(F158="","",F158="No interest",0,F158="Nice to have",1,F158="Useful",2,F158="Important",3,F158="Very important",4,F158="Critical",5,F158="Show stopper",6)</f>
        <v>5</v>
      </c>
      <c r="H158" s="161">
        <f t="shared" si="4"/>
        <v>3.9714058776806989E-3</v>
      </c>
      <c r="I158" s="157" t="s">
        <v>827</v>
      </c>
      <c r="J158" s="35" t="str" cm="1">
        <f t="array" ref="J158">_xlfn.TEXTJOIN(","&amp;CHAR(10),,TEXT(Table21215[[#This Row],[12]:[22]],"0,00%"))</f>
        <v>0,00%,
0,00%,
0,00%,
0,00%</v>
      </c>
      <c r="K158" s="36"/>
      <c r="L158" s="37" t="e">
        <f>H158-(H158*((MATCH(Table21215[[#This Row],[Evaluators Response (SELECT)]],Table21215[[#This Row],[1]:[11]],0)-1)/(COUNTA(Table21215[[#This Row],[1]:[11]])-COUNTBLANK(Table21215[[#This Row],[1]:[11]])-1)))</f>
        <v>#N/A</v>
      </c>
      <c r="M158" s="38"/>
      <c r="N158" s="29" t="s">
        <v>828</v>
      </c>
      <c r="O158" s="29" t="s">
        <v>829</v>
      </c>
      <c r="P158" s="29" t="s">
        <v>830</v>
      </c>
      <c r="Q158" s="29" t="str" cm="1">
        <f t="array" ref="Q158">IFERROR(INDEX(_xlfn.UNIQUE(TRIM(_xlfn.TEXTSPLIT(Table21215[[#This Row],[Selection Options]:[Selection Options]],","))),,Q$11),"")</f>
        <v xml:space="preserve">
 0%: Not currently supported</v>
      </c>
      <c r="R158" s="29" t="str" cm="1">
        <f t="array" ref="R158">IFERROR(INDEX(_xlfn.UNIQUE(TRIM(_xlfn.TEXTSPLIT(Table21215[[#This Row],[Selection Options]:[Selection Options]],","))),,R$11),"")</f>
        <v/>
      </c>
      <c r="S158" s="29" t="str" cm="1">
        <f t="array" ref="S158">IFERROR(INDEX(_xlfn.UNIQUE(TRIM(_xlfn.TEXTSPLIT(Table21215[[#This Row],[Selection Options]:[Selection Options]],","))),,S$11),"")</f>
        <v/>
      </c>
      <c r="T158" s="29" t="str" cm="1">
        <f t="array" ref="T158">IFERROR(INDEX(_xlfn.UNIQUE(TRIM(_xlfn.TEXTSPLIT(Table21215[[#This Row],[Selection Options]:[Selection Options]],","))),,T$11),"")</f>
        <v/>
      </c>
      <c r="U158" s="29" t="str" cm="1">
        <f t="array" ref="U158">IFERROR(INDEX(_xlfn.UNIQUE(TRIM(_xlfn.TEXTSPLIT(Table21215[[#This Row],[Selection Options]:[Selection Options]],","))),,U$11),"")</f>
        <v/>
      </c>
      <c r="V158" s="29" t="str" cm="1">
        <f t="array" ref="V158">IFERROR(INDEX(_xlfn.UNIQUE(TRIM(_xlfn.TEXTSPLIT(Table21215[[#This Row],[Selection Options]:[Selection Options]],","))),,V$11),"")</f>
        <v/>
      </c>
      <c r="W158" s="29" t="str" cm="1">
        <f t="array" ref="W158">IFERROR(INDEX(_xlfn.UNIQUE(TRIM(_xlfn.TEXTSPLIT(Table21215[[#This Row],[Selection Options]:[Selection Options]],","))),,W$11),"")</f>
        <v/>
      </c>
      <c r="X158" s="29" t="str" cm="1">
        <f t="array" ref="X158">IFERROR(INDEX(_xlfn.UNIQUE(TRIM(_xlfn.TEXTSPLIT(Table21215[[#This Row],[Selection Options]:[Selection Options]],","))),,X$11),"")</f>
        <v/>
      </c>
      <c r="Y158" s="30" cm="1">
        <f t="array" ref="Y158">IF(Table21215[[#This Row],[1]]="","",Table21215[[#This Row],[Weight]:[Weight]]-(Table21215[[#This Row],[Weight]:[Weight]]*((_xlfn.XMATCH(Table21215[[#This Row],[1]],Table21215[[#This Row],[1]:[11]],0))-1)/(COUNTA(Table21215[[#This Row],[1]:[11]])-COUNTBLANK(Table21215[[#This Row],[1]:[11]])-1)))</f>
        <v>3.9714058776806989E-3</v>
      </c>
      <c r="Z158" s="30" cm="1">
        <f t="array" ref="Z158">IF(Table21215[[#This Row],[2]]="","",Table21215[[#This Row],[Weight]:[Weight]]-(Table21215[[#This Row],[Weight]:[Weight]]*((_xlfn.XMATCH(Table21215[[#This Row],[2]],Table21215[[#This Row],[1]:[11]],0))-1)/(COUNTA(Table21215[[#This Row],[1]:[11]])-COUNTBLANK(Table21215[[#This Row],[1]:[11]])-1)))</f>
        <v>2.6476039184537992E-3</v>
      </c>
      <c r="AA158" s="30" cm="1">
        <f t="array" ref="AA158">IF(Table21215[[#This Row],[3]]="","",Table21215[[#This Row],[Weight]:[Weight]]-(Table21215[[#This Row],[Weight]:[Weight]]*((_xlfn.XMATCH(Table21215[[#This Row],[3]],Table21215[[#This Row],[1]:[11]],0))-1)/(COUNTA(Table21215[[#This Row],[1]:[11]])-COUNTBLANK(Table21215[[#This Row],[1]:[11]])-1)))</f>
        <v>1.3238019592268996E-3</v>
      </c>
      <c r="AB158" s="30" cm="1">
        <f t="array" ref="AB158">IF(Table21215[[#This Row],[4]]="","",Table21215[[#This Row],[Weight]:[Weight]]-(Table21215[[#This Row],[Weight]:[Weight]]*((_xlfn.XMATCH(Table21215[[#This Row],[4]],Table21215[[#This Row],[1]:[11]],0))-1)/(COUNTA(Table21215[[#This Row],[1]:[11]])-COUNTBLANK(Table21215[[#This Row],[1]:[11]])-1)))</f>
        <v>0</v>
      </c>
      <c r="AC158" s="30" t="str" cm="1">
        <f t="array" ref="AC158">IF(Table21215[[#This Row],[5]]="","",Table21215[[#This Row],[Weight]:[Weight]]-(Table21215[[#This Row],[Weight]:[Weight]]*((_xlfn.XMATCH(Table21215[[#This Row],[5]],Table21215[[#This Row],[1]:[11]],0))-1)/(COUNTA(Table21215[[#This Row],[1]:[11]])-COUNTBLANK(Table21215[[#This Row],[1]:[11]])-1)))</f>
        <v/>
      </c>
      <c r="AD158" s="30" t="str" cm="1">
        <f t="array" ref="AD158">IF(Table21215[[#This Row],[6]]="","",Table21215[[#This Row],[Weight]:[Weight]]-(Table21215[[#This Row],[Weight]:[Weight]]*((_xlfn.XMATCH(Table21215[[#This Row],[6]],Table21215[[#This Row],[1]:[11]],0))-1)/(COUNTA(Table21215[[#This Row],[1]:[11]])-COUNTBLANK(Table21215[[#This Row],[1]:[11]])-1)))</f>
        <v/>
      </c>
      <c r="AE158" s="30" t="str" cm="1">
        <f t="array" ref="AE158">IF(Table21215[[#This Row],[7]]="","",Table21215[[#This Row],[Weight]:[Weight]]-(Table21215[[#This Row],[Weight]:[Weight]]*((_xlfn.XMATCH(Table21215[[#This Row],[7]],Table21215[[#This Row],[1]:[11]],0))-1)/(COUNTA(Table21215[[#This Row],[1]:[11]])-COUNTBLANK(Table21215[[#This Row],[1]:[11]])-1)))</f>
        <v/>
      </c>
      <c r="AF158" s="30" t="str" cm="1">
        <f t="array" ref="AF158">IF(Table21215[[#This Row],[8]]="","",Table21215[[#This Row],[Weight]:[Weight]]-(Table21215[[#This Row],[Weight]:[Weight]]*((_xlfn.XMATCH(Table21215[[#This Row],[8]],Table21215[[#This Row],[1]:[11]],0))-1)/(COUNTA(Table21215[[#This Row],[1]:[11]])-COUNTBLANK(Table21215[[#This Row],[1]:[11]])-1)))</f>
        <v/>
      </c>
      <c r="AG158" s="30" t="str" cm="1">
        <f t="array" ref="AG158">IF(Table21215[[#This Row],[9]]="","",Table21215[[#This Row],[Weight]:[Weight]]-(Table21215[[#This Row],[Weight]:[Weight]]*((_xlfn.XMATCH(Table21215[[#This Row],[9]],Table21215[[#This Row],[1]:[11]],0))-1)/(COUNTA(Table21215[[#This Row],[1]:[11]])-COUNTBLANK(Table21215[[#This Row],[1]:[11]])-1)))</f>
        <v/>
      </c>
      <c r="AH158" s="30" t="str" cm="1">
        <f t="array" ref="AH158">IF(Table21215[[#This Row],[10]]="","",Table21215[[#This Row],[Weight]:[Weight]]-(Table21215[[#This Row],[Weight]:[Weight]]*((_xlfn.XMATCH(Table21215[[#This Row],[10]],Table21215[[#This Row],[1]:[11]],0))-1)/(COUNTA(Table21215[[#This Row],[1]:[11]])-COUNTBLANK(Table21215[[#This Row],[1]:[11]])-1)))</f>
        <v/>
      </c>
      <c r="AI158" s="30" t="str" cm="1">
        <f t="array" ref="AI158">IF(Table21215[[#This Row],[11]]="","",Table21215[[#This Row],[Weight]:[Weight]]-(Table21215[[#This Row],[Weight]:[Weight]]*((_xlfn.XMATCH(Table21215[[#This Row],[11]],Table21215[[#This Row],[1]:[11]],0))-1)/(COUNTA(Table21215[[#This Row],[1]:[11]])-COUNTBLANK(Table21215[[#This Row],[1]:[11]])-1)))</f>
        <v/>
      </c>
    </row>
    <row r="159" spans="1:35" ht="108" x14ac:dyDescent="0.2">
      <c r="A159" s="20">
        <v>147</v>
      </c>
      <c r="B159" s="165" t="s">
        <v>976</v>
      </c>
      <c r="C159" s="21" t="s">
        <v>826</v>
      </c>
      <c r="D159" s="38"/>
      <c r="E159" s="38"/>
      <c r="F159" s="159" t="s">
        <v>188</v>
      </c>
      <c r="G159" s="160" cm="1">
        <f t="array" ref="G159">_xlfn.IFS(F159="","",F159="No interest",0,F159="Nice to have",1,F159="Useful",2,F159="Important",3,F159="Very important",4,F159="Critical",5,F159="Show stopper",6)</f>
        <v>5</v>
      </c>
      <c r="H159" s="161">
        <f t="shared" si="4"/>
        <v>3.9714058776806989E-3</v>
      </c>
      <c r="I159" s="157" t="s">
        <v>827</v>
      </c>
      <c r="J159" s="35" t="str" cm="1">
        <f t="array" ref="J159">_xlfn.TEXTJOIN(","&amp;CHAR(10),,TEXT(Table21215[[#This Row],[12]:[22]],"0,00%"))</f>
        <v>0,00%,
0,00%,
0,00%,
0,00%</v>
      </c>
      <c r="K159" s="36"/>
      <c r="L159" s="37" t="e">
        <f>H159-(H159*((MATCH(Table21215[[#This Row],[Evaluators Response (SELECT)]],Table21215[[#This Row],[1]:[11]],0)-1)/(COUNTA(Table21215[[#This Row],[1]:[11]])-COUNTBLANK(Table21215[[#This Row],[1]:[11]])-1)))</f>
        <v>#N/A</v>
      </c>
      <c r="M159" s="38"/>
      <c r="N159" s="29" t="s">
        <v>828</v>
      </c>
      <c r="O159" s="29" t="s">
        <v>829</v>
      </c>
      <c r="P159" s="29" t="s">
        <v>830</v>
      </c>
      <c r="Q159" s="29" t="str" cm="1">
        <f t="array" ref="Q159">IFERROR(INDEX(_xlfn.UNIQUE(TRIM(_xlfn.TEXTSPLIT(Table21215[[#This Row],[Selection Options]:[Selection Options]],","))),,Q$11),"")</f>
        <v xml:space="preserve">
 0%: Not currently supported</v>
      </c>
      <c r="R159" s="29" t="str" cm="1">
        <f t="array" ref="R159">IFERROR(INDEX(_xlfn.UNIQUE(TRIM(_xlfn.TEXTSPLIT(Table21215[[#This Row],[Selection Options]:[Selection Options]],","))),,R$11),"")</f>
        <v/>
      </c>
      <c r="S159" s="29" t="str" cm="1">
        <f t="array" ref="S159">IFERROR(INDEX(_xlfn.UNIQUE(TRIM(_xlfn.TEXTSPLIT(Table21215[[#This Row],[Selection Options]:[Selection Options]],","))),,S$11),"")</f>
        <v/>
      </c>
      <c r="T159" s="29" t="str" cm="1">
        <f t="array" ref="T159">IFERROR(INDEX(_xlfn.UNIQUE(TRIM(_xlfn.TEXTSPLIT(Table21215[[#This Row],[Selection Options]:[Selection Options]],","))),,T$11),"")</f>
        <v/>
      </c>
      <c r="U159" s="29" t="str" cm="1">
        <f t="array" ref="U159">IFERROR(INDEX(_xlfn.UNIQUE(TRIM(_xlfn.TEXTSPLIT(Table21215[[#This Row],[Selection Options]:[Selection Options]],","))),,U$11),"")</f>
        <v/>
      </c>
      <c r="V159" s="29" t="str" cm="1">
        <f t="array" ref="V159">IFERROR(INDEX(_xlfn.UNIQUE(TRIM(_xlfn.TEXTSPLIT(Table21215[[#This Row],[Selection Options]:[Selection Options]],","))),,V$11),"")</f>
        <v/>
      </c>
      <c r="W159" s="29" t="str" cm="1">
        <f t="array" ref="W159">IFERROR(INDEX(_xlfn.UNIQUE(TRIM(_xlfn.TEXTSPLIT(Table21215[[#This Row],[Selection Options]:[Selection Options]],","))),,W$11),"")</f>
        <v/>
      </c>
      <c r="X159" s="29" t="str" cm="1">
        <f t="array" ref="X159">IFERROR(INDEX(_xlfn.UNIQUE(TRIM(_xlfn.TEXTSPLIT(Table21215[[#This Row],[Selection Options]:[Selection Options]],","))),,X$11),"")</f>
        <v/>
      </c>
      <c r="Y159" s="30" cm="1">
        <f t="array" ref="Y159">IF(Table21215[[#This Row],[1]]="","",Table21215[[#This Row],[Weight]:[Weight]]-(Table21215[[#This Row],[Weight]:[Weight]]*((_xlfn.XMATCH(Table21215[[#This Row],[1]],Table21215[[#This Row],[1]:[11]],0))-1)/(COUNTA(Table21215[[#This Row],[1]:[11]])-COUNTBLANK(Table21215[[#This Row],[1]:[11]])-1)))</f>
        <v>3.9714058776806989E-3</v>
      </c>
      <c r="Z159" s="30" cm="1">
        <f t="array" ref="Z159">IF(Table21215[[#This Row],[2]]="","",Table21215[[#This Row],[Weight]:[Weight]]-(Table21215[[#This Row],[Weight]:[Weight]]*((_xlfn.XMATCH(Table21215[[#This Row],[2]],Table21215[[#This Row],[1]:[11]],0))-1)/(COUNTA(Table21215[[#This Row],[1]:[11]])-COUNTBLANK(Table21215[[#This Row],[1]:[11]])-1)))</f>
        <v>2.6476039184537992E-3</v>
      </c>
      <c r="AA159" s="30" cm="1">
        <f t="array" ref="AA159">IF(Table21215[[#This Row],[3]]="","",Table21215[[#This Row],[Weight]:[Weight]]-(Table21215[[#This Row],[Weight]:[Weight]]*((_xlfn.XMATCH(Table21215[[#This Row],[3]],Table21215[[#This Row],[1]:[11]],0))-1)/(COUNTA(Table21215[[#This Row],[1]:[11]])-COUNTBLANK(Table21215[[#This Row],[1]:[11]])-1)))</f>
        <v>1.3238019592268996E-3</v>
      </c>
      <c r="AB159" s="30" cm="1">
        <f t="array" ref="AB159">IF(Table21215[[#This Row],[4]]="","",Table21215[[#This Row],[Weight]:[Weight]]-(Table21215[[#This Row],[Weight]:[Weight]]*((_xlfn.XMATCH(Table21215[[#This Row],[4]],Table21215[[#This Row],[1]:[11]],0))-1)/(COUNTA(Table21215[[#This Row],[1]:[11]])-COUNTBLANK(Table21215[[#This Row],[1]:[11]])-1)))</f>
        <v>0</v>
      </c>
      <c r="AC159" s="30" t="str" cm="1">
        <f t="array" ref="AC159">IF(Table21215[[#This Row],[5]]="","",Table21215[[#This Row],[Weight]:[Weight]]-(Table21215[[#This Row],[Weight]:[Weight]]*((_xlfn.XMATCH(Table21215[[#This Row],[5]],Table21215[[#This Row],[1]:[11]],0))-1)/(COUNTA(Table21215[[#This Row],[1]:[11]])-COUNTBLANK(Table21215[[#This Row],[1]:[11]])-1)))</f>
        <v/>
      </c>
      <c r="AD159" s="30" t="str" cm="1">
        <f t="array" ref="AD159">IF(Table21215[[#This Row],[6]]="","",Table21215[[#This Row],[Weight]:[Weight]]-(Table21215[[#This Row],[Weight]:[Weight]]*((_xlfn.XMATCH(Table21215[[#This Row],[6]],Table21215[[#This Row],[1]:[11]],0))-1)/(COUNTA(Table21215[[#This Row],[1]:[11]])-COUNTBLANK(Table21215[[#This Row],[1]:[11]])-1)))</f>
        <v/>
      </c>
      <c r="AE159" s="30" t="str" cm="1">
        <f t="array" ref="AE159">IF(Table21215[[#This Row],[7]]="","",Table21215[[#This Row],[Weight]:[Weight]]-(Table21215[[#This Row],[Weight]:[Weight]]*((_xlfn.XMATCH(Table21215[[#This Row],[7]],Table21215[[#This Row],[1]:[11]],0))-1)/(COUNTA(Table21215[[#This Row],[1]:[11]])-COUNTBLANK(Table21215[[#This Row],[1]:[11]])-1)))</f>
        <v/>
      </c>
      <c r="AF159" s="30" t="str" cm="1">
        <f t="array" ref="AF159">IF(Table21215[[#This Row],[8]]="","",Table21215[[#This Row],[Weight]:[Weight]]-(Table21215[[#This Row],[Weight]:[Weight]]*((_xlfn.XMATCH(Table21215[[#This Row],[8]],Table21215[[#This Row],[1]:[11]],0))-1)/(COUNTA(Table21215[[#This Row],[1]:[11]])-COUNTBLANK(Table21215[[#This Row],[1]:[11]])-1)))</f>
        <v/>
      </c>
      <c r="AG159" s="30" t="str" cm="1">
        <f t="array" ref="AG159">IF(Table21215[[#This Row],[9]]="","",Table21215[[#This Row],[Weight]:[Weight]]-(Table21215[[#This Row],[Weight]:[Weight]]*((_xlfn.XMATCH(Table21215[[#This Row],[9]],Table21215[[#This Row],[1]:[11]],0))-1)/(COUNTA(Table21215[[#This Row],[1]:[11]])-COUNTBLANK(Table21215[[#This Row],[1]:[11]])-1)))</f>
        <v/>
      </c>
      <c r="AH159" s="30" t="str" cm="1">
        <f t="array" ref="AH159">IF(Table21215[[#This Row],[10]]="","",Table21215[[#This Row],[Weight]:[Weight]]-(Table21215[[#This Row],[Weight]:[Weight]]*((_xlfn.XMATCH(Table21215[[#This Row],[10]],Table21215[[#This Row],[1]:[11]],0))-1)/(COUNTA(Table21215[[#This Row],[1]:[11]])-COUNTBLANK(Table21215[[#This Row],[1]:[11]])-1)))</f>
        <v/>
      </c>
      <c r="AI159" s="30" t="str" cm="1">
        <f t="array" ref="AI159">IF(Table21215[[#This Row],[11]]="","",Table21215[[#This Row],[Weight]:[Weight]]-(Table21215[[#This Row],[Weight]:[Weight]]*((_xlfn.XMATCH(Table21215[[#This Row],[11]],Table21215[[#This Row],[1]:[11]],0))-1)/(COUNTA(Table21215[[#This Row],[1]:[11]])-COUNTBLANK(Table21215[[#This Row],[1]:[11]])-1)))</f>
        <v/>
      </c>
    </row>
    <row r="160" spans="1:35" ht="108" x14ac:dyDescent="0.2">
      <c r="A160" s="20">
        <v>148</v>
      </c>
      <c r="B160" s="165" t="s">
        <v>977</v>
      </c>
      <c r="C160" s="21" t="s">
        <v>826</v>
      </c>
      <c r="D160" s="38"/>
      <c r="E160" s="38"/>
      <c r="F160" s="159" t="s">
        <v>188</v>
      </c>
      <c r="G160" s="160" cm="1">
        <f t="array" ref="G160">_xlfn.IFS(F160="","",F160="No interest",0,F160="Nice to have",1,F160="Useful",2,F160="Important",3,F160="Very important",4,F160="Critical",5,F160="Show stopper",6)</f>
        <v>5</v>
      </c>
      <c r="H160" s="161">
        <f t="shared" si="4"/>
        <v>3.9714058776806989E-3</v>
      </c>
      <c r="I160" s="157" t="s">
        <v>827</v>
      </c>
      <c r="J160" s="35" t="str" cm="1">
        <f t="array" ref="J160">_xlfn.TEXTJOIN(","&amp;CHAR(10),,TEXT(Table21215[[#This Row],[12]:[22]],"0,00%"))</f>
        <v>0,00%,
0,00%,
0,00%,
0,00%</v>
      </c>
      <c r="K160" s="36"/>
      <c r="L160" s="37" t="e">
        <f>H160-(H160*((MATCH(Table21215[[#This Row],[Evaluators Response (SELECT)]],Table21215[[#This Row],[1]:[11]],0)-1)/(COUNTA(Table21215[[#This Row],[1]:[11]])-COUNTBLANK(Table21215[[#This Row],[1]:[11]])-1)))</f>
        <v>#N/A</v>
      </c>
      <c r="M160" s="38"/>
      <c r="N160" s="29" t="s">
        <v>828</v>
      </c>
      <c r="O160" s="29" t="s">
        <v>829</v>
      </c>
      <c r="P160" s="29" t="s">
        <v>830</v>
      </c>
      <c r="Q160" s="29" t="str" cm="1">
        <f t="array" ref="Q160">IFERROR(INDEX(_xlfn.UNIQUE(TRIM(_xlfn.TEXTSPLIT(Table21215[[#This Row],[Selection Options]:[Selection Options]],","))),,Q$11),"")</f>
        <v xml:space="preserve">
 0%: Not currently supported</v>
      </c>
      <c r="R160" s="29" t="str" cm="1">
        <f t="array" ref="R160">IFERROR(INDEX(_xlfn.UNIQUE(TRIM(_xlfn.TEXTSPLIT(Table21215[[#This Row],[Selection Options]:[Selection Options]],","))),,R$11),"")</f>
        <v/>
      </c>
      <c r="S160" s="29" t="str" cm="1">
        <f t="array" ref="S160">IFERROR(INDEX(_xlfn.UNIQUE(TRIM(_xlfn.TEXTSPLIT(Table21215[[#This Row],[Selection Options]:[Selection Options]],","))),,S$11),"")</f>
        <v/>
      </c>
      <c r="T160" s="29" t="str" cm="1">
        <f t="array" ref="T160">IFERROR(INDEX(_xlfn.UNIQUE(TRIM(_xlfn.TEXTSPLIT(Table21215[[#This Row],[Selection Options]:[Selection Options]],","))),,T$11),"")</f>
        <v/>
      </c>
      <c r="U160" s="29" t="str" cm="1">
        <f t="array" ref="U160">IFERROR(INDEX(_xlfn.UNIQUE(TRIM(_xlfn.TEXTSPLIT(Table21215[[#This Row],[Selection Options]:[Selection Options]],","))),,U$11),"")</f>
        <v/>
      </c>
      <c r="V160" s="29" t="str" cm="1">
        <f t="array" ref="V160">IFERROR(INDEX(_xlfn.UNIQUE(TRIM(_xlfn.TEXTSPLIT(Table21215[[#This Row],[Selection Options]:[Selection Options]],","))),,V$11),"")</f>
        <v/>
      </c>
      <c r="W160" s="29" t="str" cm="1">
        <f t="array" ref="W160">IFERROR(INDEX(_xlfn.UNIQUE(TRIM(_xlfn.TEXTSPLIT(Table21215[[#This Row],[Selection Options]:[Selection Options]],","))),,W$11),"")</f>
        <v/>
      </c>
      <c r="X160" s="29" t="str" cm="1">
        <f t="array" ref="X160">IFERROR(INDEX(_xlfn.UNIQUE(TRIM(_xlfn.TEXTSPLIT(Table21215[[#This Row],[Selection Options]:[Selection Options]],","))),,X$11),"")</f>
        <v/>
      </c>
      <c r="Y160" s="30" cm="1">
        <f t="array" ref="Y160">IF(Table21215[[#This Row],[1]]="","",Table21215[[#This Row],[Weight]:[Weight]]-(Table21215[[#This Row],[Weight]:[Weight]]*((_xlfn.XMATCH(Table21215[[#This Row],[1]],Table21215[[#This Row],[1]:[11]],0))-1)/(COUNTA(Table21215[[#This Row],[1]:[11]])-COUNTBLANK(Table21215[[#This Row],[1]:[11]])-1)))</f>
        <v>3.9714058776806989E-3</v>
      </c>
      <c r="Z160" s="30" cm="1">
        <f t="array" ref="Z160">IF(Table21215[[#This Row],[2]]="","",Table21215[[#This Row],[Weight]:[Weight]]-(Table21215[[#This Row],[Weight]:[Weight]]*((_xlfn.XMATCH(Table21215[[#This Row],[2]],Table21215[[#This Row],[1]:[11]],0))-1)/(COUNTA(Table21215[[#This Row],[1]:[11]])-COUNTBLANK(Table21215[[#This Row],[1]:[11]])-1)))</f>
        <v>2.6476039184537992E-3</v>
      </c>
      <c r="AA160" s="30" cm="1">
        <f t="array" ref="AA160">IF(Table21215[[#This Row],[3]]="","",Table21215[[#This Row],[Weight]:[Weight]]-(Table21215[[#This Row],[Weight]:[Weight]]*((_xlfn.XMATCH(Table21215[[#This Row],[3]],Table21215[[#This Row],[1]:[11]],0))-1)/(COUNTA(Table21215[[#This Row],[1]:[11]])-COUNTBLANK(Table21215[[#This Row],[1]:[11]])-1)))</f>
        <v>1.3238019592268996E-3</v>
      </c>
      <c r="AB160" s="30" cm="1">
        <f t="array" ref="AB160">IF(Table21215[[#This Row],[4]]="","",Table21215[[#This Row],[Weight]:[Weight]]-(Table21215[[#This Row],[Weight]:[Weight]]*((_xlfn.XMATCH(Table21215[[#This Row],[4]],Table21215[[#This Row],[1]:[11]],0))-1)/(COUNTA(Table21215[[#This Row],[1]:[11]])-COUNTBLANK(Table21215[[#This Row],[1]:[11]])-1)))</f>
        <v>0</v>
      </c>
      <c r="AC160" s="30" t="str" cm="1">
        <f t="array" ref="AC160">IF(Table21215[[#This Row],[5]]="","",Table21215[[#This Row],[Weight]:[Weight]]-(Table21215[[#This Row],[Weight]:[Weight]]*((_xlfn.XMATCH(Table21215[[#This Row],[5]],Table21215[[#This Row],[1]:[11]],0))-1)/(COUNTA(Table21215[[#This Row],[1]:[11]])-COUNTBLANK(Table21215[[#This Row],[1]:[11]])-1)))</f>
        <v/>
      </c>
      <c r="AD160" s="30" t="str" cm="1">
        <f t="array" ref="AD160">IF(Table21215[[#This Row],[6]]="","",Table21215[[#This Row],[Weight]:[Weight]]-(Table21215[[#This Row],[Weight]:[Weight]]*((_xlfn.XMATCH(Table21215[[#This Row],[6]],Table21215[[#This Row],[1]:[11]],0))-1)/(COUNTA(Table21215[[#This Row],[1]:[11]])-COUNTBLANK(Table21215[[#This Row],[1]:[11]])-1)))</f>
        <v/>
      </c>
      <c r="AE160" s="30" t="str" cm="1">
        <f t="array" ref="AE160">IF(Table21215[[#This Row],[7]]="","",Table21215[[#This Row],[Weight]:[Weight]]-(Table21215[[#This Row],[Weight]:[Weight]]*((_xlfn.XMATCH(Table21215[[#This Row],[7]],Table21215[[#This Row],[1]:[11]],0))-1)/(COUNTA(Table21215[[#This Row],[1]:[11]])-COUNTBLANK(Table21215[[#This Row],[1]:[11]])-1)))</f>
        <v/>
      </c>
      <c r="AF160" s="30" t="str" cm="1">
        <f t="array" ref="AF160">IF(Table21215[[#This Row],[8]]="","",Table21215[[#This Row],[Weight]:[Weight]]-(Table21215[[#This Row],[Weight]:[Weight]]*((_xlfn.XMATCH(Table21215[[#This Row],[8]],Table21215[[#This Row],[1]:[11]],0))-1)/(COUNTA(Table21215[[#This Row],[1]:[11]])-COUNTBLANK(Table21215[[#This Row],[1]:[11]])-1)))</f>
        <v/>
      </c>
      <c r="AG160" s="30" t="str" cm="1">
        <f t="array" ref="AG160">IF(Table21215[[#This Row],[9]]="","",Table21215[[#This Row],[Weight]:[Weight]]-(Table21215[[#This Row],[Weight]:[Weight]]*((_xlfn.XMATCH(Table21215[[#This Row],[9]],Table21215[[#This Row],[1]:[11]],0))-1)/(COUNTA(Table21215[[#This Row],[1]:[11]])-COUNTBLANK(Table21215[[#This Row],[1]:[11]])-1)))</f>
        <v/>
      </c>
      <c r="AH160" s="30" t="str" cm="1">
        <f t="array" ref="AH160">IF(Table21215[[#This Row],[10]]="","",Table21215[[#This Row],[Weight]:[Weight]]-(Table21215[[#This Row],[Weight]:[Weight]]*((_xlfn.XMATCH(Table21215[[#This Row],[10]],Table21215[[#This Row],[1]:[11]],0))-1)/(COUNTA(Table21215[[#This Row],[1]:[11]])-COUNTBLANK(Table21215[[#This Row],[1]:[11]])-1)))</f>
        <v/>
      </c>
      <c r="AI160" s="30" t="str" cm="1">
        <f t="array" ref="AI160">IF(Table21215[[#This Row],[11]]="","",Table21215[[#This Row],[Weight]:[Weight]]-(Table21215[[#This Row],[Weight]:[Weight]]*((_xlfn.XMATCH(Table21215[[#This Row],[11]],Table21215[[#This Row],[1]:[11]],0))-1)/(COUNTA(Table21215[[#This Row],[1]:[11]])-COUNTBLANK(Table21215[[#This Row],[1]:[11]])-1)))</f>
        <v/>
      </c>
    </row>
    <row r="161" spans="1:35" ht="108" x14ac:dyDescent="0.2">
      <c r="A161" s="20">
        <v>149</v>
      </c>
      <c r="B161" s="165" t="s">
        <v>978</v>
      </c>
      <c r="C161" s="21" t="s">
        <v>826</v>
      </c>
      <c r="D161" s="38"/>
      <c r="E161" s="38"/>
      <c r="F161" s="159" t="s">
        <v>60</v>
      </c>
      <c r="G161" s="160" cm="1">
        <f t="array" ref="G161">_xlfn.IFS(F161="","",F161="No interest",0,F161="Nice to have",1,F161="Useful",2,F161="Important",3,F161="Very important",4,F161="Critical",5,F161="Show stopper",6)</f>
        <v>6</v>
      </c>
      <c r="H161" s="161">
        <f t="shared" si="4"/>
        <v>4.7656870532168391E-3</v>
      </c>
      <c r="I161" s="157" t="s">
        <v>827</v>
      </c>
      <c r="J161" s="35" t="str" cm="1">
        <f t="array" ref="J161">_xlfn.TEXTJOIN(","&amp;CHAR(10),,TEXT(Table21215[[#This Row],[12]:[22]],"0,00%"))</f>
        <v>0,00%,
0,00%,
0,00%,
0,00%</v>
      </c>
      <c r="K161" s="36"/>
      <c r="L161" s="37" t="e">
        <f>H161-(H161*((MATCH(Table21215[[#This Row],[Evaluators Response (SELECT)]],Table21215[[#This Row],[1]:[11]],0)-1)/(COUNTA(Table21215[[#This Row],[1]:[11]])-COUNTBLANK(Table21215[[#This Row],[1]:[11]])-1)))</f>
        <v>#N/A</v>
      </c>
      <c r="M161" s="38"/>
      <c r="N161" s="29" t="s">
        <v>828</v>
      </c>
      <c r="O161" s="29" t="s">
        <v>829</v>
      </c>
      <c r="P161" s="29" t="s">
        <v>830</v>
      </c>
      <c r="Q161" s="29" t="str" cm="1">
        <f t="array" ref="Q161">IFERROR(INDEX(_xlfn.UNIQUE(TRIM(_xlfn.TEXTSPLIT(Table21215[[#This Row],[Selection Options]:[Selection Options]],","))),,Q$11),"")</f>
        <v xml:space="preserve">
 0%: Not currently supported</v>
      </c>
      <c r="R161" s="29" t="str" cm="1">
        <f t="array" ref="R161">IFERROR(INDEX(_xlfn.UNIQUE(TRIM(_xlfn.TEXTSPLIT(Table21215[[#This Row],[Selection Options]:[Selection Options]],","))),,R$11),"")</f>
        <v/>
      </c>
      <c r="S161" s="29" t="str" cm="1">
        <f t="array" ref="S161">IFERROR(INDEX(_xlfn.UNIQUE(TRIM(_xlfn.TEXTSPLIT(Table21215[[#This Row],[Selection Options]:[Selection Options]],","))),,S$11),"")</f>
        <v/>
      </c>
      <c r="T161" s="29" t="str" cm="1">
        <f t="array" ref="T161">IFERROR(INDEX(_xlfn.UNIQUE(TRIM(_xlfn.TEXTSPLIT(Table21215[[#This Row],[Selection Options]:[Selection Options]],","))),,T$11),"")</f>
        <v/>
      </c>
      <c r="U161" s="29" t="str" cm="1">
        <f t="array" ref="U161">IFERROR(INDEX(_xlfn.UNIQUE(TRIM(_xlfn.TEXTSPLIT(Table21215[[#This Row],[Selection Options]:[Selection Options]],","))),,U$11),"")</f>
        <v/>
      </c>
      <c r="V161" s="29" t="str" cm="1">
        <f t="array" ref="V161">IFERROR(INDEX(_xlfn.UNIQUE(TRIM(_xlfn.TEXTSPLIT(Table21215[[#This Row],[Selection Options]:[Selection Options]],","))),,V$11),"")</f>
        <v/>
      </c>
      <c r="W161" s="29" t="str" cm="1">
        <f t="array" ref="W161">IFERROR(INDEX(_xlfn.UNIQUE(TRIM(_xlfn.TEXTSPLIT(Table21215[[#This Row],[Selection Options]:[Selection Options]],","))),,W$11),"")</f>
        <v/>
      </c>
      <c r="X161" s="29" t="str" cm="1">
        <f t="array" ref="X161">IFERROR(INDEX(_xlfn.UNIQUE(TRIM(_xlfn.TEXTSPLIT(Table21215[[#This Row],[Selection Options]:[Selection Options]],","))),,X$11),"")</f>
        <v/>
      </c>
      <c r="Y161" s="30" cm="1">
        <f t="array" ref="Y161">IF(Table21215[[#This Row],[1]]="","",Table21215[[#This Row],[Weight]:[Weight]]-(Table21215[[#This Row],[Weight]:[Weight]]*((_xlfn.XMATCH(Table21215[[#This Row],[1]],Table21215[[#This Row],[1]:[11]],0))-1)/(COUNTA(Table21215[[#This Row],[1]:[11]])-COUNTBLANK(Table21215[[#This Row],[1]:[11]])-1)))</f>
        <v>4.7656870532168391E-3</v>
      </c>
      <c r="Z161" s="30" cm="1">
        <f t="array" ref="Z161">IF(Table21215[[#This Row],[2]]="","",Table21215[[#This Row],[Weight]:[Weight]]-(Table21215[[#This Row],[Weight]:[Weight]]*((_xlfn.XMATCH(Table21215[[#This Row],[2]],Table21215[[#This Row],[1]:[11]],0))-1)/(COUNTA(Table21215[[#This Row],[1]:[11]])-COUNTBLANK(Table21215[[#This Row],[1]:[11]])-1)))</f>
        <v>3.1771247021445594E-3</v>
      </c>
      <c r="AA161" s="30" cm="1">
        <f t="array" ref="AA161">IF(Table21215[[#This Row],[3]]="","",Table21215[[#This Row],[Weight]:[Weight]]-(Table21215[[#This Row],[Weight]:[Weight]]*((_xlfn.XMATCH(Table21215[[#This Row],[3]],Table21215[[#This Row],[1]:[11]],0))-1)/(COUNTA(Table21215[[#This Row],[1]:[11]])-COUNTBLANK(Table21215[[#This Row],[1]:[11]])-1)))</f>
        <v>1.5885623510722797E-3</v>
      </c>
      <c r="AB161" s="30" cm="1">
        <f t="array" ref="AB161">IF(Table21215[[#This Row],[4]]="","",Table21215[[#This Row],[Weight]:[Weight]]-(Table21215[[#This Row],[Weight]:[Weight]]*((_xlfn.XMATCH(Table21215[[#This Row],[4]],Table21215[[#This Row],[1]:[11]],0))-1)/(COUNTA(Table21215[[#This Row],[1]:[11]])-COUNTBLANK(Table21215[[#This Row],[1]:[11]])-1)))</f>
        <v>0</v>
      </c>
      <c r="AC161" s="30" t="str" cm="1">
        <f t="array" ref="AC161">IF(Table21215[[#This Row],[5]]="","",Table21215[[#This Row],[Weight]:[Weight]]-(Table21215[[#This Row],[Weight]:[Weight]]*((_xlfn.XMATCH(Table21215[[#This Row],[5]],Table21215[[#This Row],[1]:[11]],0))-1)/(COUNTA(Table21215[[#This Row],[1]:[11]])-COUNTBLANK(Table21215[[#This Row],[1]:[11]])-1)))</f>
        <v/>
      </c>
      <c r="AD161" s="30" t="str" cm="1">
        <f t="array" ref="AD161">IF(Table21215[[#This Row],[6]]="","",Table21215[[#This Row],[Weight]:[Weight]]-(Table21215[[#This Row],[Weight]:[Weight]]*((_xlfn.XMATCH(Table21215[[#This Row],[6]],Table21215[[#This Row],[1]:[11]],0))-1)/(COUNTA(Table21215[[#This Row],[1]:[11]])-COUNTBLANK(Table21215[[#This Row],[1]:[11]])-1)))</f>
        <v/>
      </c>
      <c r="AE161" s="30" t="str" cm="1">
        <f t="array" ref="AE161">IF(Table21215[[#This Row],[7]]="","",Table21215[[#This Row],[Weight]:[Weight]]-(Table21215[[#This Row],[Weight]:[Weight]]*((_xlfn.XMATCH(Table21215[[#This Row],[7]],Table21215[[#This Row],[1]:[11]],0))-1)/(COUNTA(Table21215[[#This Row],[1]:[11]])-COUNTBLANK(Table21215[[#This Row],[1]:[11]])-1)))</f>
        <v/>
      </c>
      <c r="AF161" s="30" t="str" cm="1">
        <f t="array" ref="AF161">IF(Table21215[[#This Row],[8]]="","",Table21215[[#This Row],[Weight]:[Weight]]-(Table21215[[#This Row],[Weight]:[Weight]]*((_xlfn.XMATCH(Table21215[[#This Row],[8]],Table21215[[#This Row],[1]:[11]],0))-1)/(COUNTA(Table21215[[#This Row],[1]:[11]])-COUNTBLANK(Table21215[[#This Row],[1]:[11]])-1)))</f>
        <v/>
      </c>
      <c r="AG161" s="30" t="str" cm="1">
        <f t="array" ref="AG161">IF(Table21215[[#This Row],[9]]="","",Table21215[[#This Row],[Weight]:[Weight]]-(Table21215[[#This Row],[Weight]:[Weight]]*((_xlfn.XMATCH(Table21215[[#This Row],[9]],Table21215[[#This Row],[1]:[11]],0))-1)/(COUNTA(Table21215[[#This Row],[1]:[11]])-COUNTBLANK(Table21215[[#This Row],[1]:[11]])-1)))</f>
        <v/>
      </c>
      <c r="AH161" s="30" t="str" cm="1">
        <f t="array" ref="AH161">IF(Table21215[[#This Row],[10]]="","",Table21215[[#This Row],[Weight]:[Weight]]-(Table21215[[#This Row],[Weight]:[Weight]]*((_xlfn.XMATCH(Table21215[[#This Row],[10]],Table21215[[#This Row],[1]:[11]],0))-1)/(COUNTA(Table21215[[#This Row],[1]:[11]])-COUNTBLANK(Table21215[[#This Row],[1]:[11]])-1)))</f>
        <v/>
      </c>
      <c r="AI161" s="30" t="str" cm="1">
        <f t="array" ref="AI161">IF(Table21215[[#This Row],[11]]="","",Table21215[[#This Row],[Weight]:[Weight]]-(Table21215[[#This Row],[Weight]:[Weight]]*((_xlfn.XMATCH(Table21215[[#This Row],[11]],Table21215[[#This Row],[1]:[11]],0))-1)/(COUNTA(Table21215[[#This Row],[1]:[11]])-COUNTBLANK(Table21215[[#This Row],[1]:[11]])-1)))</f>
        <v/>
      </c>
    </row>
    <row r="162" spans="1:35" ht="108" x14ac:dyDescent="0.2">
      <c r="A162" s="20">
        <v>150</v>
      </c>
      <c r="B162" s="165" t="s">
        <v>979</v>
      </c>
      <c r="C162" s="21" t="s">
        <v>826</v>
      </c>
      <c r="D162" s="38"/>
      <c r="E162" s="38"/>
      <c r="F162" s="159" t="s">
        <v>60</v>
      </c>
      <c r="G162" s="160" cm="1">
        <f t="array" ref="G162">_xlfn.IFS(F162="","",F162="No interest",0,F162="Nice to have",1,F162="Useful",2,F162="Important",3,F162="Very important",4,F162="Critical",5,F162="Show stopper",6)</f>
        <v>6</v>
      </c>
      <c r="H162" s="161">
        <f t="shared" si="4"/>
        <v>4.7656870532168391E-3</v>
      </c>
      <c r="I162" s="157" t="s">
        <v>827</v>
      </c>
      <c r="J162" s="35" t="str" cm="1">
        <f t="array" ref="J162">_xlfn.TEXTJOIN(","&amp;CHAR(10),,TEXT(Table21215[[#This Row],[12]:[22]],"0,00%"))</f>
        <v>0,00%,
0,00%,
0,00%,
0,00%</v>
      </c>
      <c r="K162" s="36"/>
      <c r="L162" s="37" t="e">
        <f>H162-(H162*((MATCH(Table21215[[#This Row],[Evaluators Response (SELECT)]],Table21215[[#This Row],[1]:[11]],0)-1)/(COUNTA(Table21215[[#This Row],[1]:[11]])-COUNTBLANK(Table21215[[#This Row],[1]:[11]])-1)))</f>
        <v>#N/A</v>
      </c>
      <c r="M162" s="38"/>
      <c r="N162" s="29" t="s">
        <v>828</v>
      </c>
      <c r="O162" s="29" t="s">
        <v>829</v>
      </c>
      <c r="P162" s="29" t="s">
        <v>830</v>
      </c>
      <c r="Q162" s="29" t="str" cm="1">
        <f t="array" ref="Q162">IFERROR(INDEX(_xlfn.UNIQUE(TRIM(_xlfn.TEXTSPLIT(Table21215[[#This Row],[Selection Options]:[Selection Options]],","))),,Q$11),"")</f>
        <v xml:space="preserve">
 0%: Not currently supported</v>
      </c>
      <c r="R162" s="29" t="str" cm="1">
        <f t="array" ref="R162">IFERROR(INDEX(_xlfn.UNIQUE(TRIM(_xlfn.TEXTSPLIT(Table21215[[#This Row],[Selection Options]:[Selection Options]],","))),,R$11),"")</f>
        <v/>
      </c>
      <c r="S162" s="29" t="str" cm="1">
        <f t="array" ref="S162">IFERROR(INDEX(_xlfn.UNIQUE(TRIM(_xlfn.TEXTSPLIT(Table21215[[#This Row],[Selection Options]:[Selection Options]],","))),,S$11),"")</f>
        <v/>
      </c>
      <c r="T162" s="29" t="str" cm="1">
        <f t="array" ref="T162">IFERROR(INDEX(_xlfn.UNIQUE(TRIM(_xlfn.TEXTSPLIT(Table21215[[#This Row],[Selection Options]:[Selection Options]],","))),,T$11),"")</f>
        <v/>
      </c>
      <c r="U162" s="29" t="str" cm="1">
        <f t="array" ref="U162">IFERROR(INDEX(_xlfn.UNIQUE(TRIM(_xlfn.TEXTSPLIT(Table21215[[#This Row],[Selection Options]:[Selection Options]],","))),,U$11),"")</f>
        <v/>
      </c>
      <c r="V162" s="29" t="str" cm="1">
        <f t="array" ref="V162">IFERROR(INDEX(_xlfn.UNIQUE(TRIM(_xlfn.TEXTSPLIT(Table21215[[#This Row],[Selection Options]:[Selection Options]],","))),,V$11),"")</f>
        <v/>
      </c>
      <c r="W162" s="29" t="str" cm="1">
        <f t="array" ref="W162">IFERROR(INDEX(_xlfn.UNIQUE(TRIM(_xlfn.TEXTSPLIT(Table21215[[#This Row],[Selection Options]:[Selection Options]],","))),,W$11),"")</f>
        <v/>
      </c>
      <c r="X162" s="29" t="str" cm="1">
        <f t="array" ref="X162">IFERROR(INDEX(_xlfn.UNIQUE(TRIM(_xlfn.TEXTSPLIT(Table21215[[#This Row],[Selection Options]:[Selection Options]],","))),,X$11),"")</f>
        <v/>
      </c>
      <c r="Y162" s="30" cm="1">
        <f t="array" ref="Y162">IF(Table21215[[#This Row],[1]]="","",Table21215[[#This Row],[Weight]:[Weight]]-(Table21215[[#This Row],[Weight]:[Weight]]*((_xlfn.XMATCH(Table21215[[#This Row],[1]],Table21215[[#This Row],[1]:[11]],0))-1)/(COUNTA(Table21215[[#This Row],[1]:[11]])-COUNTBLANK(Table21215[[#This Row],[1]:[11]])-1)))</f>
        <v>4.7656870532168391E-3</v>
      </c>
      <c r="Z162" s="30" cm="1">
        <f t="array" ref="Z162">IF(Table21215[[#This Row],[2]]="","",Table21215[[#This Row],[Weight]:[Weight]]-(Table21215[[#This Row],[Weight]:[Weight]]*((_xlfn.XMATCH(Table21215[[#This Row],[2]],Table21215[[#This Row],[1]:[11]],0))-1)/(COUNTA(Table21215[[#This Row],[1]:[11]])-COUNTBLANK(Table21215[[#This Row],[1]:[11]])-1)))</f>
        <v>3.1771247021445594E-3</v>
      </c>
      <c r="AA162" s="30" cm="1">
        <f t="array" ref="AA162">IF(Table21215[[#This Row],[3]]="","",Table21215[[#This Row],[Weight]:[Weight]]-(Table21215[[#This Row],[Weight]:[Weight]]*((_xlfn.XMATCH(Table21215[[#This Row],[3]],Table21215[[#This Row],[1]:[11]],0))-1)/(COUNTA(Table21215[[#This Row],[1]:[11]])-COUNTBLANK(Table21215[[#This Row],[1]:[11]])-1)))</f>
        <v>1.5885623510722797E-3</v>
      </c>
      <c r="AB162" s="30" cm="1">
        <f t="array" ref="AB162">IF(Table21215[[#This Row],[4]]="","",Table21215[[#This Row],[Weight]:[Weight]]-(Table21215[[#This Row],[Weight]:[Weight]]*((_xlfn.XMATCH(Table21215[[#This Row],[4]],Table21215[[#This Row],[1]:[11]],0))-1)/(COUNTA(Table21215[[#This Row],[1]:[11]])-COUNTBLANK(Table21215[[#This Row],[1]:[11]])-1)))</f>
        <v>0</v>
      </c>
      <c r="AC162" s="30" t="str" cm="1">
        <f t="array" ref="AC162">IF(Table21215[[#This Row],[5]]="","",Table21215[[#This Row],[Weight]:[Weight]]-(Table21215[[#This Row],[Weight]:[Weight]]*((_xlfn.XMATCH(Table21215[[#This Row],[5]],Table21215[[#This Row],[1]:[11]],0))-1)/(COUNTA(Table21215[[#This Row],[1]:[11]])-COUNTBLANK(Table21215[[#This Row],[1]:[11]])-1)))</f>
        <v/>
      </c>
      <c r="AD162" s="30" t="str" cm="1">
        <f t="array" ref="AD162">IF(Table21215[[#This Row],[6]]="","",Table21215[[#This Row],[Weight]:[Weight]]-(Table21215[[#This Row],[Weight]:[Weight]]*((_xlfn.XMATCH(Table21215[[#This Row],[6]],Table21215[[#This Row],[1]:[11]],0))-1)/(COUNTA(Table21215[[#This Row],[1]:[11]])-COUNTBLANK(Table21215[[#This Row],[1]:[11]])-1)))</f>
        <v/>
      </c>
      <c r="AE162" s="30" t="str" cm="1">
        <f t="array" ref="AE162">IF(Table21215[[#This Row],[7]]="","",Table21215[[#This Row],[Weight]:[Weight]]-(Table21215[[#This Row],[Weight]:[Weight]]*((_xlfn.XMATCH(Table21215[[#This Row],[7]],Table21215[[#This Row],[1]:[11]],0))-1)/(COUNTA(Table21215[[#This Row],[1]:[11]])-COUNTBLANK(Table21215[[#This Row],[1]:[11]])-1)))</f>
        <v/>
      </c>
      <c r="AF162" s="30" t="str" cm="1">
        <f t="array" ref="AF162">IF(Table21215[[#This Row],[8]]="","",Table21215[[#This Row],[Weight]:[Weight]]-(Table21215[[#This Row],[Weight]:[Weight]]*((_xlfn.XMATCH(Table21215[[#This Row],[8]],Table21215[[#This Row],[1]:[11]],0))-1)/(COUNTA(Table21215[[#This Row],[1]:[11]])-COUNTBLANK(Table21215[[#This Row],[1]:[11]])-1)))</f>
        <v/>
      </c>
      <c r="AG162" s="30" t="str" cm="1">
        <f t="array" ref="AG162">IF(Table21215[[#This Row],[9]]="","",Table21215[[#This Row],[Weight]:[Weight]]-(Table21215[[#This Row],[Weight]:[Weight]]*((_xlfn.XMATCH(Table21215[[#This Row],[9]],Table21215[[#This Row],[1]:[11]],0))-1)/(COUNTA(Table21215[[#This Row],[1]:[11]])-COUNTBLANK(Table21215[[#This Row],[1]:[11]])-1)))</f>
        <v/>
      </c>
      <c r="AH162" s="30" t="str" cm="1">
        <f t="array" ref="AH162">IF(Table21215[[#This Row],[10]]="","",Table21215[[#This Row],[Weight]:[Weight]]-(Table21215[[#This Row],[Weight]:[Weight]]*((_xlfn.XMATCH(Table21215[[#This Row],[10]],Table21215[[#This Row],[1]:[11]],0))-1)/(COUNTA(Table21215[[#This Row],[1]:[11]])-COUNTBLANK(Table21215[[#This Row],[1]:[11]])-1)))</f>
        <v/>
      </c>
      <c r="AI162" s="30" t="str" cm="1">
        <f t="array" ref="AI162">IF(Table21215[[#This Row],[11]]="","",Table21215[[#This Row],[Weight]:[Weight]]-(Table21215[[#This Row],[Weight]:[Weight]]*((_xlfn.XMATCH(Table21215[[#This Row],[11]],Table21215[[#This Row],[1]:[11]],0))-1)/(COUNTA(Table21215[[#This Row],[1]:[11]])-COUNTBLANK(Table21215[[#This Row],[1]:[11]])-1)))</f>
        <v/>
      </c>
    </row>
    <row r="163" spans="1:35" ht="108" x14ac:dyDescent="0.2">
      <c r="A163" s="20">
        <v>151</v>
      </c>
      <c r="B163" s="165" t="s">
        <v>980</v>
      </c>
      <c r="C163" s="21" t="s">
        <v>826</v>
      </c>
      <c r="D163" s="38"/>
      <c r="E163" s="38"/>
      <c r="F163" s="159" t="s">
        <v>60</v>
      </c>
      <c r="G163" s="160" cm="1">
        <f t="array" ref="G163">_xlfn.IFS(F163="","",F163="No interest",0,F163="Nice to have",1,F163="Useful",2,F163="Important",3,F163="Very important",4,F163="Critical",5,F163="Show stopper",6)</f>
        <v>6</v>
      </c>
      <c r="H163" s="161">
        <f t="shared" si="4"/>
        <v>4.7656870532168391E-3</v>
      </c>
      <c r="I163" s="157" t="s">
        <v>827</v>
      </c>
      <c r="J163" s="35" t="str" cm="1">
        <f t="array" ref="J163">_xlfn.TEXTJOIN(","&amp;CHAR(10),,TEXT(Table21215[[#This Row],[12]:[22]],"0,00%"))</f>
        <v>0,00%,
0,00%,
0,00%,
0,00%</v>
      </c>
      <c r="K163" s="36"/>
      <c r="L163" s="37" t="e">
        <f>H163-(H163*((MATCH(Table21215[[#This Row],[Evaluators Response (SELECT)]],Table21215[[#This Row],[1]:[11]],0)-1)/(COUNTA(Table21215[[#This Row],[1]:[11]])-COUNTBLANK(Table21215[[#This Row],[1]:[11]])-1)))</f>
        <v>#N/A</v>
      </c>
      <c r="M163" s="38"/>
      <c r="N163" s="29" t="s">
        <v>828</v>
      </c>
      <c r="O163" s="29" t="s">
        <v>829</v>
      </c>
      <c r="P163" s="29" t="s">
        <v>830</v>
      </c>
      <c r="Q163" s="29" t="str" cm="1">
        <f t="array" ref="Q163">IFERROR(INDEX(_xlfn.UNIQUE(TRIM(_xlfn.TEXTSPLIT(Table21215[[#This Row],[Selection Options]:[Selection Options]],","))),,Q$11),"")</f>
        <v xml:space="preserve">
 0%: Not currently supported</v>
      </c>
      <c r="R163" s="29" t="str" cm="1">
        <f t="array" ref="R163">IFERROR(INDEX(_xlfn.UNIQUE(TRIM(_xlfn.TEXTSPLIT(Table21215[[#This Row],[Selection Options]:[Selection Options]],","))),,R$11),"")</f>
        <v/>
      </c>
      <c r="S163" s="29" t="str" cm="1">
        <f t="array" ref="S163">IFERROR(INDEX(_xlfn.UNIQUE(TRIM(_xlfn.TEXTSPLIT(Table21215[[#This Row],[Selection Options]:[Selection Options]],","))),,S$11),"")</f>
        <v/>
      </c>
      <c r="T163" s="29" t="str" cm="1">
        <f t="array" ref="T163">IFERROR(INDEX(_xlfn.UNIQUE(TRIM(_xlfn.TEXTSPLIT(Table21215[[#This Row],[Selection Options]:[Selection Options]],","))),,T$11),"")</f>
        <v/>
      </c>
      <c r="U163" s="29" t="str" cm="1">
        <f t="array" ref="U163">IFERROR(INDEX(_xlfn.UNIQUE(TRIM(_xlfn.TEXTSPLIT(Table21215[[#This Row],[Selection Options]:[Selection Options]],","))),,U$11),"")</f>
        <v/>
      </c>
      <c r="V163" s="29" t="str" cm="1">
        <f t="array" ref="V163">IFERROR(INDEX(_xlfn.UNIQUE(TRIM(_xlfn.TEXTSPLIT(Table21215[[#This Row],[Selection Options]:[Selection Options]],","))),,V$11),"")</f>
        <v/>
      </c>
      <c r="W163" s="29" t="str" cm="1">
        <f t="array" ref="W163">IFERROR(INDEX(_xlfn.UNIQUE(TRIM(_xlfn.TEXTSPLIT(Table21215[[#This Row],[Selection Options]:[Selection Options]],","))),,W$11),"")</f>
        <v/>
      </c>
      <c r="X163" s="29" t="str" cm="1">
        <f t="array" ref="X163">IFERROR(INDEX(_xlfn.UNIQUE(TRIM(_xlfn.TEXTSPLIT(Table21215[[#This Row],[Selection Options]:[Selection Options]],","))),,X$11),"")</f>
        <v/>
      </c>
      <c r="Y163" s="30" cm="1">
        <f t="array" ref="Y163">IF(Table21215[[#This Row],[1]]="","",Table21215[[#This Row],[Weight]:[Weight]]-(Table21215[[#This Row],[Weight]:[Weight]]*((_xlfn.XMATCH(Table21215[[#This Row],[1]],Table21215[[#This Row],[1]:[11]],0))-1)/(COUNTA(Table21215[[#This Row],[1]:[11]])-COUNTBLANK(Table21215[[#This Row],[1]:[11]])-1)))</f>
        <v>4.7656870532168391E-3</v>
      </c>
      <c r="Z163" s="30" cm="1">
        <f t="array" ref="Z163">IF(Table21215[[#This Row],[2]]="","",Table21215[[#This Row],[Weight]:[Weight]]-(Table21215[[#This Row],[Weight]:[Weight]]*((_xlfn.XMATCH(Table21215[[#This Row],[2]],Table21215[[#This Row],[1]:[11]],0))-1)/(COUNTA(Table21215[[#This Row],[1]:[11]])-COUNTBLANK(Table21215[[#This Row],[1]:[11]])-1)))</f>
        <v>3.1771247021445594E-3</v>
      </c>
      <c r="AA163" s="30" cm="1">
        <f t="array" ref="AA163">IF(Table21215[[#This Row],[3]]="","",Table21215[[#This Row],[Weight]:[Weight]]-(Table21215[[#This Row],[Weight]:[Weight]]*((_xlfn.XMATCH(Table21215[[#This Row],[3]],Table21215[[#This Row],[1]:[11]],0))-1)/(COUNTA(Table21215[[#This Row],[1]:[11]])-COUNTBLANK(Table21215[[#This Row],[1]:[11]])-1)))</f>
        <v>1.5885623510722797E-3</v>
      </c>
      <c r="AB163" s="30" cm="1">
        <f t="array" ref="AB163">IF(Table21215[[#This Row],[4]]="","",Table21215[[#This Row],[Weight]:[Weight]]-(Table21215[[#This Row],[Weight]:[Weight]]*((_xlfn.XMATCH(Table21215[[#This Row],[4]],Table21215[[#This Row],[1]:[11]],0))-1)/(COUNTA(Table21215[[#This Row],[1]:[11]])-COUNTBLANK(Table21215[[#This Row],[1]:[11]])-1)))</f>
        <v>0</v>
      </c>
      <c r="AC163" s="30" t="str" cm="1">
        <f t="array" ref="AC163">IF(Table21215[[#This Row],[5]]="","",Table21215[[#This Row],[Weight]:[Weight]]-(Table21215[[#This Row],[Weight]:[Weight]]*((_xlfn.XMATCH(Table21215[[#This Row],[5]],Table21215[[#This Row],[1]:[11]],0))-1)/(COUNTA(Table21215[[#This Row],[1]:[11]])-COUNTBLANK(Table21215[[#This Row],[1]:[11]])-1)))</f>
        <v/>
      </c>
      <c r="AD163" s="30" t="str" cm="1">
        <f t="array" ref="AD163">IF(Table21215[[#This Row],[6]]="","",Table21215[[#This Row],[Weight]:[Weight]]-(Table21215[[#This Row],[Weight]:[Weight]]*((_xlfn.XMATCH(Table21215[[#This Row],[6]],Table21215[[#This Row],[1]:[11]],0))-1)/(COUNTA(Table21215[[#This Row],[1]:[11]])-COUNTBLANK(Table21215[[#This Row],[1]:[11]])-1)))</f>
        <v/>
      </c>
      <c r="AE163" s="30" t="str" cm="1">
        <f t="array" ref="AE163">IF(Table21215[[#This Row],[7]]="","",Table21215[[#This Row],[Weight]:[Weight]]-(Table21215[[#This Row],[Weight]:[Weight]]*((_xlfn.XMATCH(Table21215[[#This Row],[7]],Table21215[[#This Row],[1]:[11]],0))-1)/(COUNTA(Table21215[[#This Row],[1]:[11]])-COUNTBLANK(Table21215[[#This Row],[1]:[11]])-1)))</f>
        <v/>
      </c>
      <c r="AF163" s="30" t="str" cm="1">
        <f t="array" ref="AF163">IF(Table21215[[#This Row],[8]]="","",Table21215[[#This Row],[Weight]:[Weight]]-(Table21215[[#This Row],[Weight]:[Weight]]*((_xlfn.XMATCH(Table21215[[#This Row],[8]],Table21215[[#This Row],[1]:[11]],0))-1)/(COUNTA(Table21215[[#This Row],[1]:[11]])-COUNTBLANK(Table21215[[#This Row],[1]:[11]])-1)))</f>
        <v/>
      </c>
      <c r="AG163" s="30" t="str" cm="1">
        <f t="array" ref="AG163">IF(Table21215[[#This Row],[9]]="","",Table21215[[#This Row],[Weight]:[Weight]]-(Table21215[[#This Row],[Weight]:[Weight]]*((_xlfn.XMATCH(Table21215[[#This Row],[9]],Table21215[[#This Row],[1]:[11]],0))-1)/(COUNTA(Table21215[[#This Row],[1]:[11]])-COUNTBLANK(Table21215[[#This Row],[1]:[11]])-1)))</f>
        <v/>
      </c>
      <c r="AH163" s="30" t="str" cm="1">
        <f t="array" ref="AH163">IF(Table21215[[#This Row],[10]]="","",Table21215[[#This Row],[Weight]:[Weight]]-(Table21215[[#This Row],[Weight]:[Weight]]*((_xlfn.XMATCH(Table21215[[#This Row],[10]],Table21215[[#This Row],[1]:[11]],0))-1)/(COUNTA(Table21215[[#This Row],[1]:[11]])-COUNTBLANK(Table21215[[#This Row],[1]:[11]])-1)))</f>
        <v/>
      </c>
      <c r="AI163" s="30" t="str" cm="1">
        <f t="array" ref="AI163">IF(Table21215[[#This Row],[11]]="","",Table21215[[#This Row],[Weight]:[Weight]]-(Table21215[[#This Row],[Weight]:[Weight]]*((_xlfn.XMATCH(Table21215[[#This Row],[11]],Table21215[[#This Row],[1]:[11]],0))-1)/(COUNTA(Table21215[[#This Row],[1]:[11]])-COUNTBLANK(Table21215[[#This Row],[1]:[11]])-1)))</f>
        <v/>
      </c>
    </row>
    <row r="164" spans="1:35" ht="108" x14ac:dyDescent="0.2">
      <c r="A164" s="20">
        <v>152</v>
      </c>
      <c r="B164" s="165" t="s">
        <v>981</v>
      </c>
      <c r="C164" s="21" t="s">
        <v>826</v>
      </c>
      <c r="D164" s="38"/>
      <c r="E164" s="38"/>
      <c r="F164" s="159" t="s">
        <v>60</v>
      </c>
      <c r="G164" s="160" cm="1">
        <f t="array" ref="G164">_xlfn.IFS(F164="","",F164="No interest",0,F164="Nice to have",1,F164="Useful",2,F164="Important",3,F164="Very important",4,F164="Critical",5,F164="Show stopper",6)</f>
        <v>6</v>
      </c>
      <c r="H164" s="161">
        <f t="shared" si="4"/>
        <v>4.7656870532168391E-3</v>
      </c>
      <c r="I164" s="157" t="s">
        <v>827</v>
      </c>
      <c r="J164" s="35" t="str" cm="1">
        <f t="array" ref="J164">_xlfn.TEXTJOIN(","&amp;CHAR(10),,TEXT(Table21215[[#This Row],[12]:[22]],"0,00%"))</f>
        <v>0,00%,
0,00%,
0,00%,
0,00%</v>
      </c>
      <c r="K164" s="36"/>
      <c r="L164" s="37" t="e">
        <f>H164-(H164*((MATCH(Table21215[[#This Row],[Evaluators Response (SELECT)]],Table21215[[#This Row],[1]:[11]],0)-1)/(COUNTA(Table21215[[#This Row],[1]:[11]])-COUNTBLANK(Table21215[[#This Row],[1]:[11]])-1)))</f>
        <v>#N/A</v>
      </c>
      <c r="M164" s="38"/>
      <c r="N164" s="29" t="s">
        <v>828</v>
      </c>
      <c r="O164" s="29" t="s">
        <v>829</v>
      </c>
      <c r="P164" s="29" t="s">
        <v>830</v>
      </c>
      <c r="Q164" s="29" t="str" cm="1">
        <f t="array" ref="Q164">IFERROR(INDEX(_xlfn.UNIQUE(TRIM(_xlfn.TEXTSPLIT(Table21215[[#This Row],[Selection Options]:[Selection Options]],","))),,Q$11),"")</f>
        <v xml:space="preserve">
 0%: Not currently supported</v>
      </c>
      <c r="R164" s="29" t="str" cm="1">
        <f t="array" ref="R164">IFERROR(INDEX(_xlfn.UNIQUE(TRIM(_xlfn.TEXTSPLIT(Table21215[[#This Row],[Selection Options]:[Selection Options]],","))),,R$11),"")</f>
        <v/>
      </c>
      <c r="S164" s="29" t="str" cm="1">
        <f t="array" ref="S164">IFERROR(INDEX(_xlfn.UNIQUE(TRIM(_xlfn.TEXTSPLIT(Table21215[[#This Row],[Selection Options]:[Selection Options]],","))),,S$11),"")</f>
        <v/>
      </c>
      <c r="T164" s="29" t="str" cm="1">
        <f t="array" ref="T164">IFERROR(INDEX(_xlfn.UNIQUE(TRIM(_xlfn.TEXTSPLIT(Table21215[[#This Row],[Selection Options]:[Selection Options]],","))),,T$11),"")</f>
        <v/>
      </c>
      <c r="U164" s="29" t="str" cm="1">
        <f t="array" ref="U164">IFERROR(INDEX(_xlfn.UNIQUE(TRIM(_xlfn.TEXTSPLIT(Table21215[[#This Row],[Selection Options]:[Selection Options]],","))),,U$11),"")</f>
        <v/>
      </c>
      <c r="V164" s="29" t="str" cm="1">
        <f t="array" ref="V164">IFERROR(INDEX(_xlfn.UNIQUE(TRIM(_xlfn.TEXTSPLIT(Table21215[[#This Row],[Selection Options]:[Selection Options]],","))),,V$11),"")</f>
        <v/>
      </c>
      <c r="W164" s="29" t="str" cm="1">
        <f t="array" ref="W164">IFERROR(INDEX(_xlfn.UNIQUE(TRIM(_xlfn.TEXTSPLIT(Table21215[[#This Row],[Selection Options]:[Selection Options]],","))),,W$11),"")</f>
        <v/>
      </c>
      <c r="X164" s="29" t="str" cm="1">
        <f t="array" ref="X164">IFERROR(INDEX(_xlfn.UNIQUE(TRIM(_xlfn.TEXTSPLIT(Table21215[[#This Row],[Selection Options]:[Selection Options]],","))),,X$11),"")</f>
        <v/>
      </c>
      <c r="Y164" s="30" cm="1">
        <f t="array" ref="Y164">IF(Table21215[[#This Row],[1]]="","",Table21215[[#This Row],[Weight]:[Weight]]-(Table21215[[#This Row],[Weight]:[Weight]]*((_xlfn.XMATCH(Table21215[[#This Row],[1]],Table21215[[#This Row],[1]:[11]],0))-1)/(COUNTA(Table21215[[#This Row],[1]:[11]])-COUNTBLANK(Table21215[[#This Row],[1]:[11]])-1)))</f>
        <v>4.7656870532168391E-3</v>
      </c>
      <c r="Z164" s="30" cm="1">
        <f t="array" ref="Z164">IF(Table21215[[#This Row],[2]]="","",Table21215[[#This Row],[Weight]:[Weight]]-(Table21215[[#This Row],[Weight]:[Weight]]*((_xlfn.XMATCH(Table21215[[#This Row],[2]],Table21215[[#This Row],[1]:[11]],0))-1)/(COUNTA(Table21215[[#This Row],[1]:[11]])-COUNTBLANK(Table21215[[#This Row],[1]:[11]])-1)))</f>
        <v>3.1771247021445594E-3</v>
      </c>
      <c r="AA164" s="30" cm="1">
        <f t="array" ref="AA164">IF(Table21215[[#This Row],[3]]="","",Table21215[[#This Row],[Weight]:[Weight]]-(Table21215[[#This Row],[Weight]:[Weight]]*((_xlfn.XMATCH(Table21215[[#This Row],[3]],Table21215[[#This Row],[1]:[11]],0))-1)/(COUNTA(Table21215[[#This Row],[1]:[11]])-COUNTBLANK(Table21215[[#This Row],[1]:[11]])-1)))</f>
        <v>1.5885623510722797E-3</v>
      </c>
      <c r="AB164" s="30" cm="1">
        <f t="array" ref="AB164">IF(Table21215[[#This Row],[4]]="","",Table21215[[#This Row],[Weight]:[Weight]]-(Table21215[[#This Row],[Weight]:[Weight]]*((_xlfn.XMATCH(Table21215[[#This Row],[4]],Table21215[[#This Row],[1]:[11]],0))-1)/(COUNTA(Table21215[[#This Row],[1]:[11]])-COUNTBLANK(Table21215[[#This Row],[1]:[11]])-1)))</f>
        <v>0</v>
      </c>
      <c r="AC164" s="30" t="str" cm="1">
        <f t="array" ref="AC164">IF(Table21215[[#This Row],[5]]="","",Table21215[[#This Row],[Weight]:[Weight]]-(Table21215[[#This Row],[Weight]:[Weight]]*((_xlfn.XMATCH(Table21215[[#This Row],[5]],Table21215[[#This Row],[1]:[11]],0))-1)/(COUNTA(Table21215[[#This Row],[1]:[11]])-COUNTBLANK(Table21215[[#This Row],[1]:[11]])-1)))</f>
        <v/>
      </c>
      <c r="AD164" s="30" t="str" cm="1">
        <f t="array" ref="AD164">IF(Table21215[[#This Row],[6]]="","",Table21215[[#This Row],[Weight]:[Weight]]-(Table21215[[#This Row],[Weight]:[Weight]]*((_xlfn.XMATCH(Table21215[[#This Row],[6]],Table21215[[#This Row],[1]:[11]],0))-1)/(COUNTA(Table21215[[#This Row],[1]:[11]])-COUNTBLANK(Table21215[[#This Row],[1]:[11]])-1)))</f>
        <v/>
      </c>
      <c r="AE164" s="30" t="str" cm="1">
        <f t="array" ref="AE164">IF(Table21215[[#This Row],[7]]="","",Table21215[[#This Row],[Weight]:[Weight]]-(Table21215[[#This Row],[Weight]:[Weight]]*((_xlfn.XMATCH(Table21215[[#This Row],[7]],Table21215[[#This Row],[1]:[11]],0))-1)/(COUNTA(Table21215[[#This Row],[1]:[11]])-COUNTBLANK(Table21215[[#This Row],[1]:[11]])-1)))</f>
        <v/>
      </c>
      <c r="AF164" s="30" t="str" cm="1">
        <f t="array" ref="AF164">IF(Table21215[[#This Row],[8]]="","",Table21215[[#This Row],[Weight]:[Weight]]-(Table21215[[#This Row],[Weight]:[Weight]]*((_xlfn.XMATCH(Table21215[[#This Row],[8]],Table21215[[#This Row],[1]:[11]],0))-1)/(COUNTA(Table21215[[#This Row],[1]:[11]])-COUNTBLANK(Table21215[[#This Row],[1]:[11]])-1)))</f>
        <v/>
      </c>
      <c r="AG164" s="30" t="str" cm="1">
        <f t="array" ref="AG164">IF(Table21215[[#This Row],[9]]="","",Table21215[[#This Row],[Weight]:[Weight]]-(Table21215[[#This Row],[Weight]:[Weight]]*((_xlfn.XMATCH(Table21215[[#This Row],[9]],Table21215[[#This Row],[1]:[11]],0))-1)/(COUNTA(Table21215[[#This Row],[1]:[11]])-COUNTBLANK(Table21215[[#This Row],[1]:[11]])-1)))</f>
        <v/>
      </c>
      <c r="AH164" s="30" t="str" cm="1">
        <f t="array" ref="AH164">IF(Table21215[[#This Row],[10]]="","",Table21215[[#This Row],[Weight]:[Weight]]-(Table21215[[#This Row],[Weight]:[Weight]]*((_xlfn.XMATCH(Table21215[[#This Row],[10]],Table21215[[#This Row],[1]:[11]],0))-1)/(COUNTA(Table21215[[#This Row],[1]:[11]])-COUNTBLANK(Table21215[[#This Row],[1]:[11]])-1)))</f>
        <v/>
      </c>
      <c r="AI164" s="30" t="str" cm="1">
        <f t="array" ref="AI164">IF(Table21215[[#This Row],[11]]="","",Table21215[[#This Row],[Weight]:[Weight]]-(Table21215[[#This Row],[Weight]:[Weight]]*((_xlfn.XMATCH(Table21215[[#This Row],[11]],Table21215[[#This Row],[1]:[11]],0))-1)/(COUNTA(Table21215[[#This Row],[1]:[11]])-COUNTBLANK(Table21215[[#This Row],[1]:[11]])-1)))</f>
        <v/>
      </c>
    </row>
    <row r="165" spans="1:35" ht="108" x14ac:dyDescent="0.2">
      <c r="A165" s="20">
        <v>153</v>
      </c>
      <c r="B165" s="165" t="s">
        <v>982</v>
      </c>
      <c r="C165" s="21" t="s">
        <v>826</v>
      </c>
      <c r="D165" s="38"/>
      <c r="E165" s="38"/>
      <c r="F165" s="159" t="s">
        <v>60</v>
      </c>
      <c r="G165" s="160" cm="1">
        <f t="array" ref="G165">_xlfn.IFS(F165="","",F165="No interest",0,F165="Nice to have",1,F165="Useful",2,F165="Important",3,F165="Very important",4,F165="Critical",5,F165="Show stopper",6)</f>
        <v>6</v>
      </c>
      <c r="H165" s="161">
        <f t="shared" si="4"/>
        <v>4.7656870532168391E-3</v>
      </c>
      <c r="I165" s="157" t="s">
        <v>827</v>
      </c>
      <c r="J165" s="35" t="str" cm="1">
        <f t="array" ref="J165">_xlfn.TEXTJOIN(","&amp;CHAR(10),,TEXT(Table21215[[#This Row],[12]:[22]],"0,00%"))</f>
        <v>0,00%,
0,00%,
0,00%,
0,00%</v>
      </c>
      <c r="K165" s="36"/>
      <c r="L165" s="37" t="e">
        <f>H165-(H165*((MATCH(Table21215[[#This Row],[Evaluators Response (SELECT)]],Table21215[[#This Row],[1]:[11]],0)-1)/(COUNTA(Table21215[[#This Row],[1]:[11]])-COUNTBLANK(Table21215[[#This Row],[1]:[11]])-1)))</f>
        <v>#N/A</v>
      </c>
      <c r="M165" s="38"/>
      <c r="N165" s="29" t="s">
        <v>828</v>
      </c>
      <c r="O165" s="29" t="s">
        <v>829</v>
      </c>
      <c r="P165" s="29" t="s">
        <v>830</v>
      </c>
      <c r="Q165" s="29" t="str" cm="1">
        <f t="array" ref="Q165">IFERROR(INDEX(_xlfn.UNIQUE(TRIM(_xlfn.TEXTSPLIT(Table21215[[#This Row],[Selection Options]:[Selection Options]],","))),,Q$11),"")</f>
        <v xml:space="preserve">
 0%: Not currently supported</v>
      </c>
      <c r="R165" s="29" t="str" cm="1">
        <f t="array" ref="R165">IFERROR(INDEX(_xlfn.UNIQUE(TRIM(_xlfn.TEXTSPLIT(Table21215[[#This Row],[Selection Options]:[Selection Options]],","))),,R$11),"")</f>
        <v/>
      </c>
      <c r="S165" s="29" t="str" cm="1">
        <f t="array" ref="S165">IFERROR(INDEX(_xlfn.UNIQUE(TRIM(_xlfn.TEXTSPLIT(Table21215[[#This Row],[Selection Options]:[Selection Options]],","))),,S$11),"")</f>
        <v/>
      </c>
      <c r="T165" s="29" t="str" cm="1">
        <f t="array" ref="T165">IFERROR(INDEX(_xlfn.UNIQUE(TRIM(_xlfn.TEXTSPLIT(Table21215[[#This Row],[Selection Options]:[Selection Options]],","))),,T$11),"")</f>
        <v/>
      </c>
      <c r="U165" s="29" t="str" cm="1">
        <f t="array" ref="U165">IFERROR(INDEX(_xlfn.UNIQUE(TRIM(_xlfn.TEXTSPLIT(Table21215[[#This Row],[Selection Options]:[Selection Options]],","))),,U$11),"")</f>
        <v/>
      </c>
      <c r="V165" s="29" t="str" cm="1">
        <f t="array" ref="V165">IFERROR(INDEX(_xlfn.UNIQUE(TRIM(_xlfn.TEXTSPLIT(Table21215[[#This Row],[Selection Options]:[Selection Options]],","))),,V$11),"")</f>
        <v/>
      </c>
      <c r="W165" s="29" t="str" cm="1">
        <f t="array" ref="W165">IFERROR(INDEX(_xlfn.UNIQUE(TRIM(_xlfn.TEXTSPLIT(Table21215[[#This Row],[Selection Options]:[Selection Options]],","))),,W$11),"")</f>
        <v/>
      </c>
      <c r="X165" s="29" t="str" cm="1">
        <f t="array" ref="X165">IFERROR(INDEX(_xlfn.UNIQUE(TRIM(_xlfn.TEXTSPLIT(Table21215[[#This Row],[Selection Options]:[Selection Options]],","))),,X$11),"")</f>
        <v/>
      </c>
      <c r="Y165" s="30" cm="1">
        <f t="array" ref="Y165">IF(Table21215[[#This Row],[1]]="","",Table21215[[#This Row],[Weight]:[Weight]]-(Table21215[[#This Row],[Weight]:[Weight]]*((_xlfn.XMATCH(Table21215[[#This Row],[1]],Table21215[[#This Row],[1]:[11]],0))-1)/(COUNTA(Table21215[[#This Row],[1]:[11]])-COUNTBLANK(Table21215[[#This Row],[1]:[11]])-1)))</f>
        <v>4.7656870532168391E-3</v>
      </c>
      <c r="Z165" s="30" cm="1">
        <f t="array" ref="Z165">IF(Table21215[[#This Row],[2]]="","",Table21215[[#This Row],[Weight]:[Weight]]-(Table21215[[#This Row],[Weight]:[Weight]]*((_xlfn.XMATCH(Table21215[[#This Row],[2]],Table21215[[#This Row],[1]:[11]],0))-1)/(COUNTA(Table21215[[#This Row],[1]:[11]])-COUNTBLANK(Table21215[[#This Row],[1]:[11]])-1)))</f>
        <v>3.1771247021445594E-3</v>
      </c>
      <c r="AA165" s="30" cm="1">
        <f t="array" ref="AA165">IF(Table21215[[#This Row],[3]]="","",Table21215[[#This Row],[Weight]:[Weight]]-(Table21215[[#This Row],[Weight]:[Weight]]*((_xlfn.XMATCH(Table21215[[#This Row],[3]],Table21215[[#This Row],[1]:[11]],0))-1)/(COUNTA(Table21215[[#This Row],[1]:[11]])-COUNTBLANK(Table21215[[#This Row],[1]:[11]])-1)))</f>
        <v>1.5885623510722797E-3</v>
      </c>
      <c r="AB165" s="30" cm="1">
        <f t="array" ref="AB165">IF(Table21215[[#This Row],[4]]="","",Table21215[[#This Row],[Weight]:[Weight]]-(Table21215[[#This Row],[Weight]:[Weight]]*((_xlfn.XMATCH(Table21215[[#This Row],[4]],Table21215[[#This Row],[1]:[11]],0))-1)/(COUNTA(Table21215[[#This Row],[1]:[11]])-COUNTBLANK(Table21215[[#This Row],[1]:[11]])-1)))</f>
        <v>0</v>
      </c>
      <c r="AC165" s="30" t="str" cm="1">
        <f t="array" ref="AC165">IF(Table21215[[#This Row],[5]]="","",Table21215[[#This Row],[Weight]:[Weight]]-(Table21215[[#This Row],[Weight]:[Weight]]*((_xlfn.XMATCH(Table21215[[#This Row],[5]],Table21215[[#This Row],[1]:[11]],0))-1)/(COUNTA(Table21215[[#This Row],[1]:[11]])-COUNTBLANK(Table21215[[#This Row],[1]:[11]])-1)))</f>
        <v/>
      </c>
      <c r="AD165" s="30" t="str" cm="1">
        <f t="array" ref="AD165">IF(Table21215[[#This Row],[6]]="","",Table21215[[#This Row],[Weight]:[Weight]]-(Table21215[[#This Row],[Weight]:[Weight]]*((_xlfn.XMATCH(Table21215[[#This Row],[6]],Table21215[[#This Row],[1]:[11]],0))-1)/(COUNTA(Table21215[[#This Row],[1]:[11]])-COUNTBLANK(Table21215[[#This Row],[1]:[11]])-1)))</f>
        <v/>
      </c>
      <c r="AE165" s="30" t="str" cm="1">
        <f t="array" ref="AE165">IF(Table21215[[#This Row],[7]]="","",Table21215[[#This Row],[Weight]:[Weight]]-(Table21215[[#This Row],[Weight]:[Weight]]*((_xlfn.XMATCH(Table21215[[#This Row],[7]],Table21215[[#This Row],[1]:[11]],0))-1)/(COUNTA(Table21215[[#This Row],[1]:[11]])-COUNTBLANK(Table21215[[#This Row],[1]:[11]])-1)))</f>
        <v/>
      </c>
      <c r="AF165" s="30" t="str" cm="1">
        <f t="array" ref="AF165">IF(Table21215[[#This Row],[8]]="","",Table21215[[#This Row],[Weight]:[Weight]]-(Table21215[[#This Row],[Weight]:[Weight]]*((_xlfn.XMATCH(Table21215[[#This Row],[8]],Table21215[[#This Row],[1]:[11]],0))-1)/(COUNTA(Table21215[[#This Row],[1]:[11]])-COUNTBLANK(Table21215[[#This Row],[1]:[11]])-1)))</f>
        <v/>
      </c>
      <c r="AG165" s="30" t="str" cm="1">
        <f t="array" ref="AG165">IF(Table21215[[#This Row],[9]]="","",Table21215[[#This Row],[Weight]:[Weight]]-(Table21215[[#This Row],[Weight]:[Weight]]*((_xlfn.XMATCH(Table21215[[#This Row],[9]],Table21215[[#This Row],[1]:[11]],0))-1)/(COUNTA(Table21215[[#This Row],[1]:[11]])-COUNTBLANK(Table21215[[#This Row],[1]:[11]])-1)))</f>
        <v/>
      </c>
      <c r="AH165" s="30" t="str" cm="1">
        <f t="array" ref="AH165">IF(Table21215[[#This Row],[10]]="","",Table21215[[#This Row],[Weight]:[Weight]]-(Table21215[[#This Row],[Weight]:[Weight]]*((_xlfn.XMATCH(Table21215[[#This Row],[10]],Table21215[[#This Row],[1]:[11]],0))-1)/(COUNTA(Table21215[[#This Row],[1]:[11]])-COUNTBLANK(Table21215[[#This Row],[1]:[11]])-1)))</f>
        <v/>
      </c>
      <c r="AI165" s="30" t="str" cm="1">
        <f t="array" ref="AI165">IF(Table21215[[#This Row],[11]]="","",Table21215[[#This Row],[Weight]:[Weight]]-(Table21215[[#This Row],[Weight]:[Weight]]*((_xlfn.XMATCH(Table21215[[#This Row],[11]],Table21215[[#This Row],[1]:[11]],0))-1)/(COUNTA(Table21215[[#This Row],[1]:[11]])-COUNTBLANK(Table21215[[#This Row],[1]:[11]])-1)))</f>
        <v/>
      </c>
    </row>
    <row r="166" spans="1:35" ht="108" x14ac:dyDescent="0.2">
      <c r="A166" s="20">
        <v>154</v>
      </c>
      <c r="B166" s="165" t="s">
        <v>983</v>
      </c>
      <c r="C166" s="21" t="s">
        <v>826</v>
      </c>
      <c r="D166" s="38"/>
      <c r="E166" s="38"/>
      <c r="F166" s="159" t="s">
        <v>188</v>
      </c>
      <c r="G166" s="160" cm="1">
        <f t="array" ref="G166">_xlfn.IFS(F166="","",F166="No interest",0,F166="Nice to have",1,F166="Useful",2,F166="Important",3,F166="Very important",4,F166="Critical",5,F166="Show stopper",6)</f>
        <v>5</v>
      </c>
      <c r="H166" s="161">
        <f t="shared" si="4"/>
        <v>3.9714058776806989E-3</v>
      </c>
      <c r="I166" s="157" t="s">
        <v>827</v>
      </c>
      <c r="J166" s="35" t="str" cm="1">
        <f t="array" ref="J166">_xlfn.TEXTJOIN(","&amp;CHAR(10),,TEXT(Table21215[[#This Row],[12]:[22]],"0,00%"))</f>
        <v>0,00%,
0,00%,
0,00%,
0,00%</v>
      </c>
      <c r="K166" s="36"/>
      <c r="L166" s="37" t="e">
        <f>H166-(H166*((MATCH(Table21215[[#This Row],[Evaluators Response (SELECT)]],Table21215[[#This Row],[1]:[11]],0)-1)/(COUNTA(Table21215[[#This Row],[1]:[11]])-COUNTBLANK(Table21215[[#This Row],[1]:[11]])-1)))</f>
        <v>#N/A</v>
      </c>
      <c r="M166" s="38"/>
      <c r="N166" s="29" t="s">
        <v>828</v>
      </c>
      <c r="O166" s="29" t="s">
        <v>829</v>
      </c>
      <c r="P166" s="29" t="s">
        <v>830</v>
      </c>
      <c r="Q166" s="29" t="str" cm="1">
        <f t="array" ref="Q166">IFERROR(INDEX(_xlfn.UNIQUE(TRIM(_xlfn.TEXTSPLIT(Table21215[[#This Row],[Selection Options]:[Selection Options]],","))),,Q$11),"")</f>
        <v xml:space="preserve">
 0%: Not currently supported</v>
      </c>
      <c r="R166" s="29" t="str" cm="1">
        <f t="array" ref="R166">IFERROR(INDEX(_xlfn.UNIQUE(TRIM(_xlfn.TEXTSPLIT(Table21215[[#This Row],[Selection Options]:[Selection Options]],","))),,R$11),"")</f>
        <v/>
      </c>
      <c r="S166" s="29" t="str" cm="1">
        <f t="array" ref="S166">IFERROR(INDEX(_xlfn.UNIQUE(TRIM(_xlfn.TEXTSPLIT(Table21215[[#This Row],[Selection Options]:[Selection Options]],","))),,S$11),"")</f>
        <v/>
      </c>
      <c r="T166" s="29" t="str" cm="1">
        <f t="array" ref="T166">IFERROR(INDEX(_xlfn.UNIQUE(TRIM(_xlfn.TEXTSPLIT(Table21215[[#This Row],[Selection Options]:[Selection Options]],","))),,T$11),"")</f>
        <v/>
      </c>
      <c r="U166" s="29" t="str" cm="1">
        <f t="array" ref="U166">IFERROR(INDEX(_xlfn.UNIQUE(TRIM(_xlfn.TEXTSPLIT(Table21215[[#This Row],[Selection Options]:[Selection Options]],","))),,U$11),"")</f>
        <v/>
      </c>
      <c r="V166" s="29" t="str" cm="1">
        <f t="array" ref="V166">IFERROR(INDEX(_xlfn.UNIQUE(TRIM(_xlfn.TEXTSPLIT(Table21215[[#This Row],[Selection Options]:[Selection Options]],","))),,V$11),"")</f>
        <v/>
      </c>
      <c r="W166" s="29" t="str" cm="1">
        <f t="array" ref="W166">IFERROR(INDEX(_xlfn.UNIQUE(TRIM(_xlfn.TEXTSPLIT(Table21215[[#This Row],[Selection Options]:[Selection Options]],","))),,W$11),"")</f>
        <v/>
      </c>
      <c r="X166" s="29" t="str" cm="1">
        <f t="array" ref="X166">IFERROR(INDEX(_xlfn.UNIQUE(TRIM(_xlfn.TEXTSPLIT(Table21215[[#This Row],[Selection Options]:[Selection Options]],","))),,X$11),"")</f>
        <v/>
      </c>
      <c r="Y166" s="30" cm="1">
        <f t="array" ref="Y166">IF(Table21215[[#This Row],[1]]="","",Table21215[[#This Row],[Weight]:[Weight]]-(Table21215[[#This Row],[Weight]:[Weight]]*((_xlfn.XMATCH(Table21215[[#This Row],[1]],Table21215[[#This Row],[1]:[11]],0))-1)/(COUNTA(Table21215[[#This Row],[1]:[11]])-COUNTBLANK(Table21215[[#This Row],[1]:[11]])-1)))</f>
        <v>3.9714058776806989E-3</v>
      </c>
      <c r="Z166" s="30" cm="1">
        <f t="array" ref="Z166">IF(Table21215[[#This Row],[2]]="","",Table21215[[#This Row],[Weight]:[Weight]]-(Table21215[[#This Row],[Weight]:[Weight]]*((_xlfn.XMATCH(Table21215[[#This Row],[2]],Table21215[[#This Row],[1]:[11]],0))-1)/(COUNTA(Table21215[[#This Row],[1]:[11]])-COUNTBLANK(Table21215[[#This Row],[1]:[11]])-1)))</f>
        <v>2.6476039184537992E-3</v>
      </c>
      <c r="AA166" s="30" cm="1">
        <f t="array" ref="AA166">IF(Table21215[[#This Row],[3]]="","",Table21215[[#This Row],[Weight]:[Weight]]-(Table21215[[#This Row],[Weight]:[Weight]]*((_xlfn.XMATCH(Table21215[[#This Row],[3]],Table21215[[#This Row],[1]:[11]],0))-1)/(COUNTA(Table21215[[#This Row],[1]:[11]])-COUNTBLANK(Table21215[[#This Row],[1]:[11]])-1)))</f>
        <v>1.3238019592268996E-3</v>
      </c>
      <c r="AB166" s="30" cm="1">
        <f t="array" ref="AB166">IF(Table21215[[#This Row],[4]]="","",Table21215[[#This Row],[Weight]:[Weight]]-(Table21215[[#This Row],[Weight]:[Weight]]*((_xlfn.XMATCH(Table21215[[#This Row],[4]],Table21215[[#This Row],[1]:[11]],0))-1)/(COUNTA(Table21215[[#This Row],[1]:[11]])-COUNTBLANK(Table21215[[#This Row],[1]:[11]])-1)))</f>
        <v>0</v>
      </c>
      <c r="AC166" s="30" t="str" cm="1">
        <f t="array" ref="AC166">IF(Table21215[[#This Row],[5]]="","",Table21215[[#This Row],[Weight]:[Weight]]-(Table21215[[#This Row],[Weight]:[Weight]]*((_xlfn.XMATCH(Table21215[[#This Row],[5]],Table21215[[#This Row],[1]:[11]],0))-1)/(COUNTA(Table21215[[#This Row],[1]:[11]])-COUNTBLANK(Table21215[[#This Row],[1]:[11]])-1)))</f>
        <v/>
      </c>
      <c r="AD166" s="30" t="str" cm="1">
        <f t="array" ref="AD166">IF(Table21215[[#This Row],[6]]="","",Table21215[[#This Row],[Weight]:[Weight]]-(Table21215[[#This Row],[Weight]:[Weight]]*((_xlfn.XMATCH(Table21215[[#This Row],[6]],Table21215[[#This Row],[1]:[11]],0))-1)/(COUNTA(Table21215[[#This Row],[1]:[11]])-COUNTBLANK(Table21215[[#This Row],[1]:[11]])-1)))</f>
        <v/>
      </c>
      <c r="AE166" s="30" t="str" cm="1">
        <f t="array" ref="AE166">IF(Table21215[[#This Row],[7]]="","",Table21215[[#This Row],[Weight]:[Weight]]-(Table21215[[#This Row],[Weight]:[Weight]]*((_xlfn.XMATCH(Table21215[[#This Row],[7]],Table21215[[#This Row],[1]:[11]],0))-1)/(COUNTA(Table21215[[#This Row],[1]:[11]])-COUNTBLANK(Table21215[[#This Row],[1]:[11]])-1)))</f>
        <v/>
      </c>
      <c r="AF166" s="30" t="str" cm="1">
        <f t="array" ref="AF166">IF(Table21215[[#This Row],[8]]="","",Table21215[[#This Row],[Weight]:[Weight]]-(Table21215[[#This Row],[Weight]:[Weight]]*((_xlfn.XMATCH(Table21215[[#This Row],[8]],Table21215[[#This Row],[1]:[11]],0))-1)/(COUNTA(Table21215[[#This Row],[1]:[11]])-COUNTBLANK(Table21215[[#This Row],[1]:[11]])-1)))</f>
        <v/>
      </c>
      <c r="AG166" s="30" t="str" cm="1">
        <f t="array" ref="AG166">IF(Table21215[[#This Row],[9]]="","",Table21215[[#This Row],[Weight]:[Weight]]-(Table21215[[#This Row],[Weight]:[Weight]]*((_xlfn.XMATCH(Table21215[[#This Row],[9]],Table21215[[#This Row],[1]:[11]],0))-1)/(COUNTA(Table21215[[#This Row],[1]:[11]])-COUNTBLANK(Table21215[[#This Row],[1]:[11]])-1)))</f>
        <v/>
      </c>
      <c r="AH166" s="30" t="str" cm="1">
        <f t="array" ref="AH166">IF(Table21215[[#This Row],[10]]="","",Table21215[[#This Row],[Weight]:[Weight]]-(Table21215[[#This Row],[Weight]:[Weight]]*((_xlfn.XMATCH(Table21215[[#This Row],[10]],Table21215[[#This Row],[1]:[11]],0))-1)/(COUNTA(Table21215[[#This Row],[1]:[11]])-COUNTBLANK(Table21215[[#This Row],[1]:[11]])-1)))</f>
        <v/>
      </c>
      <c r="AI166" s="30" t="str" cm="1">
        <f t="array" ref="AI166">IF(Table21215[[#This Row],[11]]="","",Table21215[[#This Row],[Weight]:[Weight]]-(Table21215[[#This Row],[Weight]:[Weight]]*((_xlfn.XMATCH(Table21215[[#This Row],[11]],Table21215[[#This Row],[1]:[11]],0))-1)/(COUNTA(Table21215[[#This Row],[1]:[11]])-COUNTBLANK(Table21215[[#This Row],[1]:[11]])-1)))</f>
        <v/>
      </c>
    </row>
    <row r="167" spans="1:35" ht="108" x14ac:dyDescent="0.2">
      <c r="A167" s="20">
        <v>155</v>
      </c>
      <c r="B167" s="165" t="s">
        <v>984</v>
      </c>
      <c r="C167" s="21" t="s">
        <v>826</v>
      </c>
      <c r="D167" s="38"/>
      <c r="E167" s="38"/>
      <c r="F167" s="159" t="s">
        <v>188</v>
      </c>
      <c r="G167" s="160" cm="1">
        <f t="array" ref="G167">_xlfn.IFS(F167="","",F167="No interest",0,F167="Nice to have",1,F167="Useful",2,F167="Important",3,F167="Very important",4,F167="Critical",5,F167="Show stopper",6)</f>
        <v>5</v>
      </c>
      <c r="H167" s="161">
        <f t="shared" si="4"/>
        <v>3.9714058776806989E-3</v>
      </c>
      <c r="I167" s="157" t="s">
        <v>827</v>
      </c>
      <c r="J167" s="35" t="str" cm="1">
        <f t="array" ref="J167">_xlfn.TEXTJOIN(","&amp;CHAR(10),,TEXT(Table21215[[#This Row],[12]:[22]],"0,00%"))</f>
        <v>0,00%,
0,00%,
0,00%,
0,00%</v>
      </c>
      <c r="K167" s="36"/>
      <c r="L167" s="37" t="e">
        <f>H167-(H167*((MATCH(Table21215[[#This Row],[Evaluators Response (SELECT)]],Table21215[[#This Row],[1]:[11]],0)-1)/(COUNTA(Table21215[[#This Row],[1]:[11]])-COUNTBLANK(Table21215[[#This Row],[1]:[11]])-1)))</f>
        <v>#N/A</v>
      </c>
      <c r="M167" s="38"/>
      <c r="N167" s="29" t="s">
        <v>828</v>
      </c>
      <c r="O167" s="29" t="s">
        <v>829</v>
      </c>
      <c r="P167" s="29" t="s">
        <v>830</v>
      </c>
      <c r="Q167" s="29" t="str" cm="1">
        <f t="array" ref="Q167">IFERROR(INDEX(_xlfn.UNIQUE(TRIM(_xlfn.TEXTSPLIT(Table21215[[#This Row],[Selection Options]:[Selection Options]],","))),,Q$11),"")</f>
        <v xml:space="preserve">
 0%: Not currently supported</v>
      </c>
      <c r="R167" s="29" t="str" cm="1">
        <f t="array" ref="R167">IFERROR(INDEX(_xlfn.UNIQUE(TRIM(_xlfn.TEXTSPLIT(Table21215[[#This Row],[Selection Options]:[Selection Options]],","))),,R$11),"")</f>
        <v/>
      </c>
      <c r="S167" s="29" t="str" cm="1">
        <f t="array" ref="S167">IFERROR(INDEX(_xlfn.UNIQUE(TRIM(_xlfn.TEXTSPLIT(Table21215[[#This Row],[Selection Options]:[Selection Options]],","))),,S$11),"")</f>
        <v/>
      </c>
      <c r="T167" s="29" t="str" cm="1">
        <f t="array" ref="T167">IFERROR(INDEX(_xlfn.UNIQUE(TRIM(_xlfn.TEXTSPLIT(Table21215[[#This Row],[Selection Options]:[Selection Options]],","))),,T$11),"")</f>
        <v/>
      </c>
      <c r="U167" s="29" t="str" cm="1">
        <f t="array" ref="U167">IFERROR(INDEX(_xlfn.UNIQUE(TRIM(_xlfn.TEXTSPLIT(Table21215[[#This Row],[Selection Options]:[Selection Options]],","))),,U$11),"")</f>
        <v/>
      </c>
      <c r="V167" s="29" t="str" cm="1">
        <f t="array" ref="V167">IFERROR(INDEX(_xlfn.UNIQUE(TRIM(_xlfn.TEXTSPLIT(Table21215[[#This Row],[Selection Options]:[Selection Options]],","))),,V$11),"")</f>
        <v/>
      </c>
      <c r="W167" s="29" t="str" cm="1">
        <f t="array" ref="W167">IFERROR(INDEX(_xlfn.UNIQUE(TRIM(_xlfn.TEXTSPLIT(Table21215[[#This Row],[Selection Options]:[Selection Options]],","))),,W$11),"")</f>
        <v/>
      </c>
      <c r="X167" s="29" t="str" cm="1">
        <f t="array" ref="X167">IFERROR(INDEX(_xlfn.UNIQUE(TRIM(_xlfn.TEXTSPLIT(Table21215[[#This Row],[Selection Options]:[Selection Options]],","))),,X$11),"")</f>
        <v/>
      </c>
      <c r="Y167" s="30" cm="1">
        <f t="array" ref="Y167">IF(Table21215[[#This Row],[1]]="","",Table21215[[#This Row],[Weight]:[Weight]]-(Table21215[[#This Row],[Weight]:[Weight]]*((_xlfn.XMATCH(Table21215[[#This Row],[1]],Table21215[[#This Row],[1]:[11]],0))-1)/(COUNTA(Table21215[[#This Row],[1]:[11]])-COUNTBLANK(Table21215[[#This Row],[1]:[11]])-1)))</f>
        <v>3.9714058776806989E-3</v>
      </c>
      <c r="Z167" s="30" cm="1">
        <f t="array" ref="Z167">IF(Table21215[[#This Row],[2]]="","",Table21215[[#This Row],[Weight]:[Weight]]-(Table21215[[#This Row],[Weight]:[Weight]]*((_xlfn.XMATCH(Table21215[[#This Row],[2]],Table21215[[#This Row],[1]:[11]],0))-1)/(COUNTA(Table21215[[#This Row],[1]:[11]])-COUNTBLANK(Table21215[[#This Row],[1]:[11]])-1)))</f>
        <v>2.6476039184537992E-3</v>
      </c>
      <c r="AA167" s="30" cm="1">
        <f t="array" ref="AA167">IF(Table21215[[#This Row],[3]]="","",Table21215[[#This Row],[Weight]:[Weight]]-(Table21215[[#This Row],[Weight]:[Weight]]*((_xlfn.XMATCH(Table21215[[#This Row],[3]],Table21215[[#This Row],[1]:[11]],0))-1)/(COUNTA(Table21215[[#This Row],[1]:[11]])-COUNTBLANK(Table21215[[#This Row],[1]:[11]])-1)))</f>
        <v>1.3238019592268996E-3</v>
      </c>
      <c r="AB167" s="30" cm="1">
        <f t="array" ref="AB167">IF(Table21215[[#This Row],[4]]="","",Table21215[[#This Row],[Weight]:[Weight]]-(Table21215[[#This Row],[Weight]:[Weight]]*((_xlfn.XMATCH(Table21215[[#This Row],[4]],Table21215[[#This Row],[1]:[11]],0))-1)/(COUNTA(Table21215[[#This Row],[1]:[11]])-COUNTBLANK(Table21215[[#This Row],[1]:[11]])-1)))</f>
        <v>0</v>
      </c>
      <c r="AC167" s="30" t="str" cm="1">
        <f t="array" ref="AC167">IF(Table21215[[#This Row],[5]]="","",Table21215[[#This Row],[Weight]:[Weight]]-(Table21215[[#This Row],[Weight]:[Weight]]*((_xlfn.XMATCH(Table21215[[#This Row],[5]],Table21215[[#This Row],[1]:[11]],0))-1)/(COUNTA(Table21215[[#This Row],[1]:[11]])-COUNTBLANK(Table21215[[#This Row],[1]:[11]])-1)))</f>
        <v/>
      </c>
      <c r="AD167" s="30" t="str" cm="1">
        <f t="array" ref="AD167">IF(Table21215[[#This Row],[6]]="","",Table21215[[#This Row],[Weight]:[Weight]]-(Table21215[[#This Row],[Weight]:[Weight]]*((_xlfn.XMATCH(Table21215[[#This Row],[6]],Table21215[[#This Row],[1]:[11]],0))-1)/(COUNTA(Table21215[[#This Row],[1]:[11]])-COUNTBLANK(Table21215[[#This Row],[1]:[11]])-1)))</f>
        <v/>
      </c>
      <c r="AE167" s="30" t="str" cm="1">
        <f t="array" ref="AE167">IF(Table21215[[#This Row],[7]]="","",Table21215[[#This Row],[Weight]:[Weight]]-(Table21215[[#This Row],[Weight]:[Weight]]*((_xlfn.XMATCH(Table21215[[#This Row],[7]],Table21215[[#This Row],[1]:[11]],0))-1)/(COUNTA(Table21215[[#This Row],[1]:[11]])-COUNTBLANK(Table21215[[#This Row],[1]:[11]])-1)))</f>
        <v/>
      </c>
      <c r="AF167" s="30" t="str" cm="1">
        <f t="array" ref="AF167">IF(Table21215[[#This Row],[8]]="","",Table21215[[#This Row],[Weight]:[Weight]]-(Table21215[[#This Row],[Weight]:[Weight]]*((_xlfn.XMATCH(Table21215[[#This Row],[8]],Table21215[[#This Row],[1]:[11]],0))-1)/(COUNTA(Table21215[[#This Row],[1]:[11]])-COUNTBLANK(Table21215[[#This Row],[1]:[11]])-1)))</f>
        <v/>
      </c>
      <c r="AG167" s="30" t="str" cm="1">
        <f t="array" ref="AG167">IF(Table21215[[#This Row],[9]]="","",Table21215[[#This Row],[Weight]:[Weight]]-(Table21215[[#This Row],[Weight]:[Weight]]*((_xlfn.XMATCH(Table21215[[#This Row],[9]],Table21215[[#This Row],[1]:[11]],0))-1)/(COUNTA(Table21215[[#This Row],[1]:[11]])-COUNTBLANK(Table21215[[#This Row],[1]:[11]])-1)))</f>
        <v/>
      </c>
      <c r="AH167" s="30" t="str" cm="1">
        <f t="array" ref="AH167">IF(Table21215[[#This Row],[10]]="","",Table21215[[#This Row],[Weight]:[Weight]]-(Table21215[[#This Row],[Weight]:[Weight]]*((_xlfn.XMATCH(Table21215[[#This Row],[10]],Table21215[[#This Row],[1]:[11]],0))-1)/(COUNTA(Table21215[[#This Row],[1]:[11]])-COUNTBLANK(Table21215[[#This Row],[1]:[11]])-1)))</f>
        <v/>
      </c>
      <c r="AI167" s="30" t="str" cm="1">
        <f t="array" ref="AI167">IF(Table21215[[#This Row],[11]]="","",Table21215[[#This Row],[Weight]:[Weight]]-(Table21215[[#This Row],[Weight]:[Weight]]*((_xlfn.XMATCH(Table21215[[#This Row],[11]],Table21215[[#This Row],[1]:[11]],0))-1)/(COUNTA(Table21215[[#This Row],[1]:[11]])-COUNTBLANK(Table21215[[#This Row],[1]:[11]])-1)))</f>
        <v/>
      </c>
    </row>
    <row r="168" spans="1:35" ht="108" x14ac:dyDescent="0.2">
      <c r="A168" s="20">
        <v>156</v>
      </c>
      <c r="B168" s="165" t="s">
        <v>985</v>
      </c>
      <c r="C168" s="21" t="s">
        <v>826</v>
      </c>
      <c r="D168" s="38"/>
      <c r="E168" s="38"/>
      <c r="F168" s="159" t="s">
        <v>60</v>
      </c>
      <c r="G168" s="160" cm="1">
        <f t="array" ref="G168">_xlfn.IFS(F168="","",F168="No interest",0,F168="Nice to have",1,F168="Useful",2,F168="Important",3,F168="Very important",4,F168="Critical",5,F168="Show stopper",6)</f>
        <v>6</v>
      </c>
      <c r="H168" s="161">
        <f t="shared" si="4"/>
        <v>4.7656870532168391E-3</v>
      </c>
      <c r="I168" s="157" t="s">
        <v>827</v>
      </c>
      <c r="J168" s="35" t="str" cm="1">
        <f t="array" ref="J168">_xlfn.TEXTJOIN(","&amp;CHAR(10),,TEXT(Table21215[[#This Row],[12]:[22]],"0,00%"))</f>
        <v>0,00%,
0,00%,
0,00%,
0,00%</v>
      </c>
      <c r="K168" s="36"/>
      <c r="L168" s="37" t="e">
        <f>H168-(H168*((MATCH(Table21215[[#This Row],[Evaluators Response (SELECT)]],Table21215[[#This Row],[1]:[11]],0)-1)/(COUNTA(Table21215[[#This Row],[1]:[11]])-COUNTBLANK(Table21215[[#This Row],[1]:[11]])-1)))</f>
        <v>#N/A</v>
      </c>
      <c r="M168" s="38"/>
      <c r="N168" s="29" t="s">
        <v>828</v>
      </c>
      <c r="O168" s="29" t="s">
        <v>829</v>
      </c>
      <c r="P168" s="29" t="s">
        <v>830</v>
      </c>
      <c r="Q168" s="29" t="str" cm="1">
        <f t="array" ref="Q168">IFERROR(INDEX(_xlfn.UNIQUE(TRIM(_xlfn.TEXTSPLIT(Table21215[[#This Row],[Selection Options]:[Selection Options]],","))),,Q$11),"")</f>
        <v xml:space="preserve">
 0%: Not currently supported</v>
      </c>
      <c r="R168" s="29" t="str" cm="1">
        <f t="array" ref="R168">IFERROR(INDEX(_xlfn.UNIQUE(TRIM(_xlfn.TEXTSPLIT(Table21215[[#This Row],[Selection Options]:[Selection Options]],","))),,R$11),"")</f>
        <v/>
      </c>
      <c r="S168" s="29" t="str" cm="1">
        <f t="array" ref="S168">IFERROR(INDEX(_xlfn.UNIQUE(TRIM(_xlfn.TEXTSPLIT(Table21215[[#This Row],[Selection Options]:[Selection Options]],","))),,S$11),"")</f>
        <v/>
      </c>
      <c r="T168" s="29" t="str" cm="1">
        <f t="array" ref="T168">IFERROR(INDEX(_xlfn.UNIQUE(TRIM(_xlfn.TEXTSPLIT(Table21215[[#This Row],[Selection Options]:[Selection Options]],","))),,T$11),"")</f>
        <v/>
      </c>
      <c r="U168" s="29" t="str" cm="1">
        <f t="array" ref="U168">IFERROR(INDEX(_xlfn.UNIQUE(TRIM(_xlfn.TEXTSPLIT(Table21215[[#This Row],[Selection Options]:[Selection Options]],","))),,U$11),"")</f>
        <v/>
      </c>
      <c r="V168" s="29" t="str" cm="1">
        <f t="array" ref="V168">IFERROR(INDEX(_xlfn.UNIQUE(TRIM(_xlfn.TEXTSPLIT(Table21215[[#This Row],[Selection Options]:[Selection Options]],","))),,V$11),"")</f>
        <v/>
      </c>
      <c r="W168" s="29" t="str" cm="1">
        <f t="array" ref="W168">IFERROR(INDEX(_xlfn.UNIQUE(TRIM(_xlfn.TEXTSPLIT(Table21215[[#This Row],[Selection Options]:[Selection Options]],","))),,W$11),"")</f>
        <v/>
      </c>
      <c r="X168" s="29" t="str" cm="1">
        <f t="array" ref="X168">IFERROR(INDEX(_xlfn.UNIQUE(TRIM(_xlfn.TEXTSPLIT(Table21215[[#This Row],[Selection Options]:[Selection Options]],","))),,X$11),"")</f>
        <v/>
      </c>
      <c r="Y168" s="30" cm="1">
        <f t="array" ref="Y168">IF(Table21215[[#This Row],[1]]="","",Table21215[[#This Row],[Weight]:[Weight]]-(Table21215[[#This Row],[Weight]:[Weight]]*((_xlfn.XMATCH(Table21215[[#This Row],[1]],Table21215[[#This Row],[1]:[11]],0))-1)/(COUNTA(Table21215[[#This Row],[1]:[11]])-COUNTBLANK(Table21215[[#This Row],[1]:[11]])-1)))</f>
        <v>4.7656870532168391E-3</v>
      </c>
      <c r="Z168" s="30" cm="1">
        <f t="array" ref="Z168">IF(Table21215[[#This Row],[2]]="","",Table21215[[#This Row],[Weight]:[Weight]]-(Table21215[[#This Row],[Weight]:[Weight]]*((_xlfn.XMATCH(Table21215[[#This Row],[2]],Table21215[[#This Row],[1]:[11]],0))-1)/(COUNTA(Table21215[[#This Row],[1]:[11]])-COUNTBLANK(Table21215[[#This Row],[1]:[11]])-1)))</f>
        <v>3.1771247021445594E-3</v>
      </c>
      <c r="AA168" s="30" cm="1">
        <f t="array" ref="AA168">IF(Table21215[[#This Row],[3]]="","",Table21215[[#This Row],[Weight]:[Weight]]-(Table21215[[#This Row],[Weight]:[Weight]]*((_xlfn.XMATCH(Table21215[[#This Row],[3]],Table21215[[#This Row],[1]:[11]],0))-1)/(COUNTA(Table21215[[#This Row],[1]:[11]])-COUNTBLANK(Table21215[[#This Row],[1]:[11]])-1)))</f>
        <v>1.5885623510722797E-3</v>
      </c>
      <c r="AB168" s="30" cm="1">
        <f t="array" ref="AB168">IF(Table21215[[#This Row],[4]]="","",Table21215[[#This Row],[Weight]:[Weight]]-(Table21215[[#This Row],[Weight]:[Weight]]*((_xlfn.XMATCH(Table21215[[#This Row],[4]],Table21215[[#This Row],[1]:[11]],0))-1)/(COUNTA(Table21215[[#This Row],[1]:[11]])-COUNTBLANK(Table21215[[#This Row],[1]:[11]])-1)))</f>
        <v>0</v>
      </c>
      <c r="AC168" s="30" t="str" cm="1">
        <f t="array" ref="AC168">IF(Table21215[[#This Row],[5]]="","",Table21215[[#This Row],[Weight]:[Weight]]-(Table21215[[#This Row],[Weight]:[Weight]]*((_xlfn.XMATCH(Table21215[[#This Row],[5]],Table21215[[#This Row],[1]:[11]],0))-1)/(COUNTA(Table21215[[#This Row],[1]:[11]])-COUNTBLANK(Table21215[[#This Row],[1]:[11]])-1)))</f>
        <v/>
      </c>
      <c r="AD168" s="30" t="str" cm="1">
        <f t="array" ref="AD168">IF(Table21215[[#This Row],[6]]="","",Table21215[[#This Row],[Weight]:[Weight]]-(Table21215[[#This Row],[Weight]:[Weight]]*((_xlfn.XMATCH(Table21215[[#This Row],[6]],Table21215[[#This Row],[1]:[11]],0))-1)/(COUNTA(Table21215[[#This Row],[1]:[11]])-COUNTBLANK(Table21215[[#This Row],[1]:[11]])-1)))</f>
        <v/>
      </c>
      <c r="AE168" s="30" t="str" cm="1">
        <f t="array" ref="AE168">IF(Table21215[[#This Row],[7]]="","",Table21215[[#This Row],[Weight]:[Weight]]-(Table21215[[#This Row],[Weight]:[Weight]]*((_xlfn.XMATCH(Table21215[[#This Row],[7]],Table21215[[#This Row],[1]:[11]],0))-1)/(COUNTA(Table21215[[#This Row],[1]:[11]])-COUNTBLANK(Table21215[[#This Row],[1]:[11]])-1)))</f>
        <v/>
      </c>
      <c r="AF168" s="30" t="str" cm="1">
        <f t="array" ref="AF168">IF(Table21215[[#This Row],[8]]="","",Table21215[[#This Row],[Weight]:[Weight]]-(Table21215[[#This Row],[Weight]:[Weight]]*((_xlfn.XMATCH(Table21215[[#This Row],[8]],Table21215[[#This Row],[1]:[11]],0))-1)/(COUNTA(Table21215[[#This Row],[1]:[11]])-COUNTBLANK(Table21215[[#This Row],[1]:[11]])-1)))</f>
        <v/>
      </c>
      <c r="AG168" s="30" t="str" cm="1">
        <f t="array" ref="AG168">IF(Table21215[[#This Row],[9]]="","",Table21215[[#This Row],[Weight]:[Weight]]-(Table21215[[#This Row],[Weight]:[Weight]]*((_xlfn.XMATCH(Table21215[[#This Row],[9]],Table21215[[#This Row],[1]:[11]],0))-1)/(COUNTA(Table21215[[#This Row],[1]:[11]])-COUNTBLANK(Table21215[[#This Row],[1]:[11]])-1)))</f>
        <v/>
      </c>
      <c r="AH168" s="30" t="str" cm="1">
        <f t="array" ref="AH168">IF(Table21215[[#This Row],[10]]="","",Table21215[[#This Row],[Weight]:[Weight]]-(Table21215[[#This Row],[Weight]:[Weight]]*((_xlfn.XMATCH(Table21215[[#This Row],[10]],Table21215[[#This Row],[1]:[11]],0))-1)/(COUNTA(Table21215[[#This Row],[1]:[11]])-COUNTBLANK(Table21215[[#This Row],[1]:[11]])-1)))</f>
        <v/>
      </c>
      <c r="AI168" s="30" t="str" cm="1">
        <f t="array" ref="AI168">IF(Table21215[[#This Row],[11]]="","",Table21215[[#This Row],[Weight]:[Weight]]-(Table21215[[#This Row],[Weight]:[Weight]]*((_xlfn.XMATCH(Table21215[[#This Row],[11]],Table21215[[#This Row],[1]:[11]],0))-1)/(COUNTA(Table21215[[#This Row],[1]:[11]])-COUNTBLANK(Table21215[[#This Row],[1]:[11]])-1)))</f>
        <v/>
      </c>
    </row>
    <row r="169" spans="1:35" ht="108" x14ac:dyDescent="0.2">
      <c r="A169" s="20">
        <v>157</v>
      </c>
      <c r="B169" s="165" t="s">
        <v>986</v>
      </c>
      <c r="C169" s="21" t="s">
        <v>826</v>
      </c>
      <c r="D169" s="38"/>
      <c r="E169" s="38"/>
      <c r="F169" s="159" t="s">
        <v>60</v>
      </c>
      <c r="G169" s="160" cm="1">
        <f t="array" ref="G169">_xlfn.IFS(F169="","",F169="No interest",0,F169="Nice to have",1,F169="Useful",2,F169="Important",3,F169="Very important",4,F169="Critical",5,F169="Show stopper",6)</f>
        <v>6</v>
      </c>
      <c r="H169" s="161">
        <f t="shared" si="4"/>
        <v>4.7656870532168391E-3</v>
      </c>
      <c r="I169" s="157" t="s">
        <v>827</v>
      </c>
      <c r="J169" s="35" t="str" cm="1">
        <f t="array" ref="J169">_xlfn.TEXTJOIN(","&amp;CHAR(10),,TEXT(Table21215[[#This Row],[12]:[22]],"0,00%"))</f>
        <v>0,00%,
0,00%,
0,00%,
0,00%</v>
      </c>
      <c r="K169" s="36"/>
      <c r="L169" s="37" t="e">
        <f>H169-(H169*((MATCH(Table21215[[#This Row],[Evaluators Response (SELECT)]],Table21215[[#This Row],[1]:[11]],0)-1)/(COUNTA(Table21215[[#This Row],[1]:[11]])-COUNTBLANK(Table21215[[#This Row],[1]:[11]])-1)))</f>
        <v>#N/A</v>
      </c>
      <c r="M169" s="38"/>
      <c r="N169" s="29" t="s">
        <v>828</v>
      </c>
      <c r="O169" s="29" t="s">
        <v>829</v>
      </c>
      <c r="P169" s="29" t="s">
        <v>830</v>
      </c>
      <c r="Q169" s="29" t="str" cm="1">
        <f t="array" ref="Q169">IFERROR(INDEX(_xlfn.UNIQUE(TRIM(_xlfn.TEXTSPLIT(Table21215[[#This Row],[Selection Options]:[Selection Options]],","))),,Q$11),"")</f>
        <v xml:space="preserve">
 0%: Not currently supported</v>
      </c>
      <c r="R169" s="29" t="str" cm="1">
        <f t="array" ref="R169">IFERROR(INDEX(_xlfn.UNIQUE(TRIM(_xlfn.TEXTSPLIT(Table21215[[#This Row],[Selection Options]:[Selection Options]],","))),,R$11),"")</f>
        <v/>
      </c>
      <c r="S169" s="29" t="str" cm="1">
        <f t="array" ref="S169">IFERROR(INDEX(_xlfn.UNIQUE(TRIM(_xlfn.TEXTSPLIT(Table21215[[#This Row],[Selection Options]:[Selection Options]],","))),,S$11),"")</f>
        <v/>
      </c>
      <c r="T169" s="29" t="str" cm="1">
        <f t="array" ref="T169">IFERROR(INDEX(_xlfn.UNIQUE(TRIM(_xlfn.TEXTSPLIT(Table21215[[#This Row],[Selection Options]:[Selection Options]],","))),,T$11),"")</f>
        <v/>
      </c>
      <c r="U169" s="29" t="str" cm="1">
        <f t="array" ref="U169">IFERROR(INDEX(_xlfn.UNIQUE(TRIM(_xlfn.TEXTSPLIT(Table21215[[#This Row],[Selection Options]:[Selection Options]],","))),,U$11),"")</f>
        <v/>
      </c>
      <c r="V169" s="29" t="str" cm="1">
        <f t="array" ref="V169">IFERROR(INDEX(_xlfn.UNIQUE(TRIM(_xlfn.TEXTSPLIT(Table21215[[#This Row],[Selection Options]:[Selection Options]],","))),,V$11),"")</f>
        <v/>
      </c>
      <c r="W169" s="29" t="str" cm="1">
        <f t="array" ref="W169">IFERROR(INDEX(_xlfn.UNIQUE(TRIM(_xlfn.TEXTSPLIT(Table21215[[#This Row],[Selection Options]:[Selection Options]],","))),,W$11),"")</f>
        <v/>
      </c>
      <c r="X169" s="29" t="str" cm="1">
        <f t="array" ref="X169">IFERROR(INDEX(_xlfn.UNIQUE(TRIM(_xlfn.TEXTSPLIT(Table21215[[#This Row],[Selection Options]:[Selection Options]],","))),,X$11),"")</f>
        <v/>
      </c>
      <c r="Y169" s="30" cm="1">
        <f t="array" ref="Y169">IF(Table21215[[#This Row],[1]]="","",Table21215[[#This Row],[Weight]:[Weight]]-(Table21215[[#This Row],[Weight]:[Weight]]*((_xlfn.XMATCH(Table21215[[#This Row],[1]],Table21215[[#This Row],[1]:[11]],0))-1)/(COUNTA(Table21215[[#This Row],[1]:[11]])-COUNTBLANK(Table21215[[#This Row],[1]:[11]])-1)))</f>
        <v>4.7656870532168391E-3</v>
      </c>
      <c r="Z169" s="30" cm="1">
        <f t="array" ref="Z169">IF(Table21215[[#This Row],[2]]="","",Table21215[[#This Row],[Weight]:[Weight]]-(Table21215[[#This Row],[Weight]:[Weight]]*((_xlfn.XMATCH(Table21215[[#This Row],[2]],Table21215[[#This Row],[1]:[11]],0))-1)/(COUNTA(Table21215[[#This Row],[1]:[11]])-COUNTBLANK(Table21215[[#This Row],[1]:[11]])-1)))</f>
        <v>3.1771247021445594E-3</v>
      </c>
      <c r="AA169" s="30" cm="1">
        <f t="array" ref="AA169">IF(Table21215[[#This Row],[3]]="","",Table21215[[#This Row],[Weight]:[Weight]]-(Table21215[[#This Row],[Weight]:[Weight]]*((_xlfn.XMATCH(Table21215[[#This Row],[3]],Table21215[[#This Row],[1]:[11]],0))-1)/(COUNTA(Table21215[[#This Row],[1]:[11]])-COUNTBLANK(Table21215[[#This Row],[1]:[11]])-1)))</f>
        <v>1.5885623510722797E-3</v>
      </c>
      <c r="AB169" s="30" cm="1">
        <f t="array" ref="AB169">IF(Table21215[[#This Row],[4]]="","",Table21215[[#This Row],[Weight]:[Weight]]-(Table21215[[#This Row],[Weight]:[Weight]]*((_xlfn.XMATCH(Table21215[[#This Row],[4]],Table21215[[#This Row],[1]:[11]],0))-1)/(COUNTA(Table21215[[#This Row],[1]:[11]])-COUNTBLANK(Table21215[[#This Row],[1]:[11]])-1)))</f>
        <v>0</v>
      </c>
      <c r="AC169" s="30" t="str" cm="1">
        <f t="array" ref="AC169">IF(Table21215[[#This Row],[5]]="","",Table21215[[#This Row],[Weight]:[Weight]]-(Table21215[[#This Row],[Weight]:[Weight]]*((_xlfn.XMATCH(Table21215[[#This Row],[5]],Table21215[[#This Row],[1]:[11]],0))-1)/(COUNTA(Table21215[[#This Row],[1]:[11]])-COUNTBLANK(Table21215[[#This Row],[1]:[11]])-1)))</f>
        <v/>
      </c>
      <c r="AD169" s="30" t="str" cm="1">
        <f t="array" ref="AD169">IF(Table21215[[#This Row],[6]]="","",Table21215[[#This Row],[Weight]:[Weight]]-(Table21215[[#This Row],[Weight]:[Weight]]*((_xlfn.XMATCH(Table21215[[#This Row],[6]],Table21215[[#This Row],[1]:[11]],0))-1)/(COUNTA(Table21215[[#This Row],[1]:[11]])-COUNTBLANK(Table21215[[#This Row],[1]:[11]])-1)))</f>
        <v/>
      </c>
      <c r="AE169" s="30" t="str" cm="1">
        <f t="array" ref="AE169">IF(Table21215[[#This Row],[7]]="","",Table21215[[#This Row],[Weight]:[Weight]]-(Table21215[[#This Row],[Weight]:[Weight]]*((_xlfn.XMATCH(Table21215[[#This Row],[7]],Table21215[[#This Row],[1]:[11]],0))-1)/(COUNTA(Table21215[[#This Row],[1]:[11]])-COUNTBLANK(Table21215[[#This Row],[1]:[11]])-1)))</f>
        <v/>
      </c>
      <c r="AF169" s="30" t="str" cm="1">
        <f t="array" ref="AF169">IF(Table21215[[#This Row],[8]]="","",Table21215[[#This Row],[Weight]:[Weight]]-(Table21215[[#This Row],[Weight]:[Weight]]*((_xlfn.XMATCH(Table21215[[#This Row],[8]],Table21215[[#This Row],[1]:[11]],0))-1)/(COUNTA(Table21215[[#This Row],[1]:[11]])-COUNTBLANK(Table21215[[#This Row],[1]:[11]])-1)))</f>
        <v/>
      </c>
      <c r="AG169" s="30" t="str" cm="1">
        <f t="array" ref="AG169">IF(Table21215[[#This Row],[9]]="","",Table21215[[#This Row],[Weight]:[Weight]]-(Table21215[[#This Row],[Weight]:[Weight]]*((_xlfn.XMATCH(Table21215[[#This Row],[9]],Table21215[[#This Row],[1]:[11]],0))-1)/(COUNTA(Table21215[[#This Row],[1]:[11]])-COUNTBLANK(Table21215[[#This Row],[1]:[11]])-1)))</f>
        <v/>
      </c>
      <c r="AH169" s="30" t="str" cm="1">
        <f t="array" ref="AH169">IF(Table21215[[#This Row],[10]]="","",Table21215[[#This Row],[Weight]:[Weight]]-(Table21215[[#This Row],[Weight]:[Weight]]*((_xlfn.XMATCH(Table21215[[#This Row],[10]],Table21215[[#This Row],[1]:[11]],0))-1)/(COUNTA(Table21215[[#This Row],[1]:[11]])-COUNTBLANK(Table21215[[#This Row],[1]:[11]])-1)))</f>
        <v/>
      </c>
      <c r="AI169" s="30" t="str" cm="1">
        <f t="array" ref="AI169">IF(Table21215[[#This Row],[11]]="","",Table21215[[#This Row],[Weight]:[Weight]]-(Table21215[[#This Row],[Weight]:[Weight]]*((_xlfn.XMATCH(Table21215[[#This Row],[11]],Table21215[[#This Row],[1]:[11]],0))-1)/(COUNTA(Table21215[[#This Row],[1]:[11]])-COUNTBLANK(Table21215[[#This Row],[1]:[11]])-1)))</f>
        <v/>
      </c>
    </row>
    <row r="170" spans="1:35" ht="108" x14ac:dyDescent="0.2">
      <c r="A170" s="20">
        <v>158</v>
      </c>
      <c r="B170" s="165" t="s">
        <v>987</v>
      </c>
      <c r="C170" s="21" t="s">
        <v>826</v>
      </c>
      <c r="D170" s="38"/>
      <c r="E170" s="38"/>
      <c r="F170" s="159" t="s">
        <v>60</v>
      </c>
      <c r="G170" s="160" cm="1">
        <f t="array" ref="G170">_xlfn.IFS(F170="","",F170="No interest",0,F170="Nice to have",1,F170="Useful",2,F170="Important",3,F170="Very important",4,F170="Critical",5,F170="Show stopper",6)</f>
        <v>6</v>
      </c>
      <c r="H170" s="161">
        <f t="shared" si="4"/>
        <v>4.7656870532168391E-3</v>
      </c>
      <c r="I170" s="157" t="s">
        <v>827</v>
      </c>
      <c r="J170" s="35" t="str" cm="1">
        <f t="array" ref="J170">_xlfn.TEXTJOIN(","&amp;CHAR(10),,TEXT(Table21215[[#This Row],[12]:[22]],"0,00%"))</f>
        <v>0,00%,
0,00%,
0,00%,
0,00%</v>
      </c>
      <c r="K170" s="36"/>
      <c r="L170" s="37" t="e">
        <f>H170-(H170*((MATCH(Table21215[[#This Row],[Evaluators Response (SELECT)]],Table21215[[#This Row],[1]:[11]],0)-1)/(COUNTA(Table21215[[#This Row],[1]:[11]])-COUNTBLANK(Table21215[[#This Row],[1]:[11]])-1)))</f>
        <v>#N/A</v>
      </c>
      <c r="M170" s="38"/>
      <c r="N170" s="29" t="s">
        <v>828</v>
      </c>
      <c r="O170" s="29" t="s">
        <v>829</v>
      </c>
      <c r="P170" s="29" t="s">
        <v>830</v>
      </c>
      <c r="Q170" s="29" t="str" cm="1">
        <f t="array" ref="Q170">IFERROR(INDEX(_xlfn.UNIQUE(TRIM(_xlfn.TEXTSPLIT(Table21215[[#This Row],[Selection Options]:[Selection Options]],","))),,Q$11),"")</f>
        <v xml:space="preserve">
 0%: Not currently supported</v>
      </c>
      <c r="R170" s="29" t="str" cm="1">
        <f t="array" ref="R170">IFERROR(INDEX(_xlfn.UNIQUE(TRIM(_xlfn.TEXTSPLIT(Table21215[[#This Row],[Selection Options]:[Selection Options]],","))),,R$11),"")</f>
        <v/>
      </c>
      <c r="S170" s="29" t="str" cm="1">
        <f t="array" ref="S170">IFERROR(INDEX(_xlfn.UNIQUE(TRIM(_xlfn.TEXTSPLIT(Table21215[[#This Row],[Selection Options]:[Selection Options]],","))),,S$11),"")</f>
        <v/>
      </c>
      <c r="T170" s="29" t="str" cm="1">
        <f t="array" ref="T170">IFERROR(INDEX(_xlfn.UNIQUE(TRIM(_xlfn.TEXTSPLIT(Table21215[[#This Row],[Selection Options]:[Selection Options]],","))),,T$11),"")</f>
        <v/>
      </c>
      <c r="U170" s="29" t="str" cm="1">
        <f t="array" ref="U170">IFERROR(INDEX(_xlfn.UNIQUE(TRIM(_xlfn.TEXTSPLIT(Table21215[[#This Row],[Selection Options]:[Selection Options]],","))),,U$11),"")</f>
        <v/>
      </c>
      <c r="V170" s="29" t="str" cm="1">
        <f t="array" ref="V170">IFERROR(INDEX(_xlfn.UNIQUE(TRIM(_xlfn.TEXTSPLIT(Table21215[[#This Row],[Selection Options]:[Selection Options]],","))),,V$11),"")</f>
        <v/>
      </c>
      <c r="W170" s="29" t="str" cm="1">
        <f t="array" ref="W170">IFERROR(INDEX(_xlfn.UNIQUE(TRIM(_xlfn.TEXTSPLIT(Table21215[[#This Row],[Selection Options]:[Selection Options]],","))),,W$11),"")</f>
        <v/>
      </c>
      <c r="X170" s="29" t="str" cm="1">
        <f t="array" ref="X170">IFERROR(INDEX(_xlfn.UNIQUE(TRIM(_xlfn.TEXTSPLIT(Table21215[[#This Row],[Selection Options]:[Selection Options]],","))),,X$11),"")</f>
        <v/>
      </c>
      <c r="Y170" s="30" cm="1">
        <f t="array" ref="Y170">IF(Table21215[[#This Row],[1]]="","",Table21215[[#This Row],[Weight]:[Weight]]-(Table21215[[#This Row],[Weight]:[Weight]]*((_xlfn.XMATCH(Table21215[[#This Row],[1]],Table21215[[#This Row],[1]:[11]],0))-1)/(COUNTA(Table21215[[#This Row],[1]:[11]])-COUNTBLANK(Table21215[[#This Row],[1]:[11]])-1)))</f>
        <v>4.7656870532168391E-3</v>
      </c>
      <c r="Z170" s="30" cm="1">
        <f t="array" ref="Z170">IF(Table21215[[#This Row],[2]]="","",Table21215[[#This Row],[Weight]:[Weight]]-(Table21215[[#This Row],[Weight]:[Weight]]*((_xlfn.XMATCH(Table21215[[#This Row],[2]],Table21215[[#This Row],[1]:[11]],0))-1)/(COUNTA(Table21215[[#This Row],[1]:[11]])-COUNTBLANK(Table21215[[#This Row],[1]:[11]])-1)))</f>
        <v>3.1771247021445594E-3</v>
      </c>
      <c r="AA170" s="30" cm="1">
        <f t="array" ref="AA170">IF(Table21215[[#This Row],[3]]="","",Table21215[[#This Row],[Weight]:[Weight]]-(Table21215[[#This Row],[Weight]:[Weight]]*((_xlfn.XMATCH(Table21215[[#This Row],[3]],Table21215[[#This Row],[1]:[11]],0))-1)/(COUNTA(Table21215[[#This Row],[1]:[11]])-COUNTBLANK(Table21215[[#This Row],[1]:[11]])-1)))</f>
        <v>1.5885623510722797E-3</v>
      </c>
      <c r="AB170" s="30" cm="1">
        <f t="array" ref="AB170">IF(Table21215[[#This Row],[4]]="","",Table21215[[#This Row],[Weight]:[Weight]]-(Table21215[[#This Row],[Weight]:[Weight]]*((_xlfn.XMATCH(Table21215[[#This Row],[4]],Table21215[[#This Row],[1]:[11]],0))-1)/(COUNTA(Table21215[[#This Row],[1]:[11]])-COUNTBLANK(Table21215[[#This Row],[1]:[11]])-1)))</f>
        <v>0</v>
      </c>
      <c r="AC170" s="30" t="str" cm="1">
        <f t="array" ref="AC170">IF(Table21215[[#This Row],[5]]="","",Table21215[[#This Row],[Weight]:[Weight]]-(Table21215[[#This Row],[Weight]:[Weight]]*((_xlfn.XMATCH(Table21215[[#This Row],[5]],Table21215[[#This Row],[1]:[11]],0))-1)/(COUNTA(Table21215[[#This Row],[1]:[11]])-COUNTBLANK(Table21215[[#This Row],[1]:[11]])-1)))</f>
        <v/>
      </c>
      <c r="AD170" s="30" t="str" cm="1">
        <f t="array" ref="AD170">IF(Table21215[[#This Row],[6]]="","",Table21215[[#This Row],[Weight]:[Weight]]-(Table21215[[#This Row],[Weight]:[Weight]]*((_xlfn.XMATCH(Table21215[[#This Row],[6]],Table21215[[#This Row],[1]:[11]],0))-1)/(COUNTA(Table21215[[#This Row],[1]:[11]])-COUNTBLANK(Table21215[[#This Row],[1]:[11]])-1)))</f>
        <v/>
      </c>
      <c r="AE170" s="30" t="str" cm="1">
        <f t="array" ref="AE170">IF(Table21215[[#This Row],[7]]="","",Table21215[[#This Row],[Weight]:[Weight]]-(Table21215[[#This Row],[Weight]:[Weight]]*((_xlfn.XMATCH(Table21215[[#This Row],[7]],Table21215[[#This Row],[1]:[11]],0))-1)/(COUNTA(Table21215[[#This Row],[1]:[11]])-COUNTBLANK(Table21215[[#This Row],[1]:[11]])-1)))</f>
        <v/>
      </c>
      <c r="AF170" s="30" t="str" cm="1">
        <f t="array" ref="AF170">IF(Table21215[[#This Row],[8]]="","",Table21215[[#This Row],[Weight]:[Weight]]-(Table21215[[#This Row],[Weight]:[Weight]]*((_xlfn.XMATCH(Table21215[[#This Row],[8]],Table21215[[#This Row],[1]:[11]],0))-1)/(COUNTA(Table21215[[#This Row],[1]:[11]])-COUNTBLANK(Table21215[[#This Row],[1]:[11]])-1)))</f>
        <v/>
      </c>
      <c r="AG170" s="30" t="str" cm="1">
        <f t="array" ref="AG170">IF(Table21215[[#This Row],[9]]="","",Table21215[[#This Row],[Weight]:[Weight]]-(Table21215[[#This Row],[Weight]:[Weight]]*((_xlfn.XMATCH(Table21215[[#This Row],[9]],Table21215[[#This Row],[1]:[11]],0))-1)/(COUNTA(Table21215[[#This Row],[1]:[11]])-COUNTBLANK(Table21215[[#This Row],[1]:[11]])-1)))</f>
        <v/>
      </c>
      <c r="AH170" s="30" t="str" cm="1">
        <f t="array" ref="AH170">IF(Table21215[[#This Row],[10]]="","",Table21215[[#This Row],[Weight]:[Weight]]-(Table21215[[#This Row],[Weight]:[Weight]]*((_xlfn.XMATCH(Table21215[[#This Row],[10]],Table21215[[#This Row],[1]:[11]],0))-1)/(COUNTA(Table21215[[#This Row],[1]:[11]])-COUNTBLANK(Table21215[[#This Row],[1]:[11]])-1)))</f>
        <v/>
      </c>
      <c r="AI170" s="30" t="str" cm="1">
        <f t="array" ref="AI170">IF(Table21215[[#This Row],[11]]="","",Table21215[[#This Row],[Weight]:[Weight]]-(Table21215[[#This Row],[Weight]:[Weight]]*((_xlfn.XMATCH(Table21215[[#This Row],[11]],Table21215[[#This Row],[1]:[11]],0))-1)/(COUNTA(Table21215[[#This Row],[1]:[11]])-COUNTBLANK(Table21215[[#This Row],[1]:[11]])-1)))</f>
        <v/>
      </c>
    </row>
    <row r="171" spans="1:35" ht="108" x14ac:dyDescent="0.2">
      <c r="A171" s="20">
        <v>159</v>
      </c>
      <c r="B171" s="165" t="s">
        <v>988</v>
      </c>
      <c r="C171" s="21" t="s">
        <v>826</v>
      </c>
      <c r="D171" s="38"/>
      <c r="E171" s="38"/>
      <c r="F171" s="159" t="s">
        <v>60</v>
      </c>
      <c r="G171" s="160" cm="1">
        <f t="array" ref="G171">_xlfn.IFS(F171="","",F171="No interest",0,F171="Nice to have",1,F171="Useful",2,F171="Important",3,F171="Very important",4,F171="Critical",5,F171="Show stopper",6)</f>
        <v>6</v>
      </c>
      <c r="H171" s="161">
        <f t="shared" si="4"/>
        <v>4.7656870532168391E-3</v>
      </c>
      <c r="I171" s="157" t="s">
        <v>827</v>
      </c>
      <c r="J171" s="35" t="str" cm="1">
        <f t="array" ref="J171">_xlfn.TEXTJOIN(","&amp;CHAR(10),,TEXT(Table21215[[#This Row],[12]:[22]],"0,00%"))</f>
        <v>0,00%,
0,00%,
0,00%,
0,00%</v>
      </c>
      <c r="K171" s="36"/>
      <c r="L171" s="37" t="e">
        <f>H171-(H171*((MATCH(Table21215[[#This Row],[Evaluators Response (SELECT)]],Table21215[[#This Row],[1]:[11]],0)-1)/(COUNTA(Table21215[[#This Row],[1]:[11]])-COUNTBLANK(Table21215[[#This Row],[1]:[11]])-1)))</f>
        <v>#N/A</v>
      </c>
      <c r="M171" s="38"/>
      <c r="N171" s="29" t="s">
        <v>828</v>
      </c>
      <c r="O171" s="29" t="s">
        <v>829</v>
      </c>
      <c r="P171" s="29" t="s">
        <v>830</v>
      </c>
      <c r="Q171" s="29" t="str" cm="1">
        <f t="array" ref="Q171">IFERROR(INDEX(_xlfn.UNIQUE(TRIM(_xlfn.TEXTSPLIT(Table21215[[#This Row],[Selection Options]:[Selection Options]],","))),,Q$11),"")</f>
        <v xml:space="preserve">
 0%: Not currently supported</v>
      </c>
      <c r="R171" s="29" t="str" cm="1">
        <f t="array" ref="R171">IFERROR(INDEX(_xlfn.UNIQUE(TRIM(_xlfn.TEXTSPLIT(Table21215[[#This Row],[Selection Options]:[Selection Options]],","))),,R$11),"")</f>
        <v/>
      </c>
      <c r="S171" s="29" t="str" cm="1">
        <f t="array" ref="S171">IFERROR(INDEX(_xlfn.UNIQUE(TRIM(_xlfn.TEXTSPLIT(Table21215[[#This Row],[Selection Options]:[Selection Options]],","))),,S$11),"")</f>
        <v/>
      </c>
      <c r="T171" s="29" t="str" cm="1">
        <f t="array" ref="T171">IFERROR(INDEX(_xlfn.UNIQUE(TRIM(_xlfn.TEXTSPLIT(Table21215[[#This Row],[Selection Options]:[Selection Options]],","))),,T$11),"")</f>
        <v/>
      </c>
      <c r="U171" s="29" t="str" cm="1">
        <f t="array" ref="U171">IFERROR(INDEX(_xlfn.UNIQUE(TRIM(_xlfn.TEXTSPLIT(Table21215[[#This Row],[Selection Options]:[Selection Options]],","))),,U$11),"")</f>
        <v/>
      </c>
      <c r="V171" s="29" t="str" cm="1">
        <f t="array" ref="V171">IFERROR(INDEX(_xlfn.UNIQUE(TRIM(_xlfn.TEXTSPLIT(Table21215[[#This Row],[Selection Options]:[Selection Options]],","))),,V$11),"")</f>
        <v/>
      </c>
      <c r="W171" s="29" t="str" cm="1">
        <f t="array" ref="W171">IFERROR(INDEX(_xlfn.UNIQUE(TRIM(_xlfn.TEXTSPLIT(Table21215[[#This Row],[Selection Options]:[Selection Options]],","))),,W$11),"")</f>
        <v/>
      </c>
      <c r="X171" s="29" t="str" cm="1">
        <f t="array" ref="X171">IFERROR(INDEX(_xlfn.UNIQUE(TRIM(_xlfn.TEXTSPLIT(Table21215[[#This Row],[Selection Options]:[Selection Options]],","))),,X$11),"")</f>
        <v/>
      </c>
      <c r="Y171" s="30" cm="1">
        <f t="array" ref="Y171">IF(Table21215[[#This Row],[1]]="","",Table21215[[#This Row],[Weight]:[Weight]]-(Table21215[[#This Row],[Weight]:[Weight]]*((_xlfn.XMATCH(Table21215[[#This Row],[1]],Table21215[[#This Row],[1]:[11]],0))-1)/(COUNTA(Table21215[[#This Row],[1]:[11]])-COUNTBLANK(Table21215[[#This Row],[1]:[11]])-1)))</f>
        <v>4.7656870532168391E-3</v>
      </c>
      <c r="Z171" s="30" cm="1">
        <f t="array" ref="Z171">IF(Table21215[[#This Row],[2]]="","",Table21215[[#This Row],[Weight]:[Weight]]-(Table21215[[#This Row],[Weight]:[Weight]]*((_xlfn.XMATCH(Table21215[[#This Row],[2]],Table21215[[#This Row],[1]:[11]],0))-1)/(COUNTA(Table21215[[#This Row],[1]:[11]])-COUNTBLANK(Table21215[[#This Row],[1]:[11]])-1)))</f>
        <v>3.1771247021445594E-3</v>
      </c>
      <c r="AA171" s="30" cm="1">
        <f t="array" ref="AA171">IF(Table21215[[#This Row],[3]]="","",Table21215[[#This Row],[Weight]:[Weight]]-(Table21215[[#This Row],[Weight]:[Weight]]*((_xlfn.XMATCH(Table21215[[#This Row],[3]],Table21215[[#This Row],[1]:[11]],0))-1)/(COUNTA(Table21215[[#This Row],[1]:[11]])-COUNTBLANK(Table21215[[#This Row],[1]:[11]])-1)))</f>
        <v>1.5885623510722797E-3</v>
      </c>
      <c r="AB171" s="30" cm="1">
        <f t="array" ref="AB171">IF(Table21215[[#This Row],[4]]="","",Table21215[[#This Row],[Weight]:[Weight]]-(Table21215[[#This Row],[Weight]:[Weight]]*((_xlfn.XMATCH(Table21215[[#This Row],[4]],Table21215[[#This Row],[1]:[11]],0))-1)/(COUNTA(Table21215[[#This Row],[1]:[11]])-COUNTBLANK(Table21215[[#This Row],[1]:[11]])-1)))</f>
        <v>0</v>
      </c>
      <c r="AC171" s="30" t="str" cm="1">
        <f t="array" ref="AC171">IF(Table21215[[#This Row],[5]]="","",Table21215[[#This Row],[Weight]:[Weight]]-(Table21215[[#This Row],[Weight]:[Weight]]*((_xlfn.XMATCH(Table21215[[#This Row],[5]],Table21215[[#This Row],[1]:[11]],0))-1)/(COUNTA(Table21215[[#This Row],[1]:[11]])-COUNTBLANK(Table21215[[#This Row],[1]:[11]])-1)))</f>
        <v/>
      </c>
      <c r="AD171" s="30" t="str" cm="1">
        <f t="array" ref="AD171">IF(Table21215[[#This Row],[6]]="","",Table21215[[#This Row],[Weight]:[Weight]]-(Table21215[[#This Row],[Weight]:[Weight]]*((_xlfn.XMATCH(Table21215[[#This Row],[6]],Table21215[[#This Row],[1]:[11]],0))-1)/(COUNTA(Table21215[[#This Row],[1]:[11]])-COUNTBLANK(Table21215[[#This Row],[1]:[11]])-1)))</f>
        <v/>
      </c>
      <c r="AE171" s="30" t="str" cm="1">
        <f t="array" ref="AE171">IF(Table21215[[#This Row],[7]]="","",Table21215[[#This Row],[Weight]:[Weight]]-(Table21215[[#This Row],[Weight]:[Weight]]*((_xlfn.XMATCH(Table21215[[#This Row],[7]],Table21215[[#This Row],[1]:[11]],0))-1)/(COUNTA(Table21215[[#This Row],[1]:[11]])-COUNTBLANK(Table21215[[#This Row],[1]:[11]])-1)))</f>
        <v/>
      </c>
      <c r="AF171" s="30" t="str" cm="1">
        <f t="array" ref="AF171">IF(Table21215[[#This Row],[8]]="","",Table21215[[#This Row],[Weight]:[Weight]]-(Table21215[[#This Row],[Weight]:[Weight]]*((_xlfn.XMATCH(Table21215[[#This Row],[8]],Table21215[[#This Row],[1]:[11]],0))-1)/(COUNTA(Table21215[[#This Row],[1]:[11]])-COUNTBLANK(Table21215[[#This Row],[1]:[11]])-1)))</f>
        <v/>
      </c>
      <c r="AG171" s="30" t="str" cm="1">
        <f t="array" ref="AG171">IF(Table21215[[#This Row],[9]]="","",Table21215[[#This Row],[Weight]:[Weight]]-(Table21215[[#This Row],[Weight]:[Weight]]*((_xlfn.XMATCH(Table21215[[#This Row],[9]],Table21215[[#This Row],[1]:[11]],0))-1)/(COUNTA(Table21215[[#This Row],[1]:[11]])-COUNTBLANK(Table21215[[#This Row],[1]:[11]])-1)))</f>
        <v/>
      </c>
      <c r="AH171" s="30" t="str" cm="1">
        <f t="array" ref="AH171">IF(Table21215[[#This Row],[10]]="","",Table21215[[#This Row],[Weight]:[Weight]]-(Table21215[[#This Row],[Weight]:[Weight]]*((_xlfn.XMATCH(Table21215[[#This Row],[10]],Table21215[[#This Row],[1]:[11]],0))-1)/(COUNTA(Table21215[[#This Row],[1]:[11]])-COUNTBLANK(Table21215[[#This Row],[1]:[11]])-1)))</f>
        <v/>
      </c>
      <c r="AI171" s="30" t="str" cm="1">
        <f t="array" ref="AI171">IF(Table21215[[#This Row],[11]]="","",Table21215[[#This Row],[Weight]:[Weight]]-(Table21215[[#This Row],[Weight]:[Weight]]*((_xlfn.XMATCH(Table21215[[#This Row],[11]],Table21215[[#This Row],[1]:[11]],0))-1)/(COUNTA(Table21215[[#This Row],[1]:[11]])-COUNTBLANK(Table21215[[#This Row],[1]:[11]])-1)))</f>
        <v/>
      </c>
    </row>
    <row r="172" spans="1:35" ht="108" x14ac:dyDescent="0.2">
      <c r="A172" s="20">
        <v>160</v>
      </c>
      <c r="B172" s="165" t="s">
        <v>989</v>
      </c>
      <c r="C172" s="21" t="s">
        <v>826</v>
      </c>
      <c r="D172" s="38"/>
      <c r="E172" s="38"/>
      <c r="F172" s="159" t="s">
        <v>60</v>
      </c>
      <c r="G172" s="160" cm="1">
        <f t="array" ref="G172">_xlfn.IFS(F172="","",F172="No interest",0,F172="Nice to have",1,F172="Useful",2,F172="Important",3,F172="Very important",4,F172="Critical",5,F172="Show stopper",6)</f>
        <v>6</v>
      </c>
      <c r="H172" s="161">
        <f t="shared" si="4"/>
        <v>4.7656870532168391E-3</v>
      </c>
      <c r="I172" s="157" t="s">
        <v>827</v>
      </c>
      <c r="J172" s="35" t="str" cm="1">
        <f t="array" ref="J172">_xlfn.TEXTJOIN(","&amp;CHAR(10),,TEXT(Table21215[[#This Row],[12]:[22]],"0,00%"))</f>
        <v>0,00%,
0,00%,
0,00%,
0,00%</v>
      </c>
      <c r="K172" s="36"/>
      <c r="L172" s="37" t="e">
        <f>H172-(H172*((MATCH(Table21215[[#This Row],[Evaluators Response (SELECT)]],Table21215[[#This Row],[1]:[11]],0)-1)/(COUNTA(Table21215[[#This Row],[1]:[11]])-COUNTBLANK(Table21215[[#This Row],[1]:[11]])-1)))</f>
        <v>#N/A</v>
      </c>
      <c r="M172" s="38"/>
      <c r="N172" s="29" t="s">
        <v>828</v>
      </c>
      <c r="O172" s="29" t="s">
        <v>829</v>
      </c>
      <c r="P172" s="29" t="s">
        <v>830</v>
      </c>
      <c r="Q172" s="29" t="str" cm="1">
        <f t="array" ref="Q172">IFERROR(INDEX(_xlfn.UNIQUE(TRIM(_xlfn.TEXTSPLIT(Table21215[[#This Row],[Selection Options]:[Selection Options]],","))),,Q$11),"")</f>
        <v xml:space="preserve">
 0%: Not currently supported</v>
      </c>
      <c r="R172" s="29" t="str" cm="1">
        <f t="array" ref="R172">IFERROR(INDEX(_xlfn.UNIQUE(TRIM(_xlfn.TEXTSPLIT(Table21215[[#This Row],[Selection Options]:[Selection Options]],","))),,R$11),"")</f>
        <v/>
      </c>
      <c r="S172" s="29" t="str" cm="1">
        <f t="array" ref="S172">IFERROR(INDEX(_xlfn.UNIQUE(TRIM(_xlfn.TEXTSPLIT(Table21215[[#This Row],[Selection Options]:[Selection Options]],","))),,S$11),"")</f>
        <v/>
      </c>
      <c r="T172" s="29" t="str" cm="1">
        <f t="array" ref="T172">IFERROR(INDEX(_xlfn.UNIQUE(TRIM(_xlfn.TEXTSPLIT(Table21215[[#This Row],[Selection Options]:[Selection Options]],","))),,T$11),"")</f>
        <v/>
      </c>
      <c r="U172" s="29" t="str" cm="1">
        <f t="array" ref="U172">IFERROR(INDEX(_xlfn.UNIQUE(TRIM(_xlfn.TEXTSPLIT(Table21215[[#This Row],[Selection Options]:[Selection Options]],","))),,U$11),"")</f>
        <v/>
      </c>
      <c r="V172" s="29" t="str" cm="1">
        <f t="array" ref="V172">IFERROR(INDEX(_xlfn.UNIQUE(TRIM(_xlfn.TEXTSPLIT(Table21215[[#This Row],[Selection Options]:[Selection Options]],","))),,V$11),"")</f>
        <v/>
      </c>
      <c r="W172" s="29" t="str" cm="1">
        <f t="array" ref="W172">IFERROR(INDEX(_xlfn.UNIQUE(TRIM(_xlfn.TEXTSPLIT(Table21215[[#This Row],[Selection Options]:[Selection Options]],","))),,W$11),"")</f>
        <v/>
      </c>
      <c r="X172" s="29" t="str" cm="1">
        <f t="array" ref="X172">IFERROR(INDEX(_xlfn.UNIQUE(TRIM(_xlfn.TEXTSPLIT(Table21215[[#This Row],[Selection Options]:[Selection Options]],","))),,X$11),"")</f>
        <v/>
      </c>
      <c r="Y172" s="30" cm="1">
        <f t="array" ref="Y172">IF(Table21215[[#This Row],[1]]="","",Table21215[[#This Row],[Weight]:[Weight]]-(Table21215[[#This Row],[Weight]:[Weight]]*((_xlfn.XMATCH(Table21215[[#This Row],[1]],Table21215[[#This Row],[1]:[11]],0))-1)/(COUNTA(Table21215[[#This Row],[1]:[11]])-COUNTBLANK(Table21215[[#This Row],[1]:[11]])-1)))</f>
        <v>4.7656870532168391E-3</v>
      </c>
      <c r="Z172" s="30" cm="1">
        <f t="array" ref="Z172">IF(Table21215[[#This Row],[2]]="","",Table21215[[#This Row],[Weight]:[Weight]]-(Table21215[[#This Row],[Weight]:[Weight]]*((_xlfn.XMATCH(Table21215[[#This Row],[2]],Table21215[[#This Row],[1]:[11]],0))-1)/(COUNTA(Table21215[[#This Row],[1]:[11]])-COUNTBLANK(Table21215[[#This Row],[1]:[11]])-1)))</f>
        <v>3.1771247021445594E-3</v>
      </c>
      <c r="AA172" s="30" cm="1">
        <f t="array" ref="AA172">IF(Table21215[[#This Row],[3]]="","",Table21215[[#This Row],[Weight]:[Weight]]-(Table21215[[#This Row],[Weight]:[Weight]]*((_xlfn.XMATCH(Table21215[[#This Row],[3]],Table21215[[#This Row],[1]:[11]],0))-1)/(COUNTA(Table21215[[#This Row],[1]:[11]])-COUNTBLANK(Table21215[[#This Row],[1]:[11]])-1)))</f>
        <v>1.5885623510722797E-3</v>
      </c>
      <c r="AB172" s="30" cm="1">
        <f t="array" ref="AB172">IF(Table21215[[#This Row],[4]]="","",Table21215[[#This Row],[Weight]:[Weight]]-(Table21215[[#This Row],[Weight]:[Weight]]*((_xlfn.XMATCH(Table21215[[#This Row],[4]],Table21215[[#This Row],[1]:[11]],0))-1)/(COUNTA(Table21215[[#This Row],[1]:[11]])-COUNTBLANK(Table21215[[#This Row],[1]:[11]])-1)))</f>
        <v>0</v>
      </c>
      <c r="AC172" s="30" t="str" cm="1">
        <f t="array" ref="AC172">IF(Table21215[[#This Row],[5]]="","",Table21215[[#This Row],[Weight]:[Weight]]-(Table21215[[#This Row],[Weight]:[Weight]]*((_xlfn.XMATCH(Table21215[[#This Row],[5]],Table21215[[#This Row],[1]:[11]],0))-1)/(COUNTA(Table21215[[#This Row],[1]:[11]])-COUNTBLANK(Table21215[[#This Row],[1]:[11]])-1)))</f>
        <v/>
      </c>
      <c r="AD172" s="30" t="str" cm="1">
        <f t="array" ref="AD172">IF(Table21215[[#This Row],[6]]="","",Table21215[[#This Row],[Weight]:[Weight]]-(Table21215[[#This Row],[Weight]:[Weight]]*((_xlfn.XMATCH(Table21215[[#This Row],[6]],Table21215[[#This Row],[1]:[11]],0))-1)/(COUNTA(Table21215[[#This Row],[1]:[11]])-COUNTBLANK(Table21215[[#This Row],[1]:[11]])-1)))</f>
        <v/>
      </c>
      <c r="AE172" s="30" t="str" cm="1">
        <f t="array" ref="AE172">IF(Table21215[[#This Row],[7]]="","",Table21215[[#This Row],[Weight]:[Weight]]-(Table21215[[#This Row],[Weight]:[Weight]]*((_xlfn.XMATCH(Table21215[[#This Row],[7]],Table21215[[#This Row],[1]:[11]],0))-1)/(COUNTA(Table21215[[#This Row],[1]:[11]])-COUNTBLANK(Table21215[[#This Row],[1]:[11]])-1)))</f>
        <v/>
      </c>
      <c r="AF172" s="30" t="str" cm="1">
        <f t="array" ref="AF172">IF(Table21215[[#This Row],[8]]="","",Table21215[[#This Row],[Weight]:[Weight]]-(Table21215[[#This Row],[Weight]:[Weight]]*((_xlfn.XMATCH(Table21215[[#This Row],[8]],Table21215[[#This Row],[1]:[11]],0))-1)/(COUNTA(Table21215[[#This Row],[1]:[11]])-COUNTBLANK(Table21215[[#This Row],[1]:[11]])-1)))</f>
        <v/>
      </c>
      <c r="AG172" s="30" t="str" cm="1">
        <f t="array" ref="AG172">IF(Table21215[[#This Row],[9]]="","",Table21215[[#This Row],[Weight]:[Weight]]-(Table21215[[#This Row],[Weight]:[Weight]]*((_xlfn.XMATCH(Table21215[[#This Row],[9]],Table21215[[#This Row],[1]:[11]],0))-1)/(COUNTA(Table21215[[#This Row],[1]:[11]])-COUNTBLANK(Table21215[[#This Row],[1]:[11]])-1)))</f>
        <v/>
      </c>
      <c r="AH172" s="30" t="str" cm="1">
        <f t="array" ref="AH172">IF(Table21215[[#This Row],[10]]="","",Table21215[[#This Row],[Weight]:[Weight]]-(Table21215[[#This Row],[Weight]:[Weight]]*((_xlfn.XMATCH(Table21215[[#This Row],[10]],Table21215[[#This Row],[1]:[11]],0))-1)/(COUNTA(Table21215[[#This Row],[1]:[11]])-COUNTBLANK(Table21215[[#This Row],[1]:[11]])-1)))</f>
        <v/>
      </c>
      <c r="AI172" s="30" t="str" cm="1">
        <f t="array" ref="AI172">IF(Table21215[[#This Row],[11]]="","",Table21215[[#This Row],[Weight]:[Weight]]-(Table21215[[#This Row],[Weight]:[Weight]]*((_xlfn.XMATCH(Table21215[[#This Row],[11]],Table21215[[#This Row],[1]:[11]],0))-1)/(COUNTA(Table21215[[#This Row],[1]:[11]])-COUNTBLANK(Table21215[[#This Row],[1]:[11]])-1)))</f>
        <v/>
      </c>
    </row>
    <row r="173" spans="1:35" ht="108" x14ac:dyDescent="0.2">
      <c r="A173" s="20">
        <v>161</v>
      </c>
      <c r="B173" s="165" t="s">
        <v>990</v>
      </c>
      <c r="C173" s="21" t="s">
        <v>826</v>
      </c>
      <c r="D173" s="38"/>
      <c r="E173" s="38"/>
      <c r="F173" s="159" t="s">
        <v>60</v>
      </c>
      <c r="G173" s="160" cm="1">
        <f t="array" ref="G173">_xlfn.IFS(F173="","",F173="No interest",0,F173="Nice to have",1,F173="Useful",2,F173="Important",3,F173="Very important",4,F173="Critical",5,F173="Show stopper",6)</f>
        <v>6</v>
      </c>
      <c r="H173" s="161">
        <f t="shared" si="4"/>
        <v>4.7656870532168391E-3</v>
      </c>
      <c r="I173" s="157" t="s">
        <v>827</v>
      </c>
      <c r="J173" s="35" t="str" cm="1">
        <f t="array" ref="J173">_xlfn.TEXTJOIN(","&amp;CHAR(10),,TEXT(Table21215[[#This Row],[12]:[22]],"0,00%"))</f>
        <v>0,00%,
0,00%,
0,00%,
0,00%</v>
      </c>
      <c r="K173" s="36"/>
      <c r="L173" s="37" t="e">
        <f>H173-(H173*((MATCH(Table21215[[#This Row],[Evaluators Response (SELECT)]],Table21215[[#This Row],[1]:[11]],0)-1)/(COUNTA(Table21215[[#This Row],[1]:[11]])-COUNTBLANK(Table21215[[#This Row],[1]:[11]])-1)))</f>
        <v>#N/A</v>
      </c>
      <c r="M173" s="38"/>
      <c r="N173" s="29" t="s">
        <v>828</v>
      </c>
      <c r="O173" s="29" t="s">
        <v>829</v>
      </c>
      <c r="P173" s="29" t="s">
        <v>830</v>
      </c>
      <c r="Q173" s="29" t="str" cm="1">
        <f t="array" ref="Q173">IFERROR(INDEX(_xlfn.UNIQUE(TRIM(_xlfn.TEXTSPLIT(Table21215[[#This Row],[Selection Options]:[Selection Options]],","))),,Q$11),"")</f>
        <v xml:space="preserve">
 0%: Not currently supported</v>
      </c>
      <c r="R173" s="29" t="str" cm="1">
        <f t="array" ref="R173">IFERROR(INDEX(_xlfn.UNIQUE(TRIM(_xlfn.TEXTSPLIT(Table21215[[#This Row],[Selection Options]:[Selection Options]],","))),,R$11),"")</f>
        <v/>
      </c>
      <c r="S173" s="29" t="str" cm="1">
        <f t="array" ref="S173">IFERROR(INDEX(_xlfn.UNIQUE(TRIM(_xlfn.TEXTSPLIT(Table21215[[#This Row],[Selection Options]:[Selection Options]],","))),,S$11),"")</f>
        <v/>
      </c>
      <c r="T173" s="29" t="str" cm="1">
        <f t="array" ref="T173">IFERROR(INDEX(_xlfn.UNIQUE(TRIM(_xlfn.TEXTSPLIT(Table21215[[#This Row],[Selection Options]:[Selection Options]],","))),,T$11),"")</f>
        <v/>
      </c>
      <c r="U173" s="29" t="str" cm="1">
        <f t="array" ref="U173">IFERROR(INDEX(_xlfn.UNIQUE(TRIM(_xlfn.TEXTSPLIT(Table21215[[#This Row],[Selection Options]:[Selection Options]],","))),,U$11),"")</f>
        <v/>
      </c>
      <c r="V173" s="29" t="str" cm="1">
        <f t="array" ref="V173">IFERROR(INDEX(_xlfn.UNIQUE(TRIM(_xlfn.TEXTSPLIT(Table21215[[#This Row],[Selection Options]:[Selection Options]],","))),,V$11),"")</f>
        <v/>
      </c>
      <c r="W173" s="29" t="str" cm="1">
        <f t="array" ref="W173">IFERROR(INDEX(_xlfn.UNIQUE(TRIM(_xlfn.TEXTSPLIT(Table21215[[#This Row],[Selection Options]:[Selection Options]],","))),,W$11),"")</f>
        <v/>
      </c>
      <c r="X173" s="29" t="str" cm="1">
        <f t="array" ref="X173">IFERROR(INDEX(_xlfn.UNIQUE(TRIM(_xlfn.TEXTSPLIT(Table21215[[#This Row],[Selection Options]:[Selection Options]],","))),,X$11),"")</f>
        <v/>
      </c>
      <c r="Y173" s="30" cm="1">
        <f t="array" ref="Y173">IF(Table21215[[#This Row],[1]]="","",Table21215[[#This Row],[Weight]:[Weight]]-(Table21215[[#This Row],[Weight]:[Weight]]*((_xlfn.XMATCH(Table21215[[#This Row],[1]],Table21215[[#This Row],[1]:[11]],0))-1)/(COUNTA(Table21215[[#This Row],[1]:[11]])-COUNTBLANK(Table21215[[#This Row],[1]:[11]])-1)))</f>
        <v>4.7656870532168391E-3</v>
      </c>
      <c r="Z173" s="30" cm="1">
        <f t="array" ref="Z173">IF(Table21215[[#This Row],[2]]="","",Table21215[[#This Row],[Weight]:[Weight]]-(Table21215[[#This Row],[Weight]:[Weight]]*((_xlfn.XMATCH(Table21215[[#This Row],[2]],Table21215[[#This Row],[1]:[11]],0))-1)/(COUNTA(Table21215[[#This Row],[1]:[11]])-COUNTBLANK(Table21215[[#This Row],[1]:[11]])-1)))</f>
        <v>3.1771247021445594E-3</v>
      </c>
      <c r="AA173" s="30" cm="1">
        <f t="array" ref="AA173">IF(Table21215[[#This Row],[3]]="","",Table21215[[#This Row],[Weight]:[Weight]]-(Table21215[[#This Row],[Weight]:[Weight]]*((_xlfn.XMATCH(Table21215[[#This Row],[3]],Table21215[[#This Row],[1]:[11]],0))-1)/(COUNTA(Table21215[[#This Row],[1]:[11]])-COUNTBLANK(Table21215[[#This Row],[1]:[11]])-1)))</f>
        <v>1.5885623510722797E-3</v>
      </c>
      <c r="AB173" s="30" cm="1">
        <f t="array" ref="AB173">IF(Table21215[[#This Row],[4]]="","",Table21215[[#This Row],[Weight]:[Weight]]-(Table21215[[#This Row],[Weight]:[Weight]]*((_xlfn.XMATCH(Table21215[[#This Row],[4]],Table21215[[#This Row],[1]:[11]],0))-1)/(COUNTA(Table21215[[#This Row],[1]:[11]])-COUNTBLANK(Table21215[[#This Row],[1]:[11]])-1)))</f>
        <v>0</v>
      </c>
      <c r="AC173" s="30" t="str" cm="1">
        <f t="array" ref="AC173">IF(Table21215[[#This Row],[5]]="","",Table21215[[#This Row],[Weight]:[Weight]]-(Table21215[[#This Row],[Weight]:[Weight]]*((_xlfn.XMATCH(Table21215[[#This Row],[5]],Table21215[[#This Row],[1]:[11]],0))-1)/(COUNTA(Table21215[[#This Row],[1]:[11]])-COUNTBLANK(Table21215[[#This Row],[1]:[11]])-1)))</f>
        <v/>
      </c>
      <c r="AD173" s="30" t="str" cm="1">
        <f t="array" ref="AD173">IF(Table21215[[#This Row],[6]]="","",Table21215[[#This Row],[Weight]:[Weight]]-(Table21215[[#This Row],[Weight]:[Weight]]*((_xlfn.XMATCH(Table21215[[#This Row],[6]],Table21215[[#This Row],[1]:[11]],0))-1)/(COUNTA(Table21215[[#This Row],[1]:[11]])-COUNTBLANK(Table21215[[#This Row],[1]:[11]])-1)))</f>
        <v/>
      </c>
      <c r="AE173" s="30" t="str" cm="1">
        <f t="array" ref="AE173">IF(Table21215[[#This Row],[7]]="","",Table21215[[#This Row],[Weight]:[Weight]]-(Table21215[[#This Row],[Weight]:[Weight]]*((_xlfn.XMATCH(Table21215[[#This Row],[7]],Table21215[[#This Row],[1]:[11]],0))-1)/(COUNTA(Table21215[[#This Row],[1]:[11]])-COUNTBLANK(Table21215[[#This Row],[1]:[11]])-1)))</f>
        <v/>
      </c>
      <c r="AF173" s="30" t="str" cm="1">
        <f t="array" ref="AF173">IF(Table21215[[#This Row],[8]]="","",Table21215[[#This Row],[Weight]:[Weight]]-(Table21215[[#This Row],[Weight]:[Weight]]*((_xlfn.XMATCH(Table21215[[#This Row],[8]],Table21215[[#This Row],[1]:[11]],0))-1)/(COUNTA(Table21215[[#This Row],[1]:[11]])-COUNTBLANK(Table21215[[#This Row],[1]:[11]])-1)))</f>
        <v/>
      </c>
      <c r="AG173" s="30" t="str" cm="1">
        <f t="array" ref="AG173">IF(Table21215[[#This Row],[9]]="","",Table21215[[#This Row],[Weight]:[Weight]]-(Table21215[[#This Row],[Weight]:[Weight]]*((_xlfn.XMATCH(Table21215[[#This Row],[9]],Table21215[[#This Row],[1]:[11]],0))-1)/(COUNTA(Table21215[[#This Row],[1]:[11]])-COUNTBLANK(Table21215[[#This Row],[1]:[11]])-1)))</f>
        <v/>
      </c>
      <c r="AH173" s="30" t="str" cm="1">
        <f t="array" ref="AH173">IF(Table21215[[#This Row],[10]]="","",Table21215[[#This Row],[Weight]:[Weight]]-(Table21215[[#This Row],[Weight]:[Weight]]*((_xlfn.XMATCH(Table21215[[#This Row],[10]],Table21215[[#This Row],[1]:[11]],0))-1)/(COUNTA(Table21215[[#This Row],[1]:[11]])-COUNTBLANK(Table21215[[#This Row],[1]:[11]])-1)))</f>
        <v/>
      </c>
      <c r="AI173" s="30" t="str" cm="1">
        <f t="array" ref="AI173">IF(Table21215[[#This Row],[11]]="","",Table21215[[#This Row],[Weight]:[Weight]]-(Table21215[[#This Row],[Weight]:[Weight]]*((_xlfn.XMATCH(Table21215[[#This Row],[11]],Table21215[[#This Row],[1]:[11]],0))-1)/(COUNTA(Table21215[[#This Row],[1]:[11]])-COUNTBLANK(Table21215[[#This Row],[1]:[11]])-1)))</f>
        <v/>
      </c>
    </row>
    <row r="174" spans="1:35" ht="108" x14ac:dyDescent="0.2">
      <c r="A174" s="20">
        <v>162</v>
      </c>
      <c r="B174" s="165" t="s">
        <v>991</v>
      </c>
      <c r="C174" s="21" t="s">
        <v>826</v>
      </c>
      <c r="D174" s="38"/>
      <c r="E174" s="38"/>
      <c r="F174" s="159" t="s">
        <v>60</v>
      </c>
      <c r="G174" s="160" cm="1">
        <f t="array" ref="G174">_xlfn.IFS(F174="","",F174="No interest",0,F174="Nice to have",1,F174="Useful",2,F174="Important",3,F174="Very important",4,F174="Critical",5,F174="Show stopper",6)</f>
        <v>6</v>
      </c>
      <c r="H174" s="161">
        <f t="shared" si="4"/>
        <v>4.7656870532168391E-3</v>
      </c>
      <c r="I174" s="157" t="s">
        <v>827</v>
      </c>
      <c r="J174" s="35" t="str" cm="1">
        <f t="array" ref="J174">_xlfn.TEXTJOIN(","&amp;CHAR(10),,TEXT(Table21215[[#This Row],[12]:[22]],"0,00%"))</f>
        <v>0,00%,
0,00%,
0,00%,
0,00%</v>
      </c>
      <c r="K174" s="36"/>
      <c r="L174" s="37" t="e">
        <f>H174-(H174*((MATCH(Table21215[[#This Row],[Evaluators Response (SELECT)]],Table21215[[#This Row],[1]:[11]],0)-1)/(COUNTA(Table21215[[#This Row],[1]:[11]])-COUNTBLANK(Table21215[[#This Row],[1]:[11]])-1)))</f>
        <v>#N/A</v>
      </c>
      <c r="M174" s="38"/>
      <c r="N174" s="29" t="s">
        <v>828</v>
      </c>
      <c r="O174" s="29" t="s">
        <v>829</v>
      </c>
      <c r="P174" s="29" t="s">
        <v>830</v>
      </c>
      <c r="Q174" s="29" t="str" cm="1">
        <f t="array" ref="Q174">IFERROR(INDEX(_xlfn.UNIQUE(TRIM(_xlfn.TEXTSPLIT(Table21215[[#This Row],[Selection Options]:[Selection Options]],","))),,Q$11),"")</f>
        <v xml:space="preserve">
 0%: Not currently supported</v>
      </c>
      <c r="R174" s="29" t="str" cm="1">
        <f t="array" ref="R174">IFERROR(INDEX(_xlfn.UNIQUE(TRIM(_xlfn.TEXTSPLIT(Table21215[[#This Row],[Selection Options]:[Selection Options]],","))),,R$11),"")</f>
        <v/>
      </c>
      <c r="S174" s="29" t="str" cm="1">
        <f t="array" ref="S174">IFERROR(INDEX(_xlfn.UNIQUE(TRIM(_xlfn.TEXTSPLIT(Table21215[[#This Row],[Selection Options]:[Selection Options]],","))),,S$11),"")</f>
        <v/>
      </c>
      <c r="T174" s="29" t="str" cm="1">
        <f t="array" ref="T174">IFERROR(INDEX(_xlfn.UNIQUE(TRIM(_xlfn.TEXTSPLIT(Table21215[[#This Row],[Selection Options]:[Selection Options]],","))),,T$11),"")</f>
        <v/>
      </c>
      <c r="U174" s="29" t="str" cm="1">
        <f t="array" ref="U174">IFERROR(INDEX(_xlfn.UNIQUE(TRIM(_xlfn.TEXTSPLIT(Table21215[[#This Row],[Selection Options]:[Selection Options]],","))),,U$11),"")</f>
        <v/>
      </c>
      <c r="V174" s="29" t="str" cm="1">
        <f t="array" ref="V174">IFERROR(INDEX(_xlfn.UNIQUE(TRIM(_xlfn.TEXTSPLIT(Table21215[[#This Row],[Selection Options]:[Selection Options]],","))),,V$11),"")</f>
        <v/>
      </c>
      <c r="W174" s="29" t="str" cm="1">
        <f t="array" ref="W174">IFERROR(INDEX(_xlfn.UNIQUE(TRIM(_xlfn.TEXTSPLIT(Table21215[[#This Row],[Selection Options]:[Selection Options]],","))),,W$11),"")</f>
        <v/>
      </c>
      <c r="X174" s="29" t="str" cm="1">
        <f t="array" ref="X174">IFERROR(INDEX(_xlfn.UNIQUE(TRIM(_xlfn.TEXTSPLIT(Table21215[[#This Row],[Selection Options]:[Selection Options]],","))),,X$11),"")</f>
        <v/>
      </c>
      <c r="Y174" s="30" cm="1">
        <f t="array" ref="Y174">IF(Table21215[[#This Row],[1]]="","",Table21215[[#This Row],[Weight]:[Weight]]-(Table21215[[#This Row],[Weight]:[Weight]]*((_xlfn.XMATCH(Table21215[[#This Row],[1]],Table21215[[#This Row],[1]:[11]],0))-1)/(COUNTA(Table21215[[#This Row],[1]:[11]])-COUNTBLANK(Table21215[[#This Row],[1]:[11]])-1)))</f>
        <v>4.7656870532168391E-3</v>
      </c>
      <c r="Z174" s="30" cm="1">
        <f t="array" ref="Z174">IF(Table21215[[#This Row],[2]]="","",Table21215[[#This Row],[Weight]:[Weight]]-(Table21215[[#This Row],[Weight]:[Weight]]*((_xlfn.XMATCH(Table21215[[#This Row],[2]],Table21215[[#This Row],[1]:[11]],0))-1)/(COUNTA(Table21215[[#This Row],[1]:[11]])-COUNTBLANK(Table21215[[#This Row],[1]:[11]])-1)))</f>
        <v>3.1771247021445594E-3</v>
      </c>
      <c r="AA174" s="30" cm="1">
        <f t="array" ref="AA174">IF(Table21215[[#This Row],[3]]="","",Table21215[[#This Row],[Weight]:[Weight]]-(Table21215[[#This Row],[Weight]:[Weight]]*((_xlfn.XMATCH(Table21215[[#This Row],[3]],Table21215[[#This Row],[1]:[11]],0))-1)/(COUNTA(Table21215[[#This Row],[1]:[11]])-COUNTBLANK(Table21215[[#This Row],[1]:[11]])-1)))</f>
        <v>1.5885623510722797E-3</v>
      </c>
      <c r="AB174" s="30" cm="1">
        <f t="array" ref="AB174">IF(Table21215[[#This Row],[4]]="","",Table21215[[#This Row],[Weight]:[Weight]]-(Table21215[[#This Row],[Weight]:[Weight]]*((_xlfn.XMATCH(Table21215[[#This Row],[4]],Table21215[[#This Row],[1]:[11]],0))-1)/(COUNTA(Table21215[[#This Row],[1]:[11]])-COUNTBLANK(Table21215[[#This Row],[1]:[11]])-1)))</f>
        <v>0</v>
      </c>
      <c r="AC174" s="30" t="str" cm="1">
        <f t="array" ref="AC174">IF(Table21215[[#This Row],[5]]="","",Table21215[[#This Row],[Weight]:[Weight]]-(Table21215[[#This Row],[Weight]:[Weight]]*((_xlfn.XMATCH(Table21215[[#This Row],[5]],Table21215[[#This Row],[1]:[11]],0))-1)/(COUNTA(Table21215[[#This Row],[1]:[11]])-COUNTBLANK(Table21215[[#This Row],[1]:[11]])-1)))</f>
        <v/>
      </c>
      <c r="AD174" s="30" t="str" cm="1">
        <f t="array" ref="AD174">IF(Table21215[[#This Row],[6]]="","",Table21215[[#This Row],[Weight]:[Weight]]-(Table21215[[#This Row],[Weight]:[Weight]]*((_xlfn.XMATCH(Table21215[[#This Row],[6]],Table21215[[#This Row],[1]:[11]],0))-1)/(COUNTA(Table21215[[#This Row],[1]:[11]])-COUNTBLANK(Table21215[[#This Row],[1]:[11]])-1)))</f>
        <v/>
      </c>
      <c r="AE174" s="30" t="str" cm="1">
        <f t="array" ref="AE174">IF(Table21215[[#This Row],[7]]="","",Table21215[[#This Row],[Weight]:[Weight]]-(Table21215[[#This Row],[Weight]:[Weight]]*((_xlfn.XMATCH(Table21215[[#This Row],[7]],Table21215[[#This Row],[1]:[11]],0))-1)/(COUNTA(Table21215[[#This Row],[1]:[11]])-COUNTBLANK(Table21215[[#This Row],[1]:[11]])-1)))</f>
        <v/>
      </c>
      <c r="AF174" s="30" t="str" cm="1">
        <f t="array" ref="AF174">IF(Table21215[[#This Row],[8]]="","",Table21215[[#This Row],[Weight]:[Weight]]-(Table21215[[#This Row],[Weight]:[Weight]]*((_xlfn.XMATCH(Table21215[[#This Row],[8]],Table21215[[#This Row],[1]:[11]],0))-1)/(COUNTA(Table21215[[#This Row],[1]:[11]])-COUNTBLANK(Table21215[[#This Row],[1]:[11]])-1)))</f>
        <v/>
      </c>
      <c r="AG174" s="30" t="str" cm="1">
        <f t="array" ref="AG174">IF(Table21215[[#This Row],[9]]="","",Table21215[[#This Row],[Weight]:[Weight]]-(Table21215[[#This Row],[Weight]:[Weight]]*((_xlfn.XMATCH(Table21215[[#This Row],[9]],Table21215[[#This Row],[1]:[11]],0))-1)/(COUNTA(Table21215[[#This Row],[1]:[11]])-COUNTBLANK(Table21215[[#This Row],[1]:[11]])-1)))</f>
        <v/>
      </c>
      <c r="AH174" s="30" t="str" cm="1">
        <f t="array" ref="AH174">IF(Table21215[[#This Row],[10]]="","",Table21215[[#This Row],[Weight]:[Weight]]-(Table21215[[#This Row],[Weight]:[Weight]]*((_xlfn.XMATCH(Table21215[[#This Row],[10]],Table21215[[#This Row],[1]:[11]],0))-1)/(COUNTA(Table21215[[#This Row],[1]:[11]])-COUNTBLANK(Table21215[[#This Row],[1]:[11]])-1)))</f>
        <v/>
      </c>
      <c r="AI174" s="30" t="str" cm="1">
        <f t="array" ref="AI174">IF(Table21215[[#This Row],[11]]="","",Table21215[[#This Row],[Weight]:[Weight]]-(Table21215[[#This Row],[Weight]:[Weight]]*((_xlfn.XMATCH(Table21215[[#This Row],[11]],Table21215[[#This Row],[1]:[11]],0))-1)/(COUNTA(Table21215[[#This Row],[1]:[11]])-COUNTBLANK(Table21215[[#This Row],[1]:[11]])-1)))</f>
        <v/>
      </c>
    </row>
    <row r="175" spans="1:35" ht="108" x14ac:dyDescent="0.2">
      <c r="A175" s="20">
        <v>163</v>
      </c>
      <c r="B175" s="165" t="s">
        <v>992</v>
      </c>
      <c r="C175" s="21" t="s">
        <v>826</v>
      </c>
      <c r="D175" s="38"/>
      <c r="E175" s="38"/>
      <c r="F175" s="159" t="s">
        <v>60</v>
      </c>
      <c r="G175" s="160" cm="1">
        <f t="array" ref="G175">_xlfn.IFS(F175="","",F175="No interest",0,F175="Nice to have",1,F175="Useful",2,F175="Important",3,F175="Very important",4,F175="Critical",5,F175="Show stopper",6)</f>
        <v>6</v>
      </c>
      <c r="H175" s="161">
        <f t="shared" si="4"/>
        <v>4.7656870532168391E-3</v>
      </c>
      <c r="I175" s="157" t="s">
        <v>827</v>
      </c>
      <c r="J175" s="35" t="str" cm="1">
        <f t="array" ref="J175">_xlfn.TEXTJOIN(","&amp;CHAR(10),,TEXT(Table21215[[#This Row],[12]:[22]],"0,00%"))</f>
        <v>0,00%,
0,00%,
0,00%,
0,00%</v>
      </c>
      <c r="K175" s="36"/>
      <c r="L175" s="37" t="e">
        <f>H175-(H175*((MATCH(Table21215[[#This Row],[Evaluators Response (SELECT)]],Table21215[[#This Row],[1]:[11]],0)-1)/(COUNTA(Table21215[[#This Row],[1]:[11]])-COUNTBLANK(Table21215[[#This Row],[1]:[11]])-1)))</f>
        <v>#N/A</v>
      </c>
      <c r="M175" s="38"/>
      <c r="N175" s="29" t="s">
        <v>828</v>
      </c>
      <c r="O175" s="29" t="s">
        <v>829</v>
      </c>
      <c r="P175" s="29" t="s">
        <v>830</v>
      </c>
      <c r="Q175" s="29" t="str" cm="1">
        <f t="array" ref="Q175">IFERROR(INDEX(_xlfn.UNIQUE(TRIM(_xlfn.TEXTSPLIT(Table21215[[#This Row],[Selection Options]:[Selection Options]],","))),,Q$11),"")</f>
        <v xml:space="preserve">
 0%: Not currently supported</v>
      </c>
      <c r="R175" s="29" t="str" cm="1">
        <f t="array" ref="R175">IFERROR(INDEX(_xlfn.UNIQUE(TRIM(_xlfn.TEXTSPLIT(Table21215[[#This Row],[Selection Options]:[Selection Options]],","))),,R$11),"")</f>
        <v/>
      </c>
      <c r="S175" s="29" t="str" cm="1">
        <f t="array" ref="S175">IFERROR(INDEX(_xlfn.UNIQUE(TRIM(_xlfn.TEXTSPLIT(Table21215[[#This Row],[Selection Options]:[Selection Options]],","))),,S$11),"")</f>
        <v/>
      </c>
      <c r="T175" s="29" t="str" cm="1">
        <f t="array" ref="T175">IFERROR(INDEX(_xlfn.UNIQUE(TRIM(_xlfn.TEXTSPLIT(Table21215[[#This Row],[Selection Options]:[Selection Options]],","))),,T$11),"")</f>
        <v/>
      </c>
      <c r="U175" s="29" t="str" cm="1">
        <f t="array" ref="U175">IFERROR(INDEX(_xlfn.UNIQUE(TRIM(_xlfn.TEXTSPLIT(Table21215[[#This Row],[Selection Options]:[Selection Options]],","))),,U$11),"")</f>
        <v/>
      </c>
      <c r="V175" s="29" t="str" cm="1">
        <f t="array" ref="V175">IFERROR(INDEX(_xlfn.UNIQUE(TRIM(_xlfn.TEXTSPLIT(Table21215[[#This Row],[Selection Options]:[Selection Options]],","))),,V$11),"")</f>
        <v/>
      </c>
      <c r="W175" s="29" t="str" cm="1">
        <f t="array" ref="W175">IFERROR(INDEX(_xlfn.UNIQUE(TRIM(_xlfn.TEXTSPLIT(Table21215[[#This Row],[Selection Options]:[Selection Options]],","))),,W$11),"")</f>
        <v/>
      </c>
      <c r="X175" s="29" t="str" cm="1">
        <f t="array" ref="X175">IFERROR(INDEX(_xlfn.UNIQUE(TRIM(_xlfn.TEXTSPLIT(Table21215[[#This Row],[Selection Options]:[Selection Options]],","))),,X$11),"")</f>
        <v/>
      </c>
      <c r="Y175" s="30" cm="1">
        <f t="array" ref="Y175">IF(Table21215[[#This Row],[1]]="","",Table21215[[#This Row],[Weight]:[Weight]]-(Table21215[[#This Row],[Weight]:[Weight]]*((_xlfn.XMATCH(Table21215[[#This Row],[1]],Table21215[[#This Row],[1]:[11]],0))-1)/(COUNTA(Table21215[[#This Row],[1]:[11]])-COUNTBLANK(Table21215[[#This Row],[1]:[11]])-1)))</f>
        <v>4.7656870532168391E-3</v>
      </c>
      <c r="Z175" s="30" cm="1">
        <f t="array" ref="Z175">IF(Table21215[[#This Row],[2]]="","",Table21215[[#This Row],[Weight]:[Weight]]-(Table21215[[#This Row],[Weight]:[Weight]]*((_xlfn.XMATCH(Table21215[[#This Row],[2]],Table21215[[#This Row],[1]:[11]],0))-1)/(COUNTA(Table21215[[#This Row],[1]:[11]])-COUNTBLANK(Table21215[[#This Row],[1]:[11]])-1)))</f>
        <v>3.1771247021445594E-3</v>
      </c>
      <c r="AA175" s="30" cm="1">
        <f t="array" ref="AA175">IF(Table21215[[#This Row],[3]]="","",Table21215[[#This Row],[Weight]:[Weight]]-(Table21215[[#This Row],[Weight]:[Weight]]*((_xlfn.XMATCH(Table21215[[#This Row],[3]],Table21215[[#This Row],[1]:[11]],0))-1)/(COUNTA(Table21215[[#This Row],[1]:[11]])-COUNTBLANK(Table21215[[#This Row],[1]:[11]])-1)))</f>
        <v>1.5885623510722797E-3</v>
      </c>
      <c r="AB175" s="30" cm="1">
        <f t="array" ref="AB175">IF(Table21215[[#This Row],[4]]="","",Table21215[[#This Row],[Weight]:[Weight]]-(Table21215[[#This Row],[Weight]:[Weight]]*((_xlfn.XMATCH(Table21215[[#This Row],[4]],Table21215[[#This Row],[1]:[11]],0))-1)/(COUNTA(Table21215[[#This Row],[1]:[11]])-COUNTBLANK(Table21215[[#This Row],[1]:[11]])-1)))</f>
        <v>0</v>
      </c>
      <c r="AC175" s="30" t="str" cm="1">
        <f t="array" ref="AC175">IF(Table21215[[#This Row],[5]]="","",Table21215[[#This Row],[Weight]:[Weight]]-(Table21215[[#This Row],[Weight]:[Weight]]*((_xlfn.XMATCH(Table21215[[#This Row],[5]],Table21215[[#This Row],[1]:[11]],0))-1)/(COUNTA(Table21215[[#This Row],[1]:[11]])-COUNTBLANK(Table21215[[#This Row],[1]:[11]])-1)))</f>
        <v/>
      </c>
      <c r="AD175" s="30" t="str" cm="1">
        <f t="array" ref="AD175">IF(Table21215[[#This Row],[6]]="","",Table21215[[#This Row],[Weight]:[Weight]]-(Table21215[[#This Row],[Weight]:[Weight]]*((_xlfn.XMATCH(Table21215[[#This Row],[6]],Table21215[[#This Row],[1]:[11]],0))-1)/(COUNTA(Table21215[[#This Row],[1]:[11]])-COUNTBLANK(Table21215[[#This Row],[1]:[11]])-1)))</f>
        <v/>
      </c>
      <c r="AE175" s="30" t="str" cm="1">
        <f t="array" ref="AE175">IF(Table21215[[#This Row],[7]]="","",Table21215[[#This Row],[Weight]:[Weight]]-(Table21215[[#This Row],[Weight]:[Weight]]*((_xlfn.XMATCH(Table21215[[#This Row],[7]],Table21215[[#This Row],[1]:[11]],0))-1)/(COUNTA(Table21215[[#This Row],[1]:[11]])-COUNTBLANK(Table21215[[#This Row],[1]:[11]])-1)))</f>
        <v/>
      </c>
      <c r="AF175" s="30" t="str" cm="1">
        <f t="array" ref="AF175">IF(Table21215[[#This Row],[8]]="","",Table21215[[#This Row],[Weight]:[Weight]]-(Table21215[[#This Row],[Weight]:[Weight]]*((_xlfn.XMATCH(Table21215[[#This Row],[8]],Table21215[[#This Row],[1]:[11]],0))-1)/(COUNTA(Table21215[[#This Row],[1]:[11]])-COUNTBLANK(Table21215[[#This Row],[1]:[11]])-1)))</f>
        <v/>
      </c>
      <c r="AG175" s="30" t="str" cm="1">
        <f t="array" ref="AG175">IF(Table21215[[#This Row],[9]]="","",Table21215[[#This Row],[Weight]:[Weight]]-(Table21215[[#This Row],[Weight]:[Weight]]*((_xlfn.XMATCH(Table21215[[#This Row],[9]],Table21215[[#This Row],[1]:[11]],0))-1)/(COUNTA(Table21215[[#This Row],[1]:[11]])-COUNTBLANK(Table21215[[#This Row],[1]:[11]])-1)))</f>
        <v/>
      </c>
      <c r="AH175" s="30" t="str" cm="1">
        <f t="array" ref="AH175">IF(Table21215[[#This Row],[10]]="","",Table21215[[#This Row],[Weight]:[Weight]]-(Table21215[[#This Row],[Weight]:[Weight]]*((_xlfn.XMATCH(Table21215[[#This Row],[10]],Table21215[[#This Row],[1]:[11]],0))-1)/(COUNTA(Table21215[[#This Row],[1]:[11]])-COUNTBLANK(Table21215[[#This Row],[1]:[11]])-1)))</f>
        <v/>
      </c>
      <c r="AI175" s="30" t="str" cm="1">
        <f t="array" ref="AI175">IF(Table21215[[#This Row],[11]]="","",Table21215[[#This Row],[Weight]:[Weight]]-(Table21215[[#This Row],[Weight]:[Weight]]*((_xlfn.XMATCH(Table21215[[#This Row],[11]],Table21215[[#This Row],[1]:[11]],0))-1)/(COUNTA(Table21215[[#This Row],[1]:[11]])-COUNTBLANK(Table21215[[#This Row],[1]:[11]])-1)))</f>
        <v/>
      </c>
    </row>
    <row r="176" spans="1:35" ht="108" x14ac:dyDescent="0.2">
      <c r="A176" s="20">
        <v>164</v>
      </c>
      <c r="B176" s="165" t="s">
        <v>993</v>
      </c>
      <c r="C176" s="21" t="s">
        <v>826</v>
      </c>
      <c r="D176" s="38"/>
      <c r="E176" s="38"/>
      <c r="F176" s="159" t="s">
        <v>60</v>
      </c>
      <c r="G176" s="160" cm="1">
        <f t="array" ref="G176">_xlfn.IFS(F176="","",F176="No interest",0,F176="Nice to have",1,F176="Useful",2,F176="Important",3,F176="Very important",4,F176="Critical",5,F176="Show stopper",6)</f>
        <v>6</v>
      </c>
      <c r="H176" s="161">
        <f t="shared" si="4"/>
        <v>4.7656870532168391E-3</v>
      </c>
      <c r="I176" s="157" t="s">
        <v>827</v>
      </c>
      <c r="J176" s="35" t="str" cm="1">
        <f t="array" ref="J176">_xlfn.TEXTJOIN(","&amp;CHAR(10),,TEXT(Table21215[[#This Row],[12]:[22]],"0,00%"))</f>
        <v>0,00%,
0,00%,
0,00%,
0,00%</v>
      </c>
      <c r="K176" s="36"/>
      <c r="L176" s="37" t="e">
        <f>H176-(H176*((MATCH(Table21215[[#This Row],[Evaluators Response (SELECT)]],Table21215[[#This Row],[1]:[11]],0)-1)/(COUNTA(Table21215[[#This Row],[1]:[11]])-COUNTBLANK(Table21215[[#This Row],[1]:[11]])-1)))</f>
        <v>#N/A</v>
      </c>
      <c r="M176" s="38"/>
      <c r="N176" s="29" t="s">
        <v>828</v>
      </c>
      <c r="O176" s="29" t="s">
        <v>829</v>
      </c>
      <c r="P176" s="29" t="s">
        <v>830</v>
      </c>
      <c r="Q176" s="29" t="str" cm="1">
        <f t="array" ref="Q176">IFERROR(INDEX(_xlfn.UNIQUE(TRIM(_xlfn.TEXTSPLIT(Table21215[[#This Row],[Selection Options]:[Selection Options]],","))),,Q$11),"")</f>
        <v xml:space="preserve">
 0%: Not currently supported</v>
      </c>
      <c r="R176" s="29" t="str" cm="1">
        <f t="array" ref="R176">IFERROR(INDEX(_xlfn.UNIQUE(TRIM(_xlfn.TEXTSPLIT(Table21215[[#This Row],[Selection Options]:[Selection Options]],","))),,R$11),"")</f>
        <v/>
      </c>
      <c r="S176" s="29" t="str" cm="1">
        <f t="array" ref="S176">IFERROR(INDEX(_xlfn.UNIQUE(TRIM(_xlfn.TEXTSPLIT(Table21215[[#This Row],[Selection Options]:[Selection Options]],","))),,S$11),"")</f>
        <v/>
      </c>
      <c r="T176" s="29" t="str" cm="1">
        <f t="array" ref="T176">IFERROR(INDEX(_xlfn.UNIQUE(TRIM(_xlfn.TEXTSPLIT(Table21215[[#This Row],[Selection Options]:[Selection Options]],","))),,T$11),"")</f>
        <v/>
      </c>
      <c r="U176" s="29" t="str" cm="1">
        <f t="array" ref="U176">IFERROR(INDEX(_xlfn.UNIQUE(TRIM(_xlfn.TEXTSPLIT(Table21215[[#This Row],[Selection Options]:[Selection Options]],","))),,U$11),"")</f>
        <v/>
      </c>
      <c r="V176" s="29" t="str" cm="1">
        <f t="array" ref="V176">IFERROR(INDEX(_xlfn.UNIQUE(TRIM(_xlfn.TEXTSPLIT(Table21215[[#This Row],[Selection Options]:[Selection Options]],","))),,V$11),"")</f>
        <v/>
      </c>
      <c r="W176" s="29" t="str" cm="1">
        <f t="array" ref="W176">IFERROR(INDEX(_xlfn.UNIQUE(TRIM(_xlfn.TEXTSPLIT(Table21215[[#This Row],[Selection Options]:[Selection Options]],","))),,W$11),"")</f>
        <v/>
      </c>
      <c r="X176" s="29" t="str" cm="1">
        <f t="array" ref="X176">IFERROR(INDEX(_xlfn.UNIQUE(TRIM(_xlfn.TEXTSPLIT(Table21215[[#This Row],[Selection Options]:[Selection Options]],","))),,X$11),"")</f>
        <v/>
      </c>
      <c r="Y176" s="30" cm="1">
        <f t="array" ref="Y176">IF(Table21215[[#This Row],[1]]="","",Table21215[[#This Row],[Weight]:[Weight]]-(Table21215[[#This Row],[Weight]:[Weight]]*((_xlfn.XMATCH(Table21215[[#This Row],[1]],Table21215[[#This Row],[1]:[11]],0))-1)/(COUNTA(Table21215[[#This Row],[1]:[11]])-COUNTBLANK(Table21215[[#This Row],[1]:[11]])-1)))</f>
        <v>4.7656870532168391E-3</v>
      </c>
      <c r="Z176" s="30" cm="1">
        <f t="array" ref="Z176">IF(Table21215[[#This Row],[2]]="","",Table21215[[#This Row],[Weight]:[Weight]]-(Table21215[[#This Row],[Weight]:[Weight]]*((_xlfn.XMATCH(Table21215[[#This Row],[2]],Table21215[[#This Row],[1]:[11]],0))-1)/(COUNTA(Table21215[[#This Row],[1]:[11]])-COUNTBLANK(Table21215[[#This Row],[1]:[11]])-1)))</f>
        <v>3.1771247021445594E-3</v>
      </c>
      <c r="AA176" s="30" cm="1">
        <f t="array" ref="AA176">IF(Table21215[[#This Row],[3]]="","",Table21215[[#This Row],[Weight]:[Weight]]-(Table21215[[#This Row],[Weight]:[Weight]]*((_xlfn.XMATCH(Table21215[[#This Row],[3]],Table21215[[#This Row],[1]:[11]],0))-1)/(COUNTA(Table21215[[#This Row],[1]:[11]])-COUNTBLANK(Table21215[[#This Row],[1]:[11]])-1)))</f>
        <v>1.5885623510722797E-3</v>
      </c>
      <c r="AB176" s="30" cm="1">
        <f t="array" ref="AB176">IF(Table21215[[#This Row],[4]]="","",Table21215[[#This Row],[Weight]:[Weight]]-(Table21215[[#This Row],[Weight]:[Weight]]*((_xlfn.XMATCH(Table21215[[#This Row],[4]],Table21215[[#This Row],[1]:[11]],0))-1)/(COUNTA(Table21215[[#This Row],[1]:[11]])-COUNTBLANK(Table21215[[#This Row],[1]:[11]])-1)))</f>
        <v>0</v>
      </c>
      <c r="AC176" s="30" t="str" cm="1">
        <f t="array" ref="AC176">IF(Table21215[[#This Row],[5]]="","",Table21215[[#This Row],[Weight]:[Weight]]-(Table21215[[#This Row],[Weight]:[Weight]]*((_xlfn.XMATCH(Table21215[[#This Row],[5]],Table21215[[#This Row],[1]:[11]],0))-1)/(COUNTA(Table21215[[#This Row],[1]:[11]])-COUNTBLANK(Table21215[[#This Row],[1]:[11]])-1)))</f>
        <v/>
      </c>
      <c r="AD176" s="30" t="str" cm="1">
        <f t="array" ref="AD176">IF(Table21215[[#This Row],[6]]="","",Table21215[[#This Row],[Weight]:[Weight]]-(Table21215[[#This Row],[Weight]:[Weight]]*((_xlfn.XMATCH(Table21215[[#This Row],[6]],Table21215[[#This Row],[1]:[11]],0))-1)/(COUNTA(Table21215[[#This Row],[1]:[11]])-COUNTBLANK(Table21215[[#This Row],[1]:[11]])-1)))</f>
        <v/>
      </c>
      <c r="AE176" s="30" t="str" cm="1">
        <f t="array" ref="AE176">IF(Table21215[[#This Row],[7]]="","",Table21215[[#This Row],[Weight]:[Weight]]-(Table21215[[#This Row],[Weight]:[Weight]]*((_xlfn.XMATCH(Table21215[[#This Row],[7]],Table21215[[#This Row],[1]:[11]],0))-1)/(COUNTA(Table21215[[#This Row],[1]:[11]])-COUNTBLANK(Table21215[[#This Row],[1]:[11]])-1)))</f>
        <v/>
      </c>
      <c r="AF176" s="30" t="str" cm="1">
        <f t="array" ref="AF176">IF(Table21215[[#This Row],[8]]="","",Table21215[[#This Row],[Weight]:[Weight]]-(Table21215[[#This Row],[Weight]:[Weight]]*((_xlfn.XMATCH(Table21215[[#This Row],[8]],Table21215[[#This Row],[1]:[11]],0))-1)/(COUNTA(Table21215[[#This Row],[1]:[11]])-COUNTBLANK(Table21215[[#This Row],[1]:[11]])-1)))</f>
        <v/>
      </c>
      <c r="AG176" s="30" t="str" cm="1">
        <f t="array" ref="AG176">IF(Table21215[[#This Row],[9]]="","",Table21215[[#This Row],[Weight]:[Weight]]-(Table21215[[#This Row],[Weight]:[Weight]]*((_xlfn.XMATCH(Table21215[[#This Row],[9]],Table21215[[#This Row],[1]:[11]],0))-1)/(COUNTA(Table21215[[#This Row],[1]:[11]])-COUNTBLANK(Table21215[[#This Row],[1]:[11]])-1)))</f>
        <v/>
      </c>
      <c r="AH176" s="30" t="str" cm="1">
        <f t="array" ref="AH176">IF(Table21215[[#This Row],[10]]="","",Table21215[[#This Row],[Weight]:[Weight]]-(Table21215[[#This Row],[Weight]:[Weight]]*((_xlfn.XMATCH(Table21215[[#This Row],[10]],Table21215[[#This Row],[1]:[11]],0))-1)/(COUNTA(Table21215[[#This Row],[1]:[11]])-COUNTBLANK(Table21215[[#This Row],[1]:[11]])-1)))</f>
        <v/>
      </c>
      <c r="AI176" s="30" t="str" cm="1">
        <f t="array" ref="AI176">IF(Table21215[[#This Row],[11]]="","",Table21215[[#This Row],[Weight]:[Weight]]-(Table21215[[#This Row],[Weight]:[Weight]]*((_xlfn.XMATCH(Table21215[[#This Row],[11]],Table21215[[#This Row],[1]:[11]],0))-1)/(COUNTA(Table21215[[#This Row],[1]:[11]])-COUNTBLANK(Table21215[[#This Row],[1]:[11]])-1)))</f>
        <v/>
      </c>
    </row>
    <row r="177" spans="1:35" ht="132" x14ac:dyDescent="0.2">
      <c r="A177" s="20">
        <v>165</v>
      </c>
      <c r="B177" s="165" t="s">
        <v>994</v>
      </c>
      <c r="C177" s="21" t="s">
        <v>826</v>
      </c>
      <c r="D177" s="38"/>
      <c r="E177" s="38"/>
      <c r="F177" s="159" t="s">
        <v>60</v>
      </c>
      <c r="G177" s="160" cm="1">
        <f t="array" ref="G177">_xlfn.IFS(F177="","",F177="No interest",0,F177="Nice to have",1,F177="Useful",2,F177="Important",3,F177="Very important",4,F177="Critical",5,F177="Show stopper",6)</f>
        <v>6</v>
      </c>
      <c r="H177" s="161">
        <f t="shared" si="4"/>
        <v>4.7656870532168391E-3</v>
      </c>
      <c r="I177" s="157" t="s">
        <v>827</v>
      </c>
      <c r="J177" s="35" t="str" cm="1">
        <f t="array" ref="J177">_xlfn.TEXTJOIN(","&amp;CHAR(10),,TEXT(Table21215[[#This Row],[12]:[22]],"0,00%"))</f>
        <v>0,00%,
0,00%,
0,00%,
0,00%</v>
      </c>
      <c r="K177" s="36"/>
      <c r="L177" s="37" t="e">
        <f>H177-(H177*((MATCH(Table21215[[#This Row],[Evaluators Response (SELECT)]],Table21215[[#This Row],[1]:[11]],0)-1)/(COUNTA(Table21215[[#This Row],[1]:[11]])-COUNTBLANK(Table21215[[#This Row],[1]:[11]])-1)))</f>
        <v>#N/A</v>
      </c>
      <c r="M177" s="38"/>
      <c r="N177" s="29" t="s">
        <v>828</v>
      </c>
      <c r="O177" s="29" t="s">
        <v>829</v>
      </c>
      <c r="P177" s="29" t="s">
        <v>830</v>
      </c>
      <c r="Q177" s="29" t="str" cm="1">
        <f t="array" ref="Q177">IFERROR(INDEX(_xlfn.UNIQUE(TRIM(_xlfn.TEXTSPLIT(Table21215[[#This Row],[Selection Options]:[Selection Options]],","))),,Q$11),"")</f>
        <v xml:space="preserve">
 0%: Not currently supported</v>
      </c>
      <c r="R177" s="29" t="str" cm="1">
        <f t="array" ref="R177">IFERROR(INDEX(_xlfn.UNIQUE(TRIM(_xlfn.TEXTSPLIT(Table21215[[#This Row],[Selection Options]:[Selection Options]],","))),,R$11),"")</f>
        <v/>
      </c>
      <c r="S177" s="29" t="str" cm="1">
        <f t="array" ref="S177">IFERROR(INDEX(_xlfn.UNIQUE(TRIM(_xlfn.TEXTSPLIT(Table21215[[#This Row],[Selection Options]:[Selection Options]],","))),,S$11),"")</f>
        <v/>
      </c>
      <c r="T177" s="29" t="str" cm="1">
        <f t="array" ref="T177">IFERROR(INDEX(_xlfn.UNIQUE(TRIM(_xlfn.TEXTSPLIT(Table21215[[#This Row],[Selection Options]:[Selection Options]],","))),,T$11),"")</f>
        <v/>
      </c>
      <c r="U177" s="29" t="str" cm="1">
        <f t="array" ref="U177">IFERROR(INDEX(_xlfn.UNIQUE(TRIM(_xlfn.TEXTSPLIT(Table21215[[#This Row],[Selection Options]:[Selection Options]],","))),,U$11),"")</f>
        <v/>
      </c>
      <c r="V177" s="29" t="str" cm="1">
        <f t="array" ref="V177">IFERROR(INDEX(_xlfn.UNIQUE(TRIM(_xlfn.TEXTSPLIT(Table21215[[#This Row],[Selection Options]:[Selection Options]],","))),,V$11),"")</f>
        <v/>
      </c>
      <c r="W177" s="29" t="str" cm="1">
        <f t="array" ref="W177">IFERROR(INDEX(_xlfn.UNIQUE(TRIM(_xlfn.TEXTSPLIT(Table21215[[#This Row],[Selection Options]:[Selection Options]],","))),,W$11),"")</f>
        <v/>
      </c>
      <c r="X177" s="29" t="str" cm="1">
        <f t="array" ref="X177">IFERROR(INDEX(_xlfn.UNIQUE(TRIM(_xlfn.TEXTSPLIT(Table21215[[#This Row],[Selection Options]:[Selection Options]],","))),,X$11),"")</f>
        <v/>
      </c>
      <c r="Y177" s="30" cm="1">
        <f t="array" ref="Y177">IF(Table21215[[#This Row],[1]]="","",Table21215[[#This Row],[Weight]:[Weight]]-(Table21215[[#This Row],[Weight]:[Weight]]*((_xlfn.XMATCH(Table21215[[#This Row],[1]],Table21215[[#This Row],[1]:[11]],0))-1)/(COUNTA(Table21215[[#This Row],[1]:[11]])-COUNTBLANK(Table21215[[#This Row],[1]:[11]])-1)))</f>
        <v>4.7656870532168391E-3</v>
      </c>
      <c r="Z177" s="30" cm="1">
        <f t="array" ref="Z177">IF(Table21215[[#This Row],[2]]="","",Table21215[[#This Row],[Weight]:[Weight]]-(Table21215[[#This Row],[Weight]:[Weight]]*((_xlfn.XMATCH(Table21215[[#This Row],[2]],Table21215[[#This Row],[1]:[11]],0))-1)/(COUNTA(Table21215[[#This Row],[1]:[11]])-COUNTBLANK(Table21215[[#This Row],[1]:[11]])-1)))</f>
        <v>3.1771247021445594E-3</v>
      </c>
      <c r="AA177" s="30" cm="1">
        <f t="array" ref="AA177">IF(Table21215[[#This Row],[3]]="","",Table21215[[#This Row],[Weight]:[Weight]]-(Table21215[[#This Row],[Weight]:[Weight]]*((_xlfn.XMATCH(Table21215[[#This Row],[3]],Table21215[[#This Row],[1]:[11]],0))-1)/(COUNTA(Table21215[[#This Row],[1]:[11]])-COUNTBLANK(Table21215[[#This Row],[1]:[11]])-1)))</f>
        <v>1.5885623510722797E-3</v>
      </c>
      <c r="AB177" s="30" cm="1">
        <f t="array" ref="AB177">IF(Table21215[[#This Row],[4]]="","",Table21215[[#This Row],[Weight]:[Weight]]-(Table21215[[#This Row],[Weight]:[Weight]]*((_xlfn.XMATCH(Table21215[[#This Row],[4]],Table21215[[#This Row],[1]:[11]],0))-1)/(COUNTA(Table21215[[#This Row],[1]:[11]])-COUNTBLANK(Table21215[[#This Row],[1]:[11]])-1)))</f>
        <v>0</v>
      </c>
      <c r="AC177" s="30" t="str" cm="1">
        <f t="array" ref="AC177">IF(Table21215[[#This Row],[5]]="","",Table21215[[#This Row],[Weight]:[Weight]]-(Table21215[[#This Row],[Weight]:[Weight]]*((_xlfn.XMATCH(Table21215[[#This Row],[5]],Table21215[[#This Row],[1]:[11]],0))-1)/(COUNTA(Table21215[[#This Row],[1]:[11]])-COUNTBLANK(Table21215[[#This Row],[1]:[11]])-1)))</f>
        <v/>
      </c>
      <c r="AD177" s="30" t="str" cm="1">
        <f t="array" ref="AD177">IF(Table21215[[#This Row],[6]]="","",Table21215[[#This Row],[Weight]:[Weight]]-(Table21215[[#This Row],[Weight]:[Weight]]*((_xlfn.XMATCH(Table21215[[#This Row],[6]],Table21215[[#This Row],[1]:[11]],0))-1)/(COUNTA(Table21215[[#This Row],[1]:[11]])-COUNTBLANK(Table21215[[#This Row],[1]:[11]])-1)))</f>
        <v/>
      </c>
      <c r="AE177" s="30" t="str" cm="1">
        <f t="array" ref="AE177">IF(Table21215[[#This Row],[7]]="","",Table21215[[#This Row],[Weight]:[Weight]]-(Table21215[[#This Row],[Weight]:[Weight]]*((_xlfn.XMATCH(Table21215[[#This Row],[7]],Table21215[[#This Row],[1]:[11]],0))-1)/(COUNTA(Table21215[[#This Row],[1]:[11]])-COUNTBLANK(Table21215[[#This Row],[1]:[11]])-1)))</f>
        <v/>
      </c>
      <c r="AF177" s="30" t="str" cm="1">
        <f t="array" ref="AF177">IF(Table21215[[#This Row],[8]]="","",Table21215[[#This Row],[Weight]:[Weight]]-(Table21215[[#This Row],[Weight]:[Weight]]*((_xlfn.XMATCH(Table21215[[#This Row],[8]],Table21215[[#This Row],[1]:[11]],0))-1)/(COUNTA(Table21215[[#This Row],[1]:[11]])-COUNTBLANK(Table21215[[#This Row],[1]:[11]])-1)))</f>
        <v/>
      </c>
      <c r="AG177" s="30" t="str" cm="1">
        <f t="array" ref="AG177">IF(Table21215[[#This Row],[9]]="","",Table21215[[#This Row],[Weight]:[Weight]]-(Table21215[[#This Row],[Weight]:[Weight]]*((_xlfn.XMATCH(Table21215[[#This Row],[9]],Table21215[[#This Row],[1]:[11]],0))-1)/(COUNTA(Table21215[[#This Row],[1]:[11]])-COUNTBLANK(Table21215[[#This Row],[1]:[11]])-1)))</f>
        <v/>
      </c>
      <c r="AH177" s="30" t="str" cm="1">
        <f t="array" ref="AH177">IF(Table21215[[#This Row],[10]]="","",Table21215[[#This Row],[Weight]:[Weight]]-(Table21215[[#This Row],[Weight]:[Weight]]*((_xlfn.XMATCH(Table21215[[#This Row],[10]],Table21215[[#This Row],[1]:[11]],0))-1)/(COUNTA(Table21215[[#This Row],[1]:[11]])-COUNTBLANK(Table21215[[#This Row],[1]:[11]])-1)))</f>
        <v/>
      </c>
      <c r="AI177" s="30" t="str" cm="1">
        <f t="array" ref="AI177">IF(Table21215[[#This Row],[11]]="","",Table21215[[#This Row],[Weight]:[Weight]]-(Table21215[[#This Row],[Weight]:[Weight]]*((_xlfn.XMATCH(Table21215[[#This Row],[11]],Table21215[[#This Row],[1]:[11]],0))-1)/(COUNTA(Table21215[[#This Row],[1]:[11]])-COUNTBLANK(Table21215[[#This Row],[1]:[11]])-1)))</f>
        <v/>
      </c>
    </row>
    <row r="178" spans="1:35" ht="108" x14ac:dyDescent="0.2">
      <c r="A178" s="20">
        <v>166</v>
      </c>
      <c r="B178" s="165" t="s">
        <v>995</v>
      </c>
      <c r="C178" s="21" t="s">
        <v>826</v>
      </c>
      <c r="D178" s="38"/>
      <c r="E178" s="38"/>
      <c r="F178" s="159" t="s">
        <v>60</v>
      </c>
      <c r="G178" s="160" cm="1">
        <f t="array" ref="G178">_xlfn.IFS(F178="","",F178="No interest",0,F178="Nice to have",1,F178="Useful",2,F178="Important",3,F178="Very important",4,F178="Critical",5,F178="Show stopper",6)</f>
        <v>6</v>
      </c>
      <c r="H178" s="161">
        <f t="shared" si="4"/>
        <v>4.7656870532168391E-3</v>
      </c>
      <c r="I178" s="157" t="s">
        <v>827</v>
      </c>
      <c r="J178" s="35" t="str" cm="1">
        <f t="array" ref="J178">_xlfn.TEXTJOIN(","&amp;CHAR(10),,TEXT(Table21215[[#This Row],[12]:[22]],"0,00%"))</f>
        <v>0,00%,
0,00%,
0,00%,
0,00%</v>
      </c>
      <c r="K178" s="36"/>
      <c r="L178" s="37" t="e">
        <f>H178-(H178*((MATCH(Table21215[[#This Row],[Evaluators Response (SELECT)]],Table21215[[#This Row],[1]:[11]],0)-1)/(COUNTA(Table21215[[#This Row],[1]:[11]])-COUNTBLANK(Table21215[[#This Row],[1]:[11]])-1)))</f>
        <v>#N/A</v>
      </c>
      <c r="M178" s="38"/>
      <c r="N178" s="29" t="s">
        <v>828</v>
      </c>
      <c r="O178" s="29" t="s">
        <v>829</v>
      </c>
      <c r="P178" s="29" t="s">
        <v>830</v>
      </c>
      <c r="Q178" s="29" t="str" cm="1">
        <f t="array" ref="Q178">IFERROR(INDEX(_xlfn.UNIQUE(TRIM(_xlfn.TEXTSPLIT(Table21215[[#This Row],[Selection Options]:[Selection Options]],","))),,Q$11),"")</f>
        <v xml:space="preserve">
 0%: Not currently supported</v>
      </c>
      <c r="R178" s="29" t="str" cm="1">
        <f t="array" ref="R178">IFERROR(INDEX(_xlfn.UNIQUE(TRIM(_xlfn.TEXTSPLIT(Table21215[[#This Row],[Selection Options]:[Selection Options]],","))),,R$11),"")</f>
        <v/>
      </c>
      <c r="S178" s="29" t="str" cm="1">
        <f t="array" ref="S178">IFERROR(INDEX(_xlfn.UNIQUE(TRIM(_xlfn.TEXTSPLIT(Table21215[[#This Row],[Selection Options]:[Selection Options]],","))),,S$11),"")</f>
        <v/>
      </c>
      <c r="T178" s="29" t="str" cm="1">
        <f t="array" ref="T178">IFERROR(INDEX(_xlfn.UNIQUE(TRIM(_xlfn.TEXTSPLIT(Table21215[[#This Row],[Selection Options]:[Selection Options]],","))),,T$11),"")</f>
        <v/>
      </c>
      <c r="U178" s="29" t="str" cm="1">
        <f t="array" ref="U178">IFERROR(INDEX(_xlfn.UNIQUE(TRIM(_xlfn.TEXTSPLIT(Table21215[[#This Row],[Selection Options]:[Selection Options]],","))),,U$11),"")</f>
        <v/>
      </c>
      <c r="V178" s="29" t="str" cm="1">
        <f t="array" ref="V178">IFERROR(INDEX(_xlfn.UNIQUE(TRIM(_xlfn.TEXTSPLIT(Table21215[[#This Row],[Selection Options]:[Selection Options]],","))),,V$11),"")</f>
        <v/>
      </c>
      <c r="W178" s="29" t="str" cm="1">
        <f t="array" ref="W178">IFERROR(INDEX(_xlfn.UNIQUE(TRIM(_xlfn.TEXTSPLIT(Table21215[[#This Row],[Selection Options]:[Selection Options]],","))),,W$11),"")</f>
        <v/>
      </c>
      <c r="X178" s="29" t="str" cm="1">
        <f t="array" ref="X178">IFERROR(INDEX(_xlfn.UNIQUE(TRIM(_xlfn.TEXTSPLIT(Table21215[[#This Row],[Selection Options]:[Selection Options]],","))),,X$11),"")</f>
        <v/>
      </c>
      <c r="Y178" s="30" cm="1">
        <f t="array" ref="Y178">IF(Table21215[[#This Row],[1]]="","",Table21215[[#This Row],[Weight]:[Weight]]-(Table21215[[#This Row],[Weight]:[Weight]]*((_xlfn.XMATCH(Table21215[[#This Row],[1]],Table21215[[#This Row],[1]:[11]],0))-1)/(COUNTA(Table21215[[#This Row],[1]:[11]])-COUNTBLANK(Table21215[[#This Row],[1]:[11]])-1)))</f>
        <v>4.7656870532168391E-3</v>
      </c>
      <c r="Z178" s="30" cm="1">
        <f t="array" ref="Z178">IF(Table21215[[#This Row],[2]]="","",Table21215[[#This Row],[Weight]:[Weight]]-(Table21215[[#This Row],[Weight]:[Weight]]*((_xlfn.XMATCH(Table21215[[#This Row],[2]],Table21215[[#This Row],[1]:[11]],0))-1)/(COUNTA(Table21215[[#This Row],[1]:[11]])-COUNTBLANK(Table21215[[#This Row],[1]:[11]])-1)))</f>
        <v>3.1771247021445594E-3</v>
      </c>
      <c r="AA178" s="30" cm="1">
        <f t="array" ref="AA178">IF(Table21215[[#This Row],[3]]="","",Table21215[[#This Row],[Weight]:[Weight]]-(Table21215[[#This Row],[Weight]:[Weight]]*((_xlfn.XMATCH(Table21215[[#This Row],[3]],Table21215[[#This Row],[1]:[11]],0))-1)/(COUNTA(Table21215[[#This Row],[1]:[11]])-COUNTBLANK(Table21215[[#This Row],[1]:[11]])-1)))</f>
        <v>1.5885623510722797E-3</v>
      </c>
      <c r="AB178" s="30" cm="1">
        <f t="array" ref="AB178">IF(Table21215[[#This Row],[4]]="","",Table21215[[#This Row],[Weight]:[Weight]]-(Table21215[[#This Row],[Weight]:[Weight]]*((_xlfn.XMATCH(Table21215[[#This Row],[4]],Table21215[[#This Row],[1]:[11]],0))-1)/(COUNTA(Table21215[[#This Row],[1]:[11]])-COUNTBLANK(Table21215[[#This Row],[1]:[11]])-1)))</f>
        <v>0</v>
      </c>
      <c r="AC178" s="30" t="str" cm="1">
        <f t="array" ref="AC178">IF(Table21215[[#This Row],[5]]="","",Table21215[[#This Row],[Weight]:[Weight]]-(Table21215[[#This Row],[Weight]:[Weight]]*((_xlfn.XMATCH(Table21215[[#This Row],[5]],Table21215[[#This Row],[1]:[11]],0))-1)/(COUNTA(Table21215[[#This Row],[1]:[11]])-COUNTBLANK(Table21215[[#This Row],[1]:[11]])-1)))</f>
        <v/>
      </c>
      <c r="AD178" s="30" t="str" cm="1">
        <f t="array" ref="AD178">IF(Table21215[[#This Row],[6]]="","",Table21215[[#This Row],[Weight]:[Weight]]-(Table21215[[#This Row],[Weight]:[Weight]]*((_xlfn.XMATCH(Table21215[[#This Row],[6]],Table21215[[#This Row],[1]:[11]],0))-1)/(COUNTA(Table21215[[#This Row],[1]:[11]])-COUNTBLANK(Table21215[[#This Row],[1]:[11]])-1)))</f>
        <v/>
      </c>
      <c r="AE178" s="30" t="str" cm="1">
        <f t="array" ref="AE178">IF(Table21215[[#This Row],[7]]="","",Table21215[[#This Row],[Weight]:[Weight]]-(Table21215[[#This Row],[Weight]:[Weight]]*((_xlfn.XMATCH(Table21215[[#This Row],[7]],Table21215[[#This Row],[1]:[11]],0))-1)/(COUNTA(Table21215[[#This Row],[1]:[11]])-COUNTBLANK(Table21215[[#This Row],[1]:[11]])-1)))</f>
        <v/>
      </c>
      <c r="AF178" s="30" t="str" cm="1">
        <f t="array" ref="AF178">IF(Table21215[[#This Row],[8]]="","",Table21215[[#This Row],[Weight]:[Weight]]-(Table21215[[#This Row],[Weight]:[Weight]]*((_xlfn.XMATCH(Table21215[[#This Row],[8]],Table21215[[#This Row],[1]:[11]],0))-1)/(COUNTA(Table21215[[#This Row],[1]:[11]])-COUNTBLANK(Table21215[[#This Row],[1]:[11]])-1)))</f>
        <v/>
      </c>
      <c r="AG178" s="30" t="str" cm="1">
        <f t="array" ref="AG178">IF(Table21215[[#This Row],[9]]="","",Table21215[[#This Row],[Weight]:[Weight]]-(Table21215[[#This Row],[Weight]:[Weight]]*((_xlfn.XMATCH(Table21215[[#This Row],[9]],Table21215[[#This Row],[1]:[11]],0))-1)/(COUNTA(Table21215[[#This Row],[1]:[11]])-COUNTBLANK(Table21215[[#This Row],[1]:[11]])-1)))</f>
        <v/>
      </c>
      <c r="AH178" s="30" t="str" cm="1">
        <f t="array" ref="AH178">IF(Table21215[[#This Row],[10]]="","",Table21215[[#This Row],[Weight]:[Weight]]-(Table21215[[#This Row],[Weight]:[Weight]]*((_xlfn.XMATCH(Table21215[[#This Row],[10]],Table21215[[#This Row],[1]:[11]],0))-1)/(COUNTA(Table21215[[#This Row],[1]:[11]])-COUNTBLANK(Table21215[[#This Row],[1]:[11]])-1)))</f>
        <v/>
      </c>
      <c r="AI178" s="30" t="str" cm="1">
        <f t="array" ref="AI178">IF(Table21215[[#This Row],[11]]="","",Table21215[[#This Row],[Weight]:[Weight]]-(Table21215[[#This Row],[Weight]:[Weight]]*((_xlfn.XMATCH(Table21215[[#This Row],[11]],Table21215[[#This Row],[1]:[11]],0))-1)/(COUNTA(Table21215[[#This Row],[1]:[11]])-COUNTBLANK(Table21215[[#This Row],[1]:[11]])-1)))</f>
        <v/>
      </c>
    </row>
    <row r="179" spans="1:35" ht="108" x14ac:dyDescent="0.2">
      <c r="A179" s="20">
        <v>167</v>
      </c>
      <c r="B179" s="165" t="s">
        <v>996</v>
      </c>
      <c r="C179" s="21" t="s">
        <v>826</v>
      </c>
      <c r="D179" s="38"/>
      <c r="E179" s="38"/>
      <c r="F179" s="159" t="s">
        <v>60</v>
      </c>
      <c r="G179" s="160" cm="1">
        <f t="array" ref="G179">_xlfn.IFS(F179="","",F179="No interest",0,F179="Nice to have",1,F179="Useful",2,F179="Important",3,F179="Very important",4,F179="Critical",5,F179="Show stopper",6)</f>
        <v>6</v>
      </c>
      <c r="H179" s="161">
        <f t="shared" si="4"/>
        <v>4.7656870532168391E-3</v>
      </c>
      <c r="I179" s="157" t="s">
        <v>827</v>
      </c>
      <c r="J179" s="35" t="str" cm="1">
        <f t="array" ref="J179">_xlfn.TEXTJOIN(","&amp;CHAR(10),,TEXT(Table21215[[#This Row],[12]:[22]],"0,00%"))</f>
        <v>0,00%,
0,00%,
0,00%,
0,00%</v>
      </c>
      <c r="K179" s="36"/>
      <c r="L179" s="37" t="e">
        <f>H179-(H179*((MATCH(Table21215[[#This Row],[Evaluators Response (SELECT)]],Table21215[[#This Row],[1]:[11]],0)-1)/(COUNTA(Table21215[[#This Row],[1]:[11]])-COUNTBLANK(Table21215[[#This Row],[1]:[11]])-1)))</f>
        <v>#N/A</v>
      </c>
      <c r="M179" s="38"/>
      <c r="N179" s="29" t="s">
        <v>828</v>
      </c>
      <c r="O179" s="29" t="s">
        <v>829</v>
      </c>
      <c r="P179" s="29" t="s">
        <v>830</v>
      </c>
      <c r="Q179" s="29" t="str" cm="1">
        <f t="array" ref="Q179">IFERROR(INDEX(_xlfn.UNIQUE(TRIM(_xlfn.TEXTSPLIT(Table21215[[#This Row],[Selection Options]:[Selection Options]],","))),,Q$11),"")</f>
        <v xml:space="preserve">
 0%: Not currently supported</v>
      </c>
      <c r="R179" s="29" t="str" cm="1">
        <f t="array" ref="R179">IFERROR(INDEX(_xlfn.UNIQUE(TRIM(_xlfn.TEXTSPLIT(Table21215[[#This Row],[Selection Options]:[Selection Options]],","))),,R$11),"")</f>
        <v/>
      </c>
      <c r="S179" s="29" t="str" cm="1">
        <f t="array" ref="S179">IFERROR(INDEX(_xlfn.UNIQUE(TRIM(_xlfn.TEXTSPLIT(Table21215[[#This Row],[Selection Options]:[Selection Options]],","))),,S$11),"")</f>
        <v/>
      </c>
      <c r="T179" s="29" t="str" cm="1">
        <f t="array" ref="T179">IFERROR(INDEX(_xlfn.UNIQUE(TRIM(_xlfn.TEXTSPLIT(Table21215[[#This Row],[Selection Options]:[Selection Options]],","))),,T$11),"")</f>
        <v/>
      </c>
      <c r="U179" s="29" t="str" cm="1">
        <f t="array" ref="U179">IFERROR(INDEX(_xlfn.UNIQUE(TRIM(_xlfn.TEXTSPLIT(Table21215[[#This Row],[Selection Options]:[Selection Options]],","))),,U$11),"")</f>
        <v/>
      </c>
      <c r="V179" s="29" t="str" cm="1">
        <f t="array" ref="V179">IFERROR(INDEX(_xlfn.UNIQUE(TRIM(_xlfn.TEXTSPLIT(Table21215[[#This Row],[Selection Options]:[Selection Options]],","))),,V$11),"")</f>
        <v/>
      </c>
      <c r="W179" s="29" t="str" cm="1">
        <f t="array" ref="W179">IFERROR(INDEX(_xlfn.UNIQUE(TRIM(_xlfn.TEXTSPLIT(Table21215[[#This Row],[Selection Options]:[Selection Options]],","))),,W$11),"")</f>
        <v/>
      </c>
      <c r="X179" s="29" t="str" cm="1">
        <f t="array" ref="X179">IFERROR(INDEX(_xlfn.UNIQUE(TRIM(_xlfn.TEXTSPLIT(Table21215[[#This Row],[Selection Options]:[Selection Options]],","))),,X$11),"")</f>
        <v/>
      </c>
      <c r="Y179" s="30" cm="1">
        <f t="array" ref="Y179">IF(Table21215[[#This Row],[1]]="","",Table21215[[#This Row],[Weight]:[Weight]]-(Table21215[[#This Row],[Weight]:[Weight]]*((_xlfn.XMATCH(Table21215[[#This Row],[1]],Table21215[[#This Row],[1]:[11]],0))-1)/(COUNTA(Table21215[[#This Row],[1]:[11]])-COUNTBLANK(Table21215[[#This Row],[1]:[11]])-1)))</f>
        <v>4.7656870532168391E-3</v>
      </c>
      <c r="Z179" s="30" cm="1">
        <f t="array" ref="Z179">IF(Table21215[[#This Row],[2]]="","",Table21215[[#This Row],[Weight]:[Weight]]-(Table21215[[#This Row],[Weight]:[Weight]]*((_xlfn.XMATCH(Table21215[[#This Row],[2]],Table21215[[#This Row],[1]:[11]],0))-1)/(COUNTA(Table21215[[#This Row],[1]:[11]])-COUNTBLANK(Table21215[[#This Row],[1]:[11]])-1)))</f>
        <v>3.1771247021445594E-3</v>
      </c>
      <c r="AA179" s="30" cm="1">
        <f t="array" ref="AA179">IF(Table21215[[#This Row],[3]]="","",Table21215[[#This Row],[Weight]:[Weight]]-(Table21215[[#This Row],[Weight]:[Weight]]*((_xlfn.XMATCH(Table21215[[#This Row],[3]],Table21215[[#This Row],[1]:[11]],0))-1)/(COUNTA(Table21215[[#This Row],[1]:[11]])-COUNTBLANK(Table21215[[#This Row],[1]:[11]])-1)))</f>
        <v>1.5885623510722797E-3</v>
      </c>
      <c r="AB179" s="30" cm="1">
        <f t="array" ref="AB179">IF(Table21215[[#This Row],[4]]="","",Table21215[[#This Row],[Weight]:[Weight]]-(Table21215[[#This Row],[Weight]:[Weight]]*((_xlfn.XMATCH(Table21215[[#This Row],[4]],Table21215[[#This Row],[1]:[11]],0))-1)/(COUNTA(Table21215[[#This Row],[1]:[11]])-COUNTBLANK(Table21215[[#This Row],[1]:[11]])-1)))</f>
        <v>0</v>
      </c>
      <c r="AC179" s="30" t="str" cm="1">
        <f t="array" ref="AC179">IF(Table21215[[#This Row],[5]]="","",Table21215[[#This Row],[Weight]:[Weight]]-(Table21215[[#This Row],[Weight]:[Weight]]*((_xlfn.XMATCH(Table21215[[#This Row],[5]],Table21215[[#This Row],[1]:[11]],0))-1)/(COUNTA(Table21215[[#This Row],[1]:[11]])-COUNTBLANK(Table21215[[#This Row],[1]:[11]])-1)))</f>
        <v/>
      </c>
      <c r="AD179" s="30" t="str" cm="1">
        <f t="array" ref="AD179">IF(Table21215[[#This Row],[6]]="","",Table21215[[#This Row],[Weight]:[Weight]]-(Table21215[[#This Row],[Weight]:[Weight]]*((_xlfn.XMATCH(Table21215[[#This Row],[6]],Table21215[[#This Row],[1]:[11]],0))-1)/(COUNTA(Table21215[[#This Row],[1]:[11]])-COUNTBLANK(Table21215[[#This Row],[1]:[11]])-1)))</f>
        <v/>
      </c>
      <c r="AE179" s="30" t="str" cm="1">
        <f t="array" ref="AE179">IF(Table21215[[#This Row],[7]]="","",Table21215[[#This Row],[Weight]:[Weight]]-(Table21215[[#This Row],[Weight]:[Weight]]*((_xlfn.XMATCH(Table21215[[#This Row],[7]],Table21215[[#This Row],[1]:[11]],0))-1)/(COUNTA(Table21215[[#This Row],[1]:[11]])-COUNTBLANK(Table21215[[#This Row],[1]:[11]])-1)))</f>
        <v/>
      </c>
      <c r="AF179" s="30" t="str" cm="1">
        <f t="array" ref="AF179">IF(Table21215[[#This Row],[8]]="","",Table21215[[#This Row],[Weight]:[Weight]]-(Table21215[[#This Row],[Weight]:[Weight]]*((_xlfn.XMATCH(Table21215[[#This Row],[8]],Table21215[[#This Row],[1]:[11]],0))-1)/(COUNTA(Table21215[[#This Row],[1]:[11]])-COUNTBLANK(Table21215[[#This Row],[1]:[11]])-1)))</f>
        <v/>
      </c>
      <c r="AG179" s="30" t="str" cm="1">
        <f t="array" ref="AG179">IF(Table21215[[#This Row],[9]]="","",Table21215[[#This Row],[Weight]:[Weight]]-(Table21215[[#This Row],[Weight]:[Weight]]*((_xlfn.XMATCH(Table21215[[#This Row],[9]],Table21215[[#This Row],[1]:[11]],0))-1)/(COUNTA(Table21215[[#This Row],[1]:[11]])-COUNTBLANK(Table21215[[#This Row],[1]:[11]])-1)))</f>
        <v/>
      </c>
      <c r="AH179" s="30" t="str" cm="1">
        <f t="array" ref="AH179">IF(Table21215[[#This Row],[10]]="","",Table21215[[#This Row],[Weight]:[Weight]]-(Table21215[[#This Row],[Weight]:[Weight]]*((_xlfn.XMATCH(Table21215[[#This Row],[10]],Table21215[[#This Row],[1]:[11]],0))-1)/(COUNTA(Table21215[[#This Row],[1]:[11]])-COUNTBLANK(Table21215[[#This Row],[1]:[11]])-1)))</f>
        <v/>
      </c>
      <c r="AI179" s="30" t="str" cm="1">
        <f t="array" ref="AI179">IF(Table21215[[#This Row],[11]]="","",Table21215[[#This Row],[Weight]:[Weight]]-(Table21215[[#This Row],[Weight]:[Weight]]*((_xlfn.XMATCH(Table21215[[#This Row],[11]],Table21215[[#This Row],[1]:[11]],0))-1)/(COUNTA(Table21215[[#This Row],[1]:[11]])-COUNTBLANK(Table21215[[#This Row],[1]:[11]])-1)))</f>
        <v/>
      </c>
    </row>
    <row r="180" spans="1:35" ht="108" x14ac:dyDescent="0.2">
      <c r="A180" s="20">
        <v>168</v>
      </c>
      <c r="B180" s="165" t="s">
        <v>997</v>
      </c>
      <c r="C180" s="21" t="s">
        <v>826</v>
      </c>
      <c r="D180" s="38"/>
      <c r="E180" s="38"/>
      <c r="F180" s="159" t="s">
        <v>60</v>
      </c>
      <c r="G180" s="160" cm="1">
        <f t="array" ref="G180">_xlfn.IFS(F180="","",F180="No interest",0,F180="Nice to have",1,F180="Useful",2,F180="Important",3,F180="Very important",4,F180="Critical",5,F180="Show stopper",6)</f>
        <v>6</v>
      </c>
      <c r="H180" s="161">
        <f t="shared" si="4"/>
        <v>4.7656870532168391E-3</v>
      </c>
      <c r="I180" s="157" t="s">
        <v>827</v>
      </c>
      <c r="J180" s="35" t="str" cm="1">
        <f t="array" ref="J180">_xlfn.TEXTJOIN(","&amp;CHAR(10),,TEXT(Table21215[[#This Row],[12]:[22]],"0,00%"))</f>
        <v>0,00%,
0,00%,
0,00%,
0,00%</v>
      </c>
      <c r="K180" s="36"/>
      <c r="L180" s="37" t="e">
        <f>H180-(H180*((MATCH(Table21215[[#This Row],[Evaluators Response (SELECT)]],Table21215[[#This Row],[1]:[11]],0)-1)/(COUNTA(Table21215[[#This Row],[1]:[11]])-COUNTBLANK(Table21215[[#This Row],[1]:[11]])-1)))</f>
        <v>#N/A</v>
      </c>
      <c r="M180" s="38"/>
      <c r="N180" s="29" t="s">
        <v>828</v>
      </c>
      <c r="O180" s="29" t="s">
        <v>829</v>
      </c>
      <c r="P180" s="29" t="s">
        <v>830</v>
      </c>
      <c r="Q180" s="29" t="str" cm="1">
        <f t="array" ref="Q180">IFERROR(INDEX(_xlfn.UNIQUE(TRIM(_xlfn.TEXTSPLIT(Table21215[[#This Row],[Selection Options]:[Selection Options]],","))),,Q$11),"")</f>
        <v xml:space="preserve">
 0%: Not currently supported</v>
      </c>
      <c r="R180" s="29" t="str" cm="1">
        <f t="array" ref="R180">IFERROR(INDEX(_xlfn.UNIQUE(TRIM(_xlfn.TEXTSPLIT(Table21215[[#This Row],[Selection Options]:[Selection Options]],","))),,R$11),"")</f>
        <v/>
      </c>
      <c r="S180" s="29" t="str" cm="1">
        <f t="array" ref="S180">IFERROR(INDEX(_xlfn.UNIQUE(TRIM(_xlfn.TEXTSPLIT(Table21215[[#This Row],[Selection Options]:[Selection Options]],","))),,S$11),"")</f>
        <v/>
      </c>
      <c r="T180" s="29" t="str" cm="1">
        <f t="array" ref="T180">IFERROR(INDEX(_xlfn.UNIQUE(TRIM(_xlfn.TEXTSPLIT(Table21215[[#This Row],[Selection Options]:[Selection Options]],","))),,T$11),"")</f>
        <v/>
      </c>
      <c r="U180" s="29" t="str" cm="1">
        <f t="array" ref="U180">IFERROR(INDEX(_xlfn.UNIQUE(TRIM(_xlfn.TEXTSPLIT(Table21215[[#This Row],[Selection Options]:[Selection Options]],","))),,U$11),"")</f>
        <v/>
      </c>
      <c r="V180" s="29" t="str" cm="1">
        <f t="array" ref="V180">IFERROR(INDEX(_xlfn.UNIQUE(TRIM(_xlfn.TEXTSPLIT(Table21215[[#This Row],[Selection Options]:[Selection Options]],","))),,V$11),"")</f>
        <v/>
      </c>
      <c r="W180" s="29" t="str" cm="1">
        <f t="array" ref="W180">IFERROR(INDEX(_xlfn.UNIQUE(TRIM(_xlfn.TEXTSPLIT(Table21215[[#This Row],[Selection Options]:[Selection Options]],","))),,W$11),"")</f>
        <v/>
      </c>
      <c r="X180" s="29" t="str" cm="1">
        <f t="array" ref="X180">IFERROR(INDEX(_xlfn.UNIQUE(TRIM(_xlfn.TEXTSPLIT(Table21215[[#This Row],[Selection Options]:[Selection Options]],","))),,X$11),"")</f>
        <v/>
      </c>
      <c r="Y180" s="30" cm="1">
        <f t="array" ref="Y180">IF(Table21215[[#This Row],[1]]="","",Table21215[[#This Row],[Weight]:[Weight]]-(Table21215[[#This Row],[Weight]:[Weight]]*((_xlfn.XMATCH(Table21215[[#This Row],[1]],Table21215[[#This Row],[1]:[11]],0))-1)/(COUNTA(Table21215[[#This Row],[1]:[11]])-COUNTBLANK(Table21215[[#This Row],[1]:[11]])-1)))</f>
        <v>4.7656870532168391E-3</v>
      </c>
      <c r="Z180" s="30" cm="1">
        <f t="array" ref="Z180">IF(Table21215[[#This Row],[2]]="","",Table21215[[#This Row],[Weight]:[Weight]]-(Table21215[[#This Row],[Weight]:[Weight]]*((_xlfn.XMATCH(Table21215[[#This Row],[2]],Table21215[[#This Row],[1]:[11]],0))-1)/(COUNTA(Table21215[[#This Row],[1]:[11]])-COUNTBLANK(Table21215[[#This Row],[1]:[11]])-1)))</f>
        <v>3.1771247021445594E-3</v>
      </c>
      <c r="AA180" s="30" cm="1">
        <f t="array" ref="AA180">IF(Table21215[[#This Row],[3]]="","",Table21215[[#This Row],[Weight]:[Weight]]-(Table21215[[#This Row],[Weight]:[Weight]]*((_xlfn.XMATCH(Table21215[[#This Row],[3]],Table21215[[#This Row],[1]:[11]],0))-1)/(COUNTA(Table21215[[#This Row],[1]:[11]])-COUNTBLANK(Table21215[[#This Row],[1]:[11]])-1)))</f>
        <v>1.5885623510722797E-3</v>
      </c>
      <c r="AB180" s="30" cm="1">
        <f t="array" ref="AB180">IF(Table21215[[#This Row],[4]]="","",Table21215[[#This Row],[Weight]:[Weight]]-(Table21215[[#This Row],[Weight]:[Weight]]*((_xlfn.XMATCH(Table21215[[#This Row],[4]],Table21215[[#This Row],[1]:[11]],0))-1)/(COUNTA(Table21215[[#This Row],[1]:[11]])-COUNTBLANK(Table21215[[#This Row],[1]:[11]])-1)))</f>
        <v>0</v>
      </c>
      <c r="AC180" s="30" t="str" cm="1">
        <f t="array" ref="AC180">IF(Table21215[[#This Row],[5]]="","",Table21215[[#This Row],[Weight]:[Weight]]-(Table21215[[#This Row],[Weight]:[Weight]]*((_xlfn.XMATCH(Table21215[[#This Row],[5]],Table21215[[#This Row],[1]:[11]],0))-1)/(COUNTA(Table21215[[#This Row],[1]:[11]])-COUNTBLANK(Table21215[[#This Row],[1]:[11]])-1)))</f>
        <v/>
      </c>
      <c r="AD180" s="30" t="str" cm="1">
        <f t="array" ref="AD180">IF(Table21215[[#This Row],[6]]="","",Table21215[[#This Row],[Weight]:[Weight]]-(Table21215[[#This Row],[Weight]:[Weight]]*((_xlfn.XMATCH(Table21215[[#This Row],[6]],Table21215[[#This Row],[1]:[11]],0))-1)/(COUNTA(Table21215[[#This Row],[1]:[11]])-COUNTBLANK(Table21215[[#This Row],[1]:[11]])-1)))</f>
        <v/>
      </c>
      <c r="AE180" s="30" t="str" cm="1">
        <f t="array" ref="AE180">IF(Table21215[[#This Row],[7]]="","",Table21215[[#This Row],[Weight]:[Weight]]-(Table21215[[#This Row],[Weight]:[Weight]]*((_xlfn.XMATCH(Table21215[[#This Row],[7]],Table21215[[#This Row],[1]:[11]],0))-1)/(COUNTA(Table21215[[#This Row],[1]:[11]])-COUNTBLANK(Table21215[[#This Row],[1]:[11]])-1)))</f>
        <v/>
      </c>
      <c r="AF180" s="30" t="str" cm="1">
        <f t="array" ref="AF180">IF(Table21215[[#This Row],[8]]="","",Table21215[[#This Row],[Weight]:[Weight]]-(Table21215[[#This Row],[Weight]:[Weight]]*((_xlfn.XMATCH(Table21215[[#This Row],[8]],Table21215[[#This Row],[1]:[11]],0))-1)/(COUNTA(Table21215[[#This Row],[1]:[11]])-COUNTBLANK(Table21215[[#This Row],[1]:[11]])-1)))</f>
        <v/>
      </c>
      <c r="AG180" s="30" t="str" cm="1">
        <f t="array" ref="AG180">IF(Table21215[[#This Row],[9]]="","",Table21215[[#This Row],[Weight]:[Weight]]-(Table21215[[#This Row],[Weight]:[Weight]]*((_xlfn.XMATCH(Table21215[[#This Row],[9]],Table21215[[#This Row],[1]:[11]],0))-1)/(COUNTA(Table21215[[#This Row],[1]:[11]])-COUNTBLANK(Table21215[[#This Row],[1]:[11]])-1)))</f>
        <v/>
      </c>
      <c r="AH180" s="30" t="str" cm="1">
        <f t="array" ref="AH180">IF(Table21215[[#This Row],[10]]="","",Table21215[[#This Row],[Weight]:[Weight]]-(Table21215[[#This Row],[Weight]:[Weight]]*((_xlfn.XMATCH(Table21215[[#This Row],[10]],Table21215[[#This Row],[1]:[11]],0))-1)/(COUNTA(Table21215[[#This Row],[1]:[11]])-COUNTBLANK(Table21215[[#This Row],[1]:[11]])-1)))</f>
        <v/>
      </c>
      <c r="AI180" s="30" t="str" cm="1">
        <f t="array" ref="AI180">IF(Table21215[[#This Row],[11]]="","",Table21215[[#This Row],[Weight]:[Weight]]-(Table21215[[#This Row],[Weight]:[Weight]]*((_xlfn.XMATCH(Table21215[[#This Row],[11]],Table21215[[#This Row],[1]:[11]],0))-1)/(COUNTA(Table21215[[#This Row],[1]:[11]])-COUNTBLANK(Table21215[[#This Row],[1]:[11]])-1)))</f>
        <v/>
      </c>
    </row>
    <row r="181" spans="1:35" ht="108" x14ac:dyDescent="0.2">
      <c r="A181" s="20">
        <v>169</v>
      </c>
      <c r="B181" s="165" t="s">
        <v>998</v>
      </c>
      <c r="C181" s="21" t="s">
        <v>826</v>
      </c>
      <c r="D181" s="38"/>
      <c r="E181" s="38"/>
      <c r="F181" s="159" t="s">
        <v>60</v>
      </c>
      <c r="G181" s="160" cm="1">
        <f t="array" ref="G181">_xlfn.IFS(F181="","",F181="No interest",0,F181="Nice to have",1,F181="Useful",2,F181="Important",3,F181="Very important",4,F181="Critical",5,F181="Show stopper",6)</f>
        <v>6</v>
      </c>
      <c r="H181" s="161">
        <f t="shared" si="4"/>
        <v>4.7656870532168391E-3</v>
      </c>
      <c r="I181" s="157" t="s">
        <v>827</v>
      </c>
      <c r="J181" s="35" t="str" cm="1">
        <f t="array" ref="J181">_xlfn.TEXTJOIN(","&amp;CHAR(10),,TEXT(Table21215[[#This Row],[12]:[22]],"0,00%"))</f>
        <v>0,00%,
0,00%,
0,00%,
0,00%</v>
      </c>
      <c r="K181" s="36"/>
      <c r="L181" s="37" t="e">
        <f>H181-(H181*((MATCH(Table21215[[#This Row],[Evaluators Response (SELECT)]],Table21215[[#This Row],[1]:[11]],0)-1)/(COUNTA(Table21215[[#This Row],[1]:[11]])-COUNTBLANK(Table21215[[#This Row],[1]:[11]])-1)))</f>
        <v>#N/A</v>
      </c>
      <c r="M181" s="38"/>
      <c r="N181" s="29" t="s">
        <v>828</v>
      </c>
      <c r="O181" s="29" t="s">
        <v>829</v>
      </c>
      <c r="P181" s="29" t="s">
        <v>830</v>
      </c>
      <c r="Q181" s="29" t="str" cm="1">
        <f t="array" ref="Q181">IFERROR(INDEX(_xlfn.UNIQUE(TRIM(_xlfn.TEXTSPLIT(Table21215[[#This Row],[Selection Options]:[Selection Options]],","))),,Q$11),"")</f>
        <v xml:space="preserve">
 0%: Not currently supported</v>
      </c>
      <c r="R181" s="29" t="str" cm="1">
        <f t="array" ref="R181">IFERROR(INDEX(_xlfn.UNIQUE(TRIM(_xlfn.TEXTSPLIT(Table21215[[#This Row],[Selection Options]:[Selection Options]],","))),,R$11),"")</f>
        <v/>
      </c>
      <c r="S181" s="29" t="str" cm="1">
        <f t="array" ref="S181">IFERROR(INDEX(_xlfn.UNIQUE(TRIM(_xlfn.TEXTSPLIT(Table21215[[#This Row],[Selection Options]:[Selection Options]],","))),,S$11),"")</f>
        <v/>
      </c>
      <c r="T181" s="29" t="str" cm="1">
        <f t="array" ref="T181">IFERROR(INDEX(_xlfn.UNIQUE(TRIM(_xlfn.TEXTSPLIT(Table21215[[#This Row],[Selection Options]:[Selection Options]],","))),,T$11),"")</f>
        <v/>
      </c>
      <c r="U181" s="29" t="str" cm="1">
        <f t="array" ref="U181">IFERROR(INDEX(_xlfn.UNIQUE(TRIM(_xlfn.TEXTSPLIT(Table21215[[#This Row],[Selection Options]:[Selection Options]],","))),,U$11),"")</f>
        <v/>
      </c>
      <c r="V181" s="29" t="str" cm="1">
        <f t="array" ref="V181">IFERROR(INDEX(_xlfn.UNIQUE(TRIM(_xlfn.TEXTSPLIT(Table21215[[#This Row],[Selection Options]:[Selection Options]],","))),,V$11),"")</f>
        <v/>
      </c>
      <c r="W181" s="29" t="str" cm="1">
        <f t="array" ref="W181">IFERROR(INDEX(_xlfn.UNIQUE(TRIM(_xlfn.TEXTSPLIT(Table21215[[#This Row],[Selection Options]:[Selection Options]],","))),,W$11),"")</f>
        <v/>
      </c>
      <c r="X181" s="29" t="str" cm="1">
        <f t="array" ref="X181">IFERROR(INDEX(_xlfn.UNIQUE(TRIM(_xlfn.TEXTSPLIT(Table21215[[#This Row],[Selection Options]:[Selection Options]],","))),,X$11),"")</f>
        <v/>
      </c>
      <c r="Y181" s="30" cm="1">
        <f t="array" ref="Y181">IF(Table21215[[#This Row],[1]]="","",Table21215[[#This Row],[Weight]:[Weight]]-(Table21215[[#This Row],[Weight]:[Weight]]*((_xlfn.XMATCH(Table21215[[#This Row],[1]],Table21215[[#This Row],[1]:[11]],0))-1)/(COUNTA(Table21215[[#This Row],[1]:[11]])-COUNTBLANK(Table21215[[#This Row],[1]:[11]])-1)))</f>
        <v>4.7656870532168391E-3</v>
      </c>
      <c r="Z181" s="30" cm="1">
        <f t="array" ref="Z181">IF(Table21215[[#This Row],[2]]="","",Table21215[[#This Row],[Weight]:[Weight]]-(Table21215[[#This Row],[Weight]:[Weight]]*((_xlfn.XMATCH(Table21215[[#This Row],[2]],Table21215[[#This Row],[1]:[11]],0))-1)/(COUNTA(Table21215[[#This Row],[1]:[11]])-COUNTBLANK(Table21215[[#This Row],[1]:[11]])-1)))</f>
        <v>3.1771247021445594E-3</v>
      </c>
      <c r="AA181" s="30" cm="1">
        <f t="array" ref="AA181">IF(Table21215[[#This Row],[3]]="","",Table21215[[#This Row],[Weight]:[Weight]]-(Table21215[[#This Row],[Weight]:[Weight]]*((_xlfn.XMATCH(Table21215[[#This Row],[3]],Table21215[[#This Row],[1]:[11]],0))-1)/(COUNTA(Table21215[[#This Row],[1]:[11]])-COUNTBLANK(Table21215[[#This Row],[1]:[11]])-1)))</f>
        <v>1.5885623510722797E-3</v>
      </c>
      <c r="AB181" s="30" cm="1">
        <f t="array" ref="AB181">IF(Table21215[[#This Row],[4]]="","",Table21215[[#This Row],[Weight]:[Weight]]-(Table21215[[#This Row],[Weight]:[Weight]]*((_xlfn.XMATCH(Table21215[[#This Row],[4]],Table21215[[#This Row],[1]:[11]],0))-1)/(COUNTA(Table21215[[#This Row],[1]:[11]])-COUNTBLANK(Table21215[[#This Row],[1]:[11]])-1)))</f>
        <v>0</v>
      </c>
      <c r="AC181" s="30" t="str" cm="1">
        <f t="array" ref="AC181">IF(Table21215[[#This Row],[5]]="","",Table21215[[#This Row],[Weight]:[Weight]]-(Table21215[[#This Row],[Weight]:[Weight]]*((_xlfn.XMATCH(Table21215[[#This Row],[5]],Table21215[[#This Row],[1]:[11]],0))-1)/(COUNTA(Table21215[[#This Row],[1]:[11]])-COUNTBLANK(Table21215[[#This Row],[1]:[11]])-1)))</f>
        <v/>
      </c>
      <c r="AD181" s="30" t="str" cm="1">
        <f t="array" ref="AD181">IF(Table21215[[#This Row],[6]]="","",Table21215[[#This Row],[Weight]:[Weight]]-(Table21215[[#This Row],[Weight]:[Weight]]*((_xlfn.XMATCH(Table21215[[#This Row],[6]],Table21215[[#This Row],[1]:[11]],0))-1)/(COUNTA(Table21215[[#This Row],[1]:[11]])-COUNTBLANK(Table21215[[#This Row],[1]:[11]])-1)))</f>
        <v/>
      </c>
      <c r="AE181" s="30" t="str" cm="1">
        <f t="array" ref="AE181">IF(Table21215[[#This Row],[7]]="","",Table21215[[#This Row],[Weight]:[Weight]]-(Table21215[[#This Row],[Weight]:[Weight]]*((_xlfn.XMATCH(Table21215[[#This Row],[7]],Table21215[[#This Row],[1]:[11]],0))-1)/(COUNTA(Table21215[[#This Row],[1]:[11]])-COUNTBLANK(Table21215[[#This Row],[1]:[11]])-1)))</f>
        <v/>
      </c>
      <c r="AF181" s="30" t="str" cm="1">
        <f t="array" ref="AF181">IF(Table21215[[#This Row],[8]]="","",Table21215[[#This Row],[Weight]:[Weight]]-(Table21215[[#This Row],[Weight]:[Weight]]*((_xlfn.XMATCH(Table21215[[#This Row],[8]],Table21215[[#This Row],[1]:[11]],0))-1)/(COUNTA(Table21215[[#This Row],[1]:[11]])-COUNTBLANK(Table21215[[#This Row],[1]:[11]])-1)))</f>
        <v/>
      </c>
      <c r="AG181" s="30" t="str" cm="1">
        <f t="array" ref="AG181">IF(Table21215[[#This Row],[9]]="","",Table21215[[#This Row],[Weight]:[Weight]]-(Table21215[[#This Row],[Weight]:[Weight]]*((_xlfn.XMATCH(Table21215[[#This Row],[9]],Table21215[[#This Row],[1]:[11]],0))-1)/(COUNTA(Table21215[[#This Row],[1]:[11]])-COUNTBLANK(Table21215[[#This Row],[1]:[11]])-1)))</f>
        <v/>
      </c>
      <c r="AH181" s="30" t="str" cm="1">
        <f t="array" ref="AH181">IF(Table21215[[#This Row],[10]]="","",Table21215[[#This Row],[Weight]:[Weight]]-(Table21215[[#This Row],[Weight]:[Weight]]*((_xlfn.XMATCH(Table21215[[#This Row],[10]],Table21215[[#This Row],[1]:[11]],0))-1)/(COUNTA(Table21215[[#This Row],[1]:[11]])-COUNTBLANK(Table21215[[#This Row],[1]:[11]])-1)))</f>
        <v/>
      </c>
      <c r="AI181" s="30" t="str" cm="1">
        <f t="array" ref="AI181">IF(Table21215[[#This Row],[11]]="","",Table21215[[#This Row],[Weight]:[Weight]]-(Table21215[[#This Row],[Weight]:[Weight]]*((_xlfn.XMATCH(Table21215[[#This Row],[11]],Table21215[[#This Row],[1]:[11]],0))-1)/(COUNTA(Table21215[[#This Row],[1]:[11]])-COUNTBLANK(Table21215[[#This Row],[1]:[11]])-1)))</f>
        <v/>
      </c>
    </row>
    <row r="182" spans="1:35" ht="108" x14ac:dyDescent="0.2">
      <c r="A182" s="20">
        <v>170</v>
      </c>
      <c r="B182" s="165" t="s">
        <v>999</v>
      </c>
      <c r="C182" s="21" t="s">
        <v>826</v>
      </c>
      <c r="D182" s="38"/>
      <c r="E182" s="38"/>
      <c r="F182" s="159" t="s">
        <v>60</v>
      </c>
      <c r="G182" s="160" cm="1">
        <f t="array" ref="G182">_xlfn.IFS(F182="","",F182="No interest",0,F182="Nice to have",1,F182="Useful",2,F182="Important",3,F182="Very important",4,F182="Critical",5,F182="Show stopper",6)</f>
        <v>6</v>
      </c>
      <c r="H182" s="161">
        <f t="shared" si="4"/>
        <v>4.7656870532168391E-3</v>
      </c>
      <c r="I182" s="157" t="s">
        <v>827</v>
      </c>
      <c r="J182" s="35" t="str" cm="1">
        <f t="array" ref="J182">_xlfn.TEXTJOIN(","&amp;CHAR(10),,TEXT(Table21215[[#This Row],[12]:[22]],"0,00%"))</f>
        <v>0,00%,
0,00%,
0,00%,
0,00%</v>
      </c>
      <c r="K182" s="36"/>
      <c r="L182" s="37" t="e">
        <f>H182-(H182*((MATCH(Table21215[[#This Row],[Evaluators Response (SELECT)]],Table21215[[#This Row],[1]:[11]],0)-1)/(COUNTA(Table21215[[#This Row],[1]:[11]])-COUNTBLANK(Table21215[[#This Row],[1]:[11]])-1)))</f>
        <v>#N/A</v>
      </c>
      <c r="M182" s="38"/>
      <c r="N182" s="29" t="s">
        <v>828</v>
      </c>
      <c r="O182" s="29" t="s">
        <v>829</v>
      </c>
      <c r="P182" s="29" t="s">
        <v>830</v>
      </c>
      <c r="Q182" s="29" t="str" cm="1">
        <f t="array" ref="Q182">IFERROR(INDEX(_xlfn.UNIQUE(TRIM(_xlfn.TEXTSPLIT(Table21215[[#This Row],[Selection Options]:[Selection Options]],","))),,Q$11),"")</f>
        <v xml:space="preserve">
 0%: Not currently supported</v>
      </c>
      <c r="R182" s="29" t="str" cm="1">
        <f t="array" ref="R182">IFERROR(INDEX(_xlfn.UNIQUE(TRIM(_xlfn.TEXTSPLIT(Table21215[[#This Row],[Selection Options]:[Selection Options]],","))),,R$11),"")</f>
        <v/>
      </c>
      <c r="S182" s="29" t="str" cm="1">
        <f t="array" ref="S182">IFERROR(INDEX(_xlfn.UNIQUE(TRIM(_xlfn.TEXTSPLIT(Table21215[[#This Row],[Selection Options]:[Selection Options]],","))),,S$11),"")</f>
        <v/>
      </c>
      <c r="T182" s="29" t="str" cm="1">
        <f t="array" ref="T182">IFERROR(INDEX(_xlfn.UNIQUE(TRIM(_xlfn.TEXTSPLIT(Table21215[[#This Row],[Selection Options]:[Selection Options]],","))),,T$11),"")</f>
        <v/>
      </c>
      <c r="U182" s="29" t="str" cm="1">
        <f t="array" ref="U182">IFERROR(INDEX(_xlfn.UNIQUE(TRIM(_xlfn.TEXTSPLIT(Table21215[[#This Row],[Selection Options]:[Selection Options]],","))),,U$11),"")</f>
        <v/>
      </c>
      <c r="V182" s="29" t="str" cm="1">
        <f t="array" ref="V182">IFERROR(INDEX(_xlfn.UNIQUE(TRIM(_xlfn.TEXTSPLIT(Table21215[[#This Row],[Selection Options]:[Selection Options]],","))),,V$11),"")</f>
        <v/>
      </c>
      <c r="W182" s="29" t="str" cm="1">
        <f t="array" ref="W182">IFERROR(INDEX(_xlfn.UNIQUE(TRIM(_xlfn.TEXTSPLIT(Table21215[[#This Row],[Selection Options]:[Selection Options]],","))),,W$11),"")</f>
        <v/>
      </c>
      <c r="X182" s="29" t="str" cm="1">
        <f t="array" ref="X182">IFERROR(INDEX(_xlfn.UNIQUE(TRIM(_xlfn.TEXTSPLIT(Table21215[[#This Row],[Selection Options]:[Selection Options]],","))),,X$11),"")</f>
        <v/>
      </c>
      <c r="Y182" s="30" cm="1">
        <f t="array" ref="Y182">IF(Table21215[[#This Row],[1]]="","",Table21215[[#This Row],[Weight]:[Weight]]-(Table21215[[#This Row],[Weight]:[Weight]]*((_xlfn.XMATCH(Table21215[[#This Row],[1]],Table21215[[#This Row],[1]:[11]],0))-1)/(COUNTA(Table21215[[#This Row],[1]:[11]])-COUNTBLANK(Table21215[[#This Row],[1]:[11]])-1)))</f>
        <v>4.7656870532168391E-3</v>
      </c>
      <c r="Z182" s="30" cm="1">
        <f t="array" ref="Z182">IF(Table21215[[#This Row],[2]]="","",Table21215[[#This Row],[Weight]:[Weight]]-(Table21215[[#This Row],[Weight]:[Weight]]*((_xlfn.XMATCH(Table21215[[#This Row],[2]],Table21215[[#This Row],[1]:[11]],0))-1)/(COUNTA(Table21215[[#This Row],[1]:[11]])-COUNTBLANK(Table21215[[#This Row],[1]:[11]])-1)))</f>
        <v>3.1771247021445594E-3</v>
      </c>
      <c r="AA182" s="30" cm="1">
        <f t="array" ref="AA182">IF(Table21215[[#This Row],[3]]="","",Table21215[[#This Row],[Weight]:[Weight]]-(Table21215[[#This Row],[Weight]:[Weight]]*((_xlfn.XMATCH(Table21215[[#This Row],[3]],Table21215[[#This Row],[1]:[11]],0))-1)/(COUNTA(Table21215[[#This Row],[1]:[11]])-COUNTBLANK(Table21215[[#This Row],[1]:[11]])-1)))</f>
        <v>1.5885623510722797E-3</v>
      </c>
      <c r="AB182" s="30" cm="1">
        <f t="array" ref="AB182">IF(Table21215[[#This Row],[4]]="","",Table21215[[#This Row],[Weight]:[Weight]]-(Table21215[[#This Row],[Weight]:[Weight]]*((_xlfn.XMATCH(Table21215[[#This Row],[4]],Table21215[[#This Row],[1]:[11]],0))-1)/(COUNTA(Table21215[[#This Row],[1]:[11]])-COUNTBLANK(Table21215[[#This Row],[1]:[11]])-1)))</f>
        <v>0</v>
      </c>
      <c r="AC182" s="30" t="str" cm="1">
        <f t="array" ref="AC182">IF(Table21215[[#This Row],[5]]="","",Table21215[[#This Row],[Weight]:[Weight]]-(Table21215[[#This Row],[Weight]:[Weight]]*((_xlfn.XMATCH(Table21215[[#This Row],[5]],Table21215[[#This Row],[1]:[11]],0))-1)/(COUNTA(Table21215[[#This Row],[1]:[11]])-COUNTBLANK(Table21215[[#This Row],[1]:[11]])-1)))</f>
        <v/>
      </c>
      <c r="AD182" s="30" t="str" cm="1">
        <f t="array" ref="AD182">IF(Table21215[[#This Row],[6]]="","",Table21215[[#This Row],[Weight]:[Weight]]-(Table21215[[#This Row],[Weight]:[Weight]]*((_xlfn.XMATCH(Table21215[[#This Row],[6]],Table21215[[#This Row],[1]:[11]],0))-1)/(COUNTA(Table21215[[#This Row],[1]:[11]])-COUNTBLANK(Table21215[[#This Row],[1]:[11]])-1)))</f>
        <v/>
      </c>
      <c r="AE182" s="30" t="str" cm="1">
        <f t="array" ref="AE182">IF(Table21215[[#This Row],[7]]="","",Table21215[[#This Row],[Weight]:[Weight]]-(Table21215[[#This Row],[Weight]:[Weight]]*((_xlfn.XMATCH(Table21215[[#This Row],[7]],Table21215[[#This Row],[1]:[11]],0))-1)/(COUNTA(Table21215[[#This Row],[1]:[11]])-COUNTBLANK(Table21215[[#This Row],[1]:[11]])-1)))</f>
        <v/>
      </c>
      <c r="AF182" s="30" t="str" cm="1">
        <f t="array" ref="AF182">IF(Table21215[[#This Row],[8]]="","",Table21215[[#This Row],[Weight]:[Weight]]-(Table21215[[#This Row],[Weight]:[Weight]]*((_xlfn.XMATCH(Table21215[[#This Row],[8]],Table21215[[#This Row],[1]:[11]],0))-1)/(COUNTA(Table21215[[#This Row],[1]:[11]])-COUNTBLANK(Table21215[[#This Row],[1]:[11]])-1)))</f>
        <v/>
      </c>
      <c r="AG182" s="30" t="str" cm="1">
        <f t="array" ref="AG182">IF(Table21215[[#This Row],[9]]="","",Table21215[[#This Row],[Weight]:[Weight]]-(Table21215[[#This Row],[Weight]:[Weight]]*((_xlfn.XMATCH(Table21215[[#This Row],[9]],Table21215[[#This Row],[1]:[11]],0))-1)/(COUNTA(Table21215[[#This Row],[1]:[11]])-COUNTBLANK(Table21215[[#This Row],[1]:[11]])-1)))</f>
        <v/>
      </c>
      <c r="AH182" s="30" t="str" cm="1">
        <f t="array" ref="AH182">IF(Table21215[[#This Row],[10]]="","",Table21215[[#This Row],[Weight]:[Weight]]-(Table21215[[#This Row],[Weight]:[Weight]]*((_xlfn.XMATCH(Table21215[[#This Row],[10]],Table21215[[#This Row],[1]:[11]],0))-1)/(COUNTA(Table21215[[#This Row],[1]:[11]])-COUNTBLANK(Table21215[[#This Row],[1]:[11]])-1)))</f>
        <v/>
      </c>
      <c r="AI182" s="30" t="str" cm="1">
        <f t="array" ref="AI182">IF(Table21215[[#This Row],[11]]="","",Table21215[[#This Row],[Weight]:[Weight]]-(Table21215[[#This Row],[Weight]:[Weight]]*((_xlfn.XMATCH(Table21215[[#This Row],[11]],Table21215[[#This Row],[1]:[11]],0))-1)/(COUNTA(Table21215[[#This Row],[1]:[11]])-COUNTBLANK(Table21215[[#This Row],[1]:[11]])-1)))</f>
        <v/>
      </c>
    </row>
    <row r="183" spans="1:35" ht="108" x14ac:dyDescent="0.2">
      <c r="A183" s="20">
        <v>171</v>
      </c>
      <c r="B183" s="165" t="s">
        <v>1000</v>
      </c>
      <c r="C183" s="21" t="s">
        <v>826</v>
      </c>
      <c r="D183" s="38"/>
      <c r="E183" s="38"/>
      <c r="F183" s="159" t="s">
        <v>60</v>
      </c>
      <c r="G183" s="160" cm="1">
        <f t="array" ref="G183">_xlfn.IFS(F183="","",F183="No interest",0,F183="Nice to have",1,F183="Useful",2,F183="Important",3,F183="Very important",4,F183="Critical",5,F183="Show stopper",6)</f>
        <v>6</v>
      </c>
      <c r="H183" s="161">
        <f t="shared" si="4"/>
        <v>4.7656870532168391E-3</v>
      </c>
      <c r="I183" s="157" t="s">
        <v>827</v>
      </c>
      <c r="J183" s="35" t="str" cm="1">
        <f t="array" ref="J183">_xlfn.TEXTJOIN(","&amp;CHAR(10),,TEXT(Table21215[[#This Row],[12]:[22]],"0,00%"))</f>
        <v>0,00%,
0,00%,
0,00%,
0,00%</v>
      </c>
      <c r="K183" s="36"/>
      <c r="L183" s="37" t="e">
        <f>H183-(H183*((MATCH(Table21215[[#This Row],[Evaluators Response (SELECT)]],Table21215[[#This Row],[1]:[11]],0)-1)/(COUNTA(Table21215[[#This Row],[1]:[11]])-COUNTBLANK(Table21215[[#This Row],[1]:[11]])-1)))</f>
        <v>#N/A</v>
      </c>
      <c r="M183" s="38"/>
      <c r="N183" s="29" t="s">
        <v>828</v>
      </c>
      <c r="O183" s="29" t="s">
        <v>829</v>
      </c>
      <c r="P183" s="29" t="s">
        <v>830</v>
      </c>
      <c r="Q183" s="29" t="str" cm="1">
        <f t="array" ref="Q183">IFERROR(INDEX(_xlfn.UNIQUE(TRIM(_xlfn.TEXTSPLIT(Table21215[[#This Row],[Selection Options]:[Selection Options]],","))),,Q$11),"")</f>
        <v xml:space="preserve">
 0%: Not currently supported</v>
      </c>
      <c r="R183" s="29" t="str" cm="1">
        <f t="array" ref="R183">IFERROR(INDEX(_xlfn.UNIQUE(TRIM(_xlfn.TEXTSPLIT(Table21215[[#This Row],[Selection Options]:[Selection Options]],","))),,R$11),"")</f>
        <v/>
      </c>
      <c r="S183" s="29" t="str" cm="1">
        <f t="array" ref="S183">IFERROR(INDEX(_xlfn.UNIQUE(TRIM(_xlfn.TEXTSPLIT(Table21215[[#This Row],[Selection Options]:[Selection Options]],","))),,S$11),"")</f>
        <v/>
      </c>
      <c r="T183" s="29" t="str" cm="1">
        <f t="array" ref="T183">IFERROR(INDEX(_xlfn.UNIQUE(TRIM(_xlfn.TEXTSPLIT(Table21215[[#This Row],[Selection Options]:[Selection Options]],","))),,T$11),"")</f>
        <v/>
      </c>
      <c r="U183" s="29" t="str" cm="1">
        <f t="array" ref="U183">IFERROR(INDEX(_xlfn.UNIQUE(TRIM(_xlfn.TEXTSPLIT(Table21215[[#This Row],[Selection Options]:[Selection Options]],","))),,U$11),"")</f>
        <v/>
      </c>
      <c r="V183" s="29" t="str" cm="1">
        <f t="array" ref="V183">IFERROR(INDEX(_xlfn.UNIQUE(TRIM(_xlfn.TEXTSPLIT(Table21215[[#This Row],[Selection Options]:[Selection Options]],","))),,V$11),"")</f>
        <v/>
      </c>
      <c r="W183" s="29" t="str" cm="1">
        <f t="array" ref="W183">IFERROR(INDEX(_xlfn.UNIQUE(TRIM(_xlfn.TEXTSPLIT(Table21215[[#This Row],[Selection Options]:[Selection Options]],","))),,W$11),"")</f>
        <v/>
      </c>
      <c r="X183" s="29" t="str" cm="1">
        <f t="array" ref="X183">IFERROR(INDEX(_xlfn.UNIQUE(TRIM(_xlfn.TEXTSPLIT(Table21215[[#This Row],[Selection Options]:[Selection Options]],","))),,X$11),"")</f>
        <v/>
      </c>
      <c r="Y183" s="30" cm="1">
        <f t="array" ref="Y183">IF(Table21215[[#This Row],[1]]="","",Table21215[[#This Row],[Weight]:[Weight]]-(Table21215[[#This Row],[Weight]:[Weight]]*((_xlfn.XMATCH(Table21215[[#This Row],[1]],Table21215[[#This Row],[1]:[11]],0))-1)/(COUNTA(Table21215[[#This Row],[1]:[11]])-COUNTBLANK(Table21215[[#This Row],[1]:[11]])-1)))</f>
        <v>4.7656870532168391E-3</v>
      </c>
      <c r="Z183" s="30" cm="1">
        <f t="array" ref="Z183">IF(Table21215[[#This Row],[2]]="","",Table21215[[#This Row],[Weight]:[Weight]]-(Table21215[[#This Row],[Weight]:[Weight]]*((_xlfn.XMATCH(Table21215[[#This Row],[2]],Table21215[[#This Row],[1]:[11]],0))-1)/(COUNTA(Table21215[[#This Row],[1]:[11]])-COUNTBLANK(Table21215[[#This Row],[1]:[11]])-1)))</f>
        <v>3.1771247021445594E-3</v>
      </c>
      <c r="AA183" s="30" cm="1">
        <f t="array" ref="AA183">IF(Table21215[[#This Row],[3]]="","",Table21215[[#This Row],[Weight]:[Weight]]-(Table21215[[#This Row],[Weight]:[Weight]]*((_xlfn.XMATCH(Table21215[[#This Row],[3]],Table21215[[#This Row],[1]:[11]],0))-1)/(COUNTA(Table21215[[#This Row],[1]:[11]])-COUNTBLANK(Table21215[[#This Row],[1]:[11]])-1)))</f>
        <v>1.5885623510722797E-3</v>
      </c>
      <c r="AB183" s="30" cm="1">
        <f t="array" ref="AB183">IF(Table21215[[#This Row],[4]]="","",Table21215[[#This Row],[Weight]:[Weight]]-(Table21215[[#This Row],[Weight]:[Weight]]*((_xlfn.XMATCH(Table21215[[#This Row],[4]],Table21215[[#This Row],[1]:[11]],0))-1)/(COUNTA(Table21215[[#This Row],[1]:[11]])-COUNTBLANK(Table21215[[#This Row],[1]:[11]])-1)))</f>
        <v>0</v>
      </c>
      <c r="AC183" s="30" t="str" cm="1">
        <f t="array" ref="AC183">IF(Table21215[[#This Row],[5]]="","",Table21215[[#This Row],[Weight]:[Weight]]-(Table21215[[#This Row],[Weight]:[Weight]]*((_xlfn.XMATCH(Table21215[[#This Row],[5]],Table21215[[#This Row],[1]:[11]],0))-1)/(COUNTA(Table21215[[#This Row],[1]:[11]])-COUNTBLANK(Table21215[[#This Row],[1]:[11]])-1)))</f>
        <v/>
      </c>
      <c r="AD183" s="30" t="str" cm="1">
        <f t="array" ref="AD183">IF(Table21215[[#This Row],[6]]="","",Table21215[[#This Row],[Weight]:[Weight]]-(Table21215[[#This Row],[Weight]:[Weight]]*((_xlfn.XMATCH(Table21215[[#This Row],[6]],Table21215[[#This Row],[1]:[11]],0))-1)/(COUNTA(Table21215[[#This Row],[1]:[11]])-COUNTBLANK(Table21215[[#This Row],[1]:[11]])-1)))</f>
        <v/>
      </c>
      <c r="AE183" s="30" t="str" cm="1">
        <f t="array" ref="AE183">IF(Table21215[[#This Row],[7]]="","",Table21215[[#This Row],[Weight]:[Weight]]-(Table21215[[#This Row],[Weight]:[Weight]]*((_xlfn.XMATCH(Table21215[[#This Row],[7]],Table21215[[#This Row],[1]:[11]],0))-1)/(COUNTA(Table21215[[#This Row],[1]:[11]])-COUNTBLANK(Table21215[[#This Row],[1]:[11]])-1)))</f>
        <v/>
      </c>
      <c r="AF183" s="30" t="str" cm="1">
        <f t="array" ref="AF183">IF(Table21215[[#This Row],[8]]="","",Table21215[[#This Row],[Weight]:[Weight]]-(Table21215[[#This Row],[Weight]:[Weight]]*((_xlfn.XMATCH(Table21215[[#This Row],[8]],Table21215[[#This Row],[1]:[11]],0))-1)/(COUNTA(Table21215[[#This Row],[1]:[11]])-COUNTBLANK(Table21215[[#This Row],[1]:[11]])-1)))</f>
        <v/>
      </c>
      <c r="AG183" s="30" t="str" cm="1">
        <f t="array" ref="AG183">IF(Table21215[[#This Row],[9]]="","",Table21215[[#This Row],[Weight]:[Weight]]-(Table21215[[#This Row],[Weight]:[Weight]]*((_xlfn.XMATCH(Table21215[[#This Row],[9]],Table21215[[#This Row],[1]:[11]],0))-1)/(COUNTA(Table21215[[#This Row],[1]:[11]])-COUNTBLANK(Table21215[[#This Row],[1]:[11]])-1)))</f>
        <v/>
      </c>
      <c r="AH183" s="30" t="str" cm="1">
        <f t="array" ref="AH183">IF(Table21215[[#This Row],[10]]="","",Table21215[[#This Row],[Weight]:[Weight]]-(Table21215[[#This Row],[Weight]:[Weight]]*((_xlfn.XMATCH(Table21215[[#This Row],[10]],Table21215[[#This Row],[1]:[11]],0))-1)/(COUNTA(Table21215[[#This Row],[1]:[11]])-COUNTBLANK(Table21215[[#This Row],[1]:[11]])-1)))</f>
        <v/>
      </c>
      <c r="AI183" s="30" t="str" cm="1">
        <f t="array" ref="AI183">IF(Table21215[[#This Row],[11]]="","",Table21215[[#This Row],[Weight]:[Weight]]-(Table21215[[#This Row],[Weight]:[Weight]]*((_xlfn.XMATCH(Table21215[[#This Row],[11]],Table21215[[#This Row],[1]:[11]],0))-1)/(COUNTA(Table21215[[#This Row],[1]:[11]])-COUNTBLANK(Table21215[[#This Row],[1]:[11]])-1)))</f>
        <v/>
      </c>
    </row>
    <row r="184" spans="1:35" ht="108" x14ac:dyDescent="0.2">
      <c r="A184" s="20">
        <v>172</v>
      </c>
      <c r="B184" s="165" t="s">
        <v>1001</v>
      </c>
      <c r="C184" s="21" t="s">
        <v>826</v>
      </c>
      <c r="D184" s="38"/>
      <c r="E184" s="38"/>
      <c r="F184" s="159" t="s">
        <v>60</v>
      </c>
      <c r="G184" s="160" cm="1">
        <f t="array" ref="G184">_xlfn.IFS(F184="","",F184="No interest",0,F184="Nice to have",1,F184="Useful",2,F184="Important",3,F184="Very important",4,F184="Critical",5,F184="Show stopper",6)</f>
        <v>6</v>
      </c>
      <c r="H184" s="161">
        <f t="shared" si="4"/>
        <v>4.7656870532168391E-3</v>
      </c>
      <c r="I184" s="157" t="s">
        <v>827</v>
      </c>
      <c r="J184" s="35" t="str" cm="1">
        <f t="array" ref="J184">_xlfn.TEXTJOIN(","&amp;CHAR(10),,TEXT(Table21215[[#This Row],[12]:[22]],"0,00%"))</f>
        <v>0,00%,
0,00%,
0,00%,
0,00%</v>
      </c>
      <c r="K184" s="36"/>
      <c r="L184" s="37" t="e">
        <f>H184-(H184*((MATCH(Table21215[[#This Row],[Evaluators Response (SELECT)]],Table21215[[#This Row],[1]:[11]],0)-1)/(COUNTA(Table21215[[#This Row],[1]:[11]])-COUNTBLANK(Table21215[[#This Row],[1]:[11]])-1)))</f>
        <v>#N/A</v>
      </c>
      <c r="M184" s="38"/>
      <c r="N184" s="29" t="s">
        <v>828</v>
      </c>
      <c r="O184" s="29" t="s">
        <v>829</v>
      </c>
      <c r="P184" s="29" t="s">
        <v>830</v>
      </c>
      <c r="Q184" s="29" t="str" cm="1">
        <f t="array" ref="Q184">IFERROR(INDEX(_xlfn.UNIQUE(TRIM(_xlfn.TEXTSPLIT(Table21215[[#This Row],[Selection Options]:[Selection Options]],","))),,Q$11),"")</f>
        <v xml:space="preserve">
 0%: Not currently supported</v>
      </c>
      <c r="R184" s="29" t="str" cm="1">
        <f t="array" ref="R184">IFERROR(INDEX(_xlfn.UNIQUE(TRIM(_xlfn.TEXTSPLIT(Table21215[[#This Row],[Selection Options]:[Selection Options]],","))),,R$11),"")</f>
        <v/>
      </c>
      <c r="S184" s="29" t="str" cm="1">
        <f t="array" ref="S184">IFERROR(INDEX(_xlfn.UNIQUE(TRIM(_xlfn.TEXTSPLIT(Table21215[[#This Row],[Selection Options]:[Selection Options]],","))),,S$11),"")</f>
        <v/>
      </c>
      <c r="T184" s="29" t="str" cm="1">
        <f t="array" ref="T184">IFERROR(INDEX(_xlfn.UNIQUE(TRIM(_xlfn.TEXTSPLIT(Table21215[[#This Row],[Selection Options]:[Selection Options]],","))),,T$11),"")</f>
        <v/>
      </c>
      <c r="U184" s="29" t="str" cm="1">
        <f t="array" ref="U184">IFERROR(INDEX(_xlfn.UNIQUE(TRIM(_xlfn.TEXTSPLIT(Table21215[[#This Row],[Selection Options]:[Selection Options]],","))),,U$11),"")</f>
        <v/>
      </c>
      <c r="V184" s="29" t="str" cm="1">
        <f t="array" ref="V184">IFERROR(INDEX(_xlfn.UNIQUE(TRIM(_xlfn.TEXTSPLIT(Table21215[[#This Row],[Selection Options]:[Selection Options]],","))),,V$11),"")</f>
        <v/>
      </c>
      <c r="W184" s="29" t="str" cm="1">
        <f t="array" ref="W184">IFERROR(INDEX(_xlfn.UNIQUE(TRIM(_xlfn.TEXTSPLIT(Table21215[[#This Row],[Selection Options]:[Selection Options]],","))),,W$11),"")</f>
        <v/>
      </c>
      <c r="X184" s="29" t="str" cm="1">
        <f t="array" ref="X184">IFERROR(INDEX(_xlfn.UNIQUE(TRIM(_xlfn.TEXTSPLIT(Table21215[[#This Row],[Selection Options]:[Selection Options]],","))),,X$11),"")</f>
        <v/>
      </c>
      <c r="Y184" s="30" cm="1">
        <f t="array" ref="Y184">IF(Table21215[[#This Row],[1]]="","",Table21215[[#This Row],[Weight]:[Weight]]-(Table21215[[#This Row],[Weight]:[Weight]]*((_xlfn.XMATCH(Table21215[[#This Row],[1]],Table21215[[#This Row],[1]:[11]],0))-1)/(COUNTA(Table21215[[#This Row],[1]:[11]])-COUNTBLANK(Table21215[[#This Row],[1]:[11]])-1)))</f>
        <v>4.7656870532168391E-3</v>
      </c>
      <c r="Z184" s="30" cm="1">
        <f t="array" ref="Z184">IF(Table21215[[#This Row],[2]]="","",Table21215[[#This Row],[Weight]:[Weight]]-(Table21215[[#This Row],[Weight]:[Weight]]*((_xlfn.XMATCH(Table21215[[#This Row],[2]],Table21215[[#This Row],[1]:[11]],0))-1)/(COUNTA(Table21215[[#This Row],[1]:[11]])-COUNTBLANK(Table21215[[#This Row],[1]:[11]])-1)))</f>
        <v>3.1771247021445594E-3</v>
      </c>
      <c r="AA184" s="30" cm="1">
        <f t="array" ref="AA184">IF(Table21215[[#This Row],[3]]="","",Table21215[[#This Row],[Weight]:[Weight]]-(Table21215[[#This Row],[Weight]:[Weight]]*((_xlfn.XMATCH(Table21215[[#This Row],[3]],Table21215[[#This Row],[1]:[11]],0))-1)/(COUNTA(Table21215[[#This Row],[1]:[11]])-COUNTBLANK(Table21215[[#This Row],[1]:[11]])-1)))</f>
        <v>1.5885623510722797E-3</v>
      </c>
      <c r="AB184" s="30" cm="1">
        <f t="array" ref="AB184">IF(Table21215[[#This Row],[4]]="","",Table21215[[#This Row],[Weight]:[Weight]]-(Table21215[[#This Row],[Weight]:[Weight]]*((_xlfn.XMATCH(Table21215[[#This Row],[4]],Table21215[[#This Row],[1]:[11]],0))-1)/(COUNTA(Table21215[[#This Row],[1]:[11]])-COUNTBLANK(Table21215[[#This Row],[1]:[11]])-1)))</f>
        <v>0</v>
      </c>
      <c r="AC184" s="30" t="str" cm="1">
        <f t="array" ref="AC184">IF(Table21215[[#This Row],[5]]="","",Table21215[[#This Row],[Weight]:[Weight]]-(Table21215[[#This Row],[Weight]:[Weight]]*((_xlfn.XMATCH(Table21215[[#This Row],[5]],Table21215[[#This Row],[1]:[11]],0))-1)/(COUNTA(Table21215[[#This Row],[1]:[11]])-COUNTBLANK(Table21215[[#This Row],[1]:[11]])-1)))</f>
        <v/>
      </c>
      <c r="AD184" s="30" t="str" cm="1">
        <f t="array" ref="AD184">IF(Table21215[[#This Row],[6]]="","",Table21215[[#This Row],[Weight]:[Weight]]-(Table21215[[#This Row],[Weight]:[Weight]]*((_xlfn.XMATCH(Table21215[[#This Row],[6]],Table21215[[#This Row],[1]:[11]],0))-1)/(COUNTA(Table21215[[#This Row],[1]:[11]])-COUNTBLANK(Table21215[[#This Row],[1]:[11]])-1)))</f>
        <v/>
      </c>
      <c r="AE184" s="30" t="str" cm="1">
        <f t="array" ref="AE184">IF(Table21215[[#This Row],[7]]="","",Table21215[[#This Row],[Weight]:[Weight]]-(Table21215[[#This Row],[Weight]:[Weight]]*((_xlfn.XMATCH(Table21215[[#This Row],[7]],Table21215[[#This Row],[1]:[11]],0))-1)/(COUNTA(Table21215[[#This Row],[1]:[11]])-COUNTBLANK(Table21215[[#This Row],[1]:[11]])-1)))</f>
        <v/>
      </c>
      <c r="AF184" s="30" t="str" cm="1">
        <f t="array" ref="AF184">IF(Table21215[[#This Row],[8]]="","",Table21215[[#This Row],[Weight]:[Weight]]-(Table21215[[#This Row],[Weight]:[Weight]]*((_xlfn.XMATCH(Table21215[[#This Row],[8]],Table21215[[#This Row],[1]:[11]],0))-1)/(COUNTA(Table21215[[#This Row],[1]:[11]])-COUNTBLANK(Table21215[[#This Row],[1]:[11]])-1)))</f>
        <v/>
      </c>
      <c r="AG184" s="30" t="str" cm="1">
        <f t="array" ref="AG184">IF(Table21215[[#This Row],[9]]="","",Table21215[[#This Row],[Weight]:[Weight]]-(Table21215[[#This Row],[Weight]:[Weight]]*((_xlfn.XMATCH(Table21215[[#This Row],[9]],Table21215[[#This Row],[1]:[11]],0))-1)/(COUNTA(Table21215[[#This Row],[1]:[11]])-COUNTBLANK(Table21215[[#This Row],[1]:[11]])-1)))</f>
        <v/>
      </c>
      <c r="AH184" s="30" t="str" cm="1">
        <f t="array" ref="AH184">IF(Table21215[[#This Row],[10]]="","",Table21215[[#This Row],[Weight]:[Weight]]-(Table21215[[#This Row],[Weight]:[Weight]]*((_xlfn.XMATCH(Table21215[[#This Row],[10]],Table21215[[#This Row],[1]:[11]],0))-1)/(COUNTA(Table21215[[#This Row],[1]:[11]])-COUNTBLANK(Table21215[[#This Row],[1]:[11]])-1)))</f>
        <v/>
      </c>
      <c r="AI184" s="30" t="str" cm="1">
        <f t="array" ref="AI184">IF(Table21215[[#This Row],[11]]="","",Table21215[[#This Row],[Weight]:[Weight]]-(Table21215[[#This Row],[Weight]:[Weight]]*((_xlfn.XMATCH(Table21215[[#This Row],[11]],Table21215[[#This Row],[1]:[11]],0))-1)/(COUNTA(Table21215[[#This Row],[1]:[11]])-COUNTBLANK(Table21215[[#This Row],[1]:[11]])-1)))</f>
        <v/>
      </c>
    </row>
    <row r="185" spans="1:35" ht="108" x14ac:dyDescent="0.2">
      <c r="A185" s="20">
        <v>173</v>
      </c>
      <c r="B185" s="165" t="s">
        <v>1002</v>
      </c>
      <c r="C185" s="21" t="s">
        <v>826</v>
      </c>
      <c r="D185" s="38"/>
      <c r="E185" s="38"/>
      <c r="F185" s="159" t="s">
        <v>60</v>
      </c>
      <c r="G185" s="160" cm="1">
        <f t="array" ref="G185">_xlfn.IFS(F185="","",F185="No interest",0,F185="Nice to have",1,F185="Useful",2,F185="Important",3,F185="Very important",4,F185="Critical",5,F185="Show stopper",6)</f>
        <v>6</v>
      </c>
      <c r="H185" s="161">
        <f t="shared" si="4"/>
        <v>4.7656870532168391E-3</v>
      </c>
      <c r="I185" s="157" t="s">
        <v>827</v>
      </c>
      <c r="J185" s="35" t="str" cm="1">
        <f t="array" ref="J185">_xlfn.TEXTJOIN(","&amp;CHAR(10),,TEXT(Table21215[[#This Row],[12]:[22]],"0,00%"))</f>
        <v>0,00%,
0,00%,
0,00%,
0,00%</v>
      </c>
      <c r="K185" s="36"/>
      <c r="L185" s="37" t="e">
        <f>H185-(H185*((MATCH(Table21215[[#This Row],[Evaluators Response (SELECT)]],Table21215[[#This Row],[1]:[11]],0)-1)/(COUNTA(Table21215[[#This Row],[1]:[11]])-COUNTBLANK(Table21215[[#This Row],[1]:[11]])-1)))</f>
        <v>#N/A</v>
      </c>
      <c r="M185" s="38"/>
      <c r="N185" s="29" t="s">
        <v>828</v>
      </c>
      <c r="O185" s="29" t="s">
        <v>829</v>
      </c>
      <c r="P185" s="29" t="s">
        <v>830</v>
      </c>
      <c r="Q185" s="29" t="str" cm="1">
        <f t="array" ref="Q185">IFERROR(INDEX(_xlfn.UNIQUE(TRIM(_xlfn.TEXTSPLIT(Table21215[[#This Row],[Selection Options]:[Selection Options]],","))),,Q$11),"")</f>
        <v xml:space="preserve">
 0%: Not currently supported</v>
      </c>
      <c r="R185" s="29" t="str" cm="1">
        <f t="array" ref="R185">IFERROR(INDEX(_xlfn.UNIQUE(TRIM(_xlfn.TEXTSPLIT(Table21215[[#This Row],[Selection Options]:[Selection Options]],","))),,R$11),"")</f>
        <v/>
      </c>
      <c r="S185" s="29" t="str" cm="1">
        <f t="array" ref="S185">IFERROR(INDEX(_xlfn.UNIQUE(TRIM(_xlfn.TEXTSPLIT(Table21215[[#This Row],[Selection Options]:[Selection Options]],","))),,S$11),"")</f>
        <v/>
      </c>
      <c r="T185" s="29" t="str" cm="1">
        <f t="array" ref="T185">IFERROR(INDEX(_xlfn.UNIQUE(TRIM(_xlfn.TEXTSPLIT(Table21215[[#This Row],[Selection Options]:[Selection Options]],","))),,T$11),"")</f>
        <v/>
      </c>
      <c r="U185" s="29" t="str" cm="1">
        <f t="array" ref="U185">IFERROR(INDEX(_xlfn.UNIQUE(TRIM(_xlfn.TEXTSPLIT(Table21215[[#This Row],[Selection Options]:[Selection Options]],","))),,U$11),"")</f>
        <v/>
      </c>
      <c r="V185" s="29" t="str" cm="1">
        <f t="array" ref="V185">IFERROR(INDEX(_xlfn.UNIQUE(TRIM(_xlfn.TEXTSPLIT(Table21215[[#This Row],[Selection Options]:[Selection Options]],","))),,V$11),"")</f>
        <v/>
      </c>
      <c r="W185" s="29" t="str" cm="1">
        <f t="array" ref="W185">IFERROR(INDEX(_xlfn.UNIQUE(TRIM(_xlfn.TEXTSPLIT(Table21215[[#This Row],[Selection Options]:[Selection Options]],","))),,W$11),"")</f>
        <v/>
      </c>
      <c r="X185" s="29" t="str" cm="1">
        <f t="array" ref="X185">IFERROR(INDEX(_xlfn.UNIQUE(TRIM(_xlfn.TEXTSPLIT(Table21215[[#This Row],[Selection Options]:[Selection Options]],","))),,X$11),"")</f>
        <v/>
      </c>
      <c r="Y185" s="30" cm="1">
        <f t="array" ref="Y185">IF(Table21215[[#This Row],[1]]="","",Table21215[[#This Row],[Weight]:[Weight]]-(Table21215[[#This Row],[Weight]:[Weight]]*((_xlfn.XMATCH(Table21215[[#This Row],[1]],Table21215[[#This Row],[1]:[11]],0))-1)/(COUNTA(Table21215[[#This Row],[1]:[11]])-COUNTBLANK(Table21215[[#This Row],[1]:[11]])-1)))</f>
        <v>4.7656870532168391E-3</v>
      </c>
      <c r="Z185" s="30" cm="1">
        <f t="array" ref="Z185">IF(Table21215[[#This Row],[2]]="","",Table21215[[#This Row],[Weight]:[Weight]]-(Table21215[[#This Row],[Weight]:[Weight]]*((_xlfn.XMATCH(Table21215[[#This Row],[2]],Table21215[[#This Row],[1]:[11]],0))-1)/(COUNTA(Table21215[[#This Row],[1]:[11]])-COUNTBLANK(Table21215[[#This Row],[1]:[11]])-1)))</f>
        <v>3.1771247021445594E-3</v>
      </c>
      <c r="AA185" s="30" cm="1">
        <f t="array" ref="AA185">IF(Table21215[[#This Row],[3]]="","",Table21215[[#This Row],[Weight]:[Weight]]-(Table21215[[#This Row],[Weight]:[Weight]]*((_xlfn.XMATCH(Table21215[[#This Row],[3]],Table21215[[#This Row],[1]:[11]],0))-1)/(COUNTA(Table21215[[#This Row],[1]:[11]])-COUNTBLANK(Table21215[[#This Row],[1]:[11]])-1)))</f>
        <v>1.5885623510722797E-3</v>
      </c>
      <c r="AB185" s="30" cm="1">
        <f t="array" ref="AB185">IF(Table21215[[#This Row],[4]]="","",Table21215[[#This Row],[Weight]:[Weight]]-(Table21215[[#This Row],[Weight]:[Weight]]*((_xlfn.XMATCH(Table21215[[#This Row],[4]],Table21215[[#This Row],[1]:[11]],0))-1)/(COUNTA(Table21215[[#This Row],[1]:[11]])-COUNTBLANK(Table21215[[#This Row],[1]:[11]])-1)))</f>
        <v>0</v>
      </c>
      <c r="AC185" s="30" t="str" cm="1">
        <f t="array" ref="AC185">IF(Table21215[[#This Row],[5]]="","",Table21215[[#This Row],[Weight]:[Weight]]-(Table21215[[#This Row],[Weight]:[Weight]]*((_xlfn.XMATCH(Table21215[[#This Row],[5]],Table21215[[#This Row],[1]:[11]],0))-1)/(COUNTA(Table21215[[#This Row],[1]:[11]])-COUNTBLANK(Table21215[[#This Row],[1]:[11]])-1)))</f>
        <v/>
      </c>
      <c r="AD185" s="30" t="str" cm="1">
        <f t="array" ref="AD185">IF(Table21215[[#This Row],[6]]="","",Table21215[[#This Row],[Weight]:[Weight]]-(Table21215[[#This Row],[Weight]:[Weight]]*((_xlfn.XMATCH(Table21215[[#This Row],[6]],Table21215[[#This Row],[1]:[11]],0))-1)/(COUNTA(Table21215[[#This Row],[1]:[11]])-COUNTBLANK(Table21215[[#This Row],[1]:[11]])-1)))</f>
        <v/>
      </c>
      <c r="AE185" s="30" t="str" cm="1">
        <f t="array" ref="AE185">IF(Table21215[[#This Row],[7]]="","",Table21215[[#This Row],[Weight]:[Weight]]-(Table21215[[#This Row],[Weight]:[Weight]]*((_xlfn.XMATCH(Table21215[[#This Row],[7]],Table21215[[#This Row],[1]:[11]],0))-1)/(COUNTA(Table21215[[#This Row],[1]:[11]])-COUNTBLANK(Table21215[[#This Row],[1]:[11]])-1)))</f>
        <v/>
      </c>
      <c r="AF185" s="30" t="str" cm="1">
        <f t="array" ref="AF185">IF(Table21215[[#This Row],[8]]="","",Table21215[[#This Row],[Weight]:[Weight]]-(Table21215[[#This Row],[Weight]:[Weight]]*((_xlfn.XMATCH(Table21215[[#This Row],[8]],Table21215[[#This Row],[1]:[11]],0))-1)/(COUNTA(Table21215[[#This Row],[1]:[11]])-COUNTBLANK(Table21215[[#This Row],[1]:[11]])-1)))</f>
        <v/>
      </c>
      <c r="AG185" s="30" t="str" cm="1">
        <f t="array" ref="AG185">IF(Table21215[[#This Row],[9]]="","",Table21215[[#This Row],[Weight]:[Weight]]-(Table21215[[#This Row],[Weight]:[Weight]]*((_xlfn.XMATCH(Table21215[[#This Row],[9]],Table21215[[#This Row],[1]:[11]],0))-1)/(COUNTA(Table21215[[#This Row],[1]:[11]])-COUNTBLANK(Table21215[[#This Row],[1]:[11]])-1)))</f>
        <v/>
      </c>
      <c r="AH185" s="30" t="str" cm="1">
        <f t="array" ref="AH185">IF(Table21215[[#This Row],[10]]="","",Table21215[[#This Row],[Weight]:[Weight]]-(Table21215[[#This Row],[Weight]:[Weight]]*((_xlfn.XMATCH(Table21215[[#This Row],[10]],Table21215[[#This Row],[1]:[11]],0))-1)/(COUNTA(Table21215[[#This Row],[1]:[11]])-COUNTBLANK(Table21215[[#This Row],[1]:[11]])-1)))</f>
        <v/>
      </c>
      <c r="AI185" s="30" t="str" cm="1">
        <f t="array" ref="AI185">IF(Table21215[[#This Row],[11]]="","",Table21215[[#This Row],[Weight]:[Weight]]-(Table21215[[#This Row],[Weight]:[Weight]]*((_xlfn.XMATCH(Table21215[[#This Row],[11]],Table21215[[#This Row],[1]:[11]],0))-1)/(COUNTA(Table21215[[#This Row],[1]:[11]])-COUNTBLANK(Table21215[[#This Row],[1]:[11]])-1)))</f>
        <v/>
      </c>
    </row>
    <row r="186" spans="1:35" ht="108" x14ac:dyDescent="0.2">
      <c r="A186" s="20">
        <v>174</v>
      </c>
      <c r="B186" s="165" t="s">
        <v>1003</v>
      </c>
      <c r="C186" s="21" t="s">
        <v>826</v>
      </c>
      <c r="D186" s="38"/>
      <c r="E186" s="38"/>
      <c r="F186" s="159" t="s">
        <v>60</v>
      </c>
      <c r="G186" s="160" cm="1">
        <f t="array" ref="G186">_xlfn.IFS(F186="","",F186="No interest",0,F186="Nice to have",1,F186="Useful",2,F186="Important",3,F186="Very important",4,F186="Critical",5,F186="Show stopper",6)</f>
        <v>6</v>
      </c>
      <c r="H186" s="161">
        <f t="shared" si="4"/>
        <v>4.7656870532168391E-3</v>
      </c>
      <c r="I186" s="157" t="s">
        <v>827</v>
      </c>
      <c r="J186" s="35" t="str" cm="1">
        <f t="array" ref="J186">_xlfn.TEXTJOIN(","&amp;CHAR(10),,TEXT(Table21215[[#This Row],[12]:[22]],"0,00%"))</f>
        <v>0,00%,
0,00%,
0,00%,
0,00%</v>
      </c>
      <c r="K186" s="36"/>
      <c r="L186" s="37" t="e">
        <f>H186-(H186*((MATCH(Table21215[[#This Row],[Evaluators Response (SELECT)]],Table21215[[#This Row],[1]:[11]],0)-1)/(COUNTA(Table21215[[#This Row],[1]:[11]])-COUNTBLANK(Table21215[[#This Row],[1]:[11]])-1)))</f>
        <v>#N/A</v>
      </c>
      <c r="M186" s="38"/>
      <c r="N186" s="29" t="s">
        <v>828</v>
      </c>
      <c r="O186" s="29" t="s">
        <v>829</v>
      </c>
      <c r="P186" s="29" t="s">
        <v>830</v>
      </c>
      <c r="Q186" s="29" t="str" cm="1">
        <f t="array" ref="Q186">IFERROR(INDEX(_xlfn.UNIQUE(TRIM(_xlfn.TEXTSPLIT(Table21215[[#This Row],[Selection Options]:[Selection Options]],","))),,Q$11),"")</f>
        <v xml:space="preserve">
 0%: Not currently supported</v>
      </c>
      <c r="R186" s="29" t="str" cm="1">
        <f t="array" ref="R186">IFERROR(INDEX(_xlfn.UNIQUE(TRIM(_xlfn.TEXTSPLIT(Table21215[[#This Row],[Selection Options]:[Selection Options]],","))),,R$11),"")</f>
        <v/>
      </c>
      <c r="S186" s="29" t="str" cm="1">
        <f t="array" ref="S186">IFERROR(INDEX(_xlfn.UNIQUE(TRIM(_xlfn.TEXTSPLIT(Table21215[[#This Row],[Selection Options]:[Selection Options]],","))),,S$11),"")</f>
        <v/>
      </c>
      <c r="T186" s="29" t="str" cm="1">
        <f t="array" ref="T186">IFERROR(INDEX(_xlfn.UNIQUE(TRIM(_xlfn.TEXTSPLIT(Table21215[[#This Row],[Selection Options]:[Selection Options]],","))),,T$11),"")</f>
        <v/>
      </c>
      <c r="U186" s="29" t="str" cm="1">
        <f t="array" ref="U186">IFERROR(INDEX(_xlfn.UNIQUE(TRIM(_xlfn.TEXTSPLIT(Table21215[[#This Row],[Selection Options]:[Selection Options]],","))),,U$11),"")</f>
        <v/>
      </c>
      <c r="V186" s="29" t="str" cm="1">
        <f t="array" ref="V186">IFERROR(INDEX(_xlfn.UNIQUE(TRIM(_xlfn.TEXTSPLIT(Table21215[[#This Row],[Selection Options]:[Selection Options]],","))),,V$11),"")</f>
        <v/>
      </c>
      <c r="W186" s="29" t="str" cm="1">
        <f t="array" ref="W186">IFERROR(INDEX(_xlfn.UNIQUE(TRIM(_xlfn.TEXTSPLIT(Table21215[[#This Row],[Selection Options]:[Selection Options]],","))),,W$11),"")</f>
        <v/>
      </c>
      <c r="X186" s="29" t="str" cm="1">
        <f t="array" ref="X186">IFERROR(INDEX(_xlfn.UNIQUE(TRIM(_xlfn.TEXTSPLIT(Table21215[[#This Row],[Selection Options]:[Selection Options]],","))),,X$11),"")</f>
        <v/>
      </c>
      <c r="Y186" s="30" cm="1">
        <f t="array" ref="Y186">IF(Table21215[[#This Row],[1]]="","",Table21215[[#This Row],[Weight]:[Weight]]-(Table21215[[#This Row],[Weight]:[Weight]]*((_xlfn.XMATCH(Table21215[[#This Row],[1]],Table21215[[#This Row],[1]:[11]],0))-1)/(COUNTA(Table21215[[#This Row],[1]:[11]])-COUNTBLANK(Table21215[[#This Row],[1]:[11]])-1)))</f>
        <v>4.7656870532168391E-3</v>
      </c>
      <c r="Z186" s="30" cm="1">
        <f t="array" ref="Z186">IF(Table21215[[#This Row],[2]]="","",Table21215[[#This Row],[Weight]:[Weight]]-(Table21215[[#This Row],[Weight]:[Weight]]*((_xlfn.XMATCH(Table21215[[#This Row],[2]],Table21215[[#This Row],[1]:[11]],0))-1)/(COUNTA(Table21215[[#This Row],[1]:[11]])-COUNTBLANK(Table21215[[#This Row],[1]:[11]])-1)))</f>
        <v>3.1771247021445594E-3</v>
      </c>
      <c r="AA186" s="30" cm="1">
        <f t="array" ref="AA186">IF(Table21215[[#This Row],[3]]="","",Table21215[[#This Row],[Weight]:[Weight]]-(Table21215[[#This Row],[Weight]:[Weight]]*((_xlfn.XMATCH(Table21215[[#This Row],[3]],Table21215[[#This Row],[1]:[11]],0))-1)/(COUNTA(Table21215[[#This Row],[1]:[11]])-COUNTBLANK(Table21215[[#This Row],[1]:[11]])-1)))</f>
        <v>1.5885623510722797E-3</v>
      </c>
      <c r="AB186" s="30" cm="1">
        <f t="array" ref="AB186">IF(Table21215[[#This Row],[4]]="","",Table21215[[#This Row],[Weight]:[Weight]]-(Table21215[[#This Row],[Weight]:[Weight]]*((_xlfn.XMATCH(Table21215[[#This Row],[4]],Table21215[[#This Row],[1]:[11]],0))-1)/(COUNTA(Table21215[[#This Row],[1]:[11]])-COUNTBLANK(Table21215[[#This Row],[1]:[11]])-1)))</f>
        <v>0</v>
      </c>
      <c r="AC186" s="30" t="str" cm="1">
        <f t="array" ref="AC186">IF(Table21215[[#This Row],[5]]="","",Table21215[[#This Row],[Weight]:[Weight]]-(Table21215[[#This Row],[Weight]:[Weight]]*((_xlfn.XMATCH(Table21215[[#This Row],[5]],Table21215[[#This Row],[1]:[11]],0))-1)/(COUNTA(Table21215[[#This Row],[1]:[11]])-COUNTBLANK(Table21215[[#This Row],[1]:[11]])-1)))</f>
        <v/>
      </c>
      <c r="AD186" s="30" t="str" cm="1">
        <f t="array" ref="AD186">IF(Table21215[[#This Row],[6]]="","",Table21215[[#This Row],[Weight]:[Weight]]-(Table21215[[#This Row],[Weight]:[Weight]]*((_xlfn.XMATCH(Table21215[[#This Row],[6]],Table21215[[#This Row],[1]:[11]],0))-1)/(COUNTA(Table21215[[#This Row],[1]:[11]])-COUNTBLANK(Table21215[[#This Row],[1]:[11]])-1)))</f>
        <v/>
      </c>
      <c r="AE186" s="30" t="str" cm="1">
        <f t="array" ref="AE186">IF(Table21215[[#This Row],[7]]="","",Table21215[[#This Row],[Weight]:[Weight]]-(Table21215[[#This Row],[Weight]:[Weight]]*((_xlfn.XMATCH(Table21215[[#This Row],[7]],Table21215[[#This Row],[1]:[11]],0))-1)/(COUNTA(Table21215[[#This Row],[1]:[11]])-COUNTBLANK(Table21215[[#This Row],[1]:[11]])-1)))</f>
        <v/>
      </c>
      <c r="AF186" s="30" t="str" cm="1">
        <f t="array" ref="AF186">IF(Table21215[[#This Row],[8]]="","",Table21215[[#This Row],[Weight]:[Weight]]-(Table21215[[#This Row],[Weight]:[Weight]]*((_xlfn.XMATCH(Table21215[[#This Row],[8]],Table21215[[#This Row],[1]:[11]],0))-1)/(COUNTA(Table21215[[#This Row],[1]:[11]])-COUNTBLANK(Table21215[[#This Row],[1]:[11]])-1)))</f>
        <v/>
      </c>
      <c r="AG186" s="30" t="str" cm="1">
        <f t="array" ref="AG186">IF(Table21215[[#This Row],[9]]="","",Table21215[[#This Row],[Weight]:[Weight]]-(Table21215[[#This Row],[Weight]:[Weight]]*((_xlfn.XMATCH(Table21215[[#This Row],[9]],Table21215[[#This Row],[1]:[11]],0))-1)/(COUNTA(Table21215[[#This Row],[1]:[11]])-COUNTBLANK(Table21215[[#This Row],[1]:[11]])-1)))</f>
        <v/>
      </c>
      <c r="AH186" s="30" t="str" cm="1">
        <f t="array" ref="AH186">IF(Table21215[[#This Row],[10]]="","",Table21215[[#This Row],[Weight]:[Weight]]-(Table21215[[#This Row],[Weight]:[Weight]]*((_xlfn.XMATCH(Table21215[[#This Row],[10]],Table21215[[#This Row],[1]:[11]],0))-1)/(COUNTA(Table21215[[#This Row],[1]:[11]])-COUNTBLANK(Table21215[[#This Row],[1]:[11]])-1)))</f>
        <v/>
      </c>
      <c r="AI186" s="30" t="str" cm="1">
        <f t="array" ref="AI186">IF(Table21215[[#This Row],[11]]="","",Table21215[[#This Row],[Weight]:[Weight]]-(Table21215[[#This Row],[Weight]:[Weight]]*((_xlfn.XMATCH(Table21215[[#This Row],[11]],Table21215[[#This Row],[1]:[11]],0))-1)/(COUNTA(Table21215[[#This Row],[1]:[11]])-COUNTBLANK(Table21215[[#This Row],[1]:[11]])-1)))</f>
        <v/>
      </c>
    </row>
    <row r="187" spans="1:35" ht="108" x14ac:dyDescent="0.2">
      <c r="A187" s="20">
        <v>175</v>
      </c>
      <c r="B187" s="165" t="s">
        <v>1004</v>
      </c>
      <c r="C187" s="21" t="s">
        <v>826</v>
      </c>
      <c r="D187" s="38"/>
      <c r="E187" s="38"/>
      <c r="F187" s="159" t="s">
        <v>60</v>
      </c>
      <c r="G187" s="160" cm="1">
        <f t="array" ref="G187">_xlfn.IFS(F187="","",F187="No interest",0,F187="Nice to have",1,F187="Useful",2,F187="Important",3,F187="Very important",4,F187="Critical",5,F187="Show stopper",6)</f>
        <v>6</v>
      </c>
      <c r="H187" s="161">
        <f t="shared" si="4"/>
        <v>4.7656870532168391E-3</v>
      </c>
      <c r="I187" s="157" t="s">
        <v>827</v>
      </c>
      <c r="J187" s="35" t="str" cm="1">
        <f t="array" ref="J187">_xlfn.TEXTJOIN(","&amp;CHAR(10),,TEXT(Table21215[[#This Row],[12]:[22]],"0,00%"))</f>
        <v>0,00%,
0,00%,
0,00%,
0,00%</v>
      </c>
      <c r="K187" s="36"/>
      <c r="L187" s="37" t="e">
        <f>H187-(H187*((MATCH(Table21215[[#This Row],[Evaluators Response (SELECT)]],Table21215[[#This Row],[1]:[11]],0)-1)/(COUNTA(Table21215[[#This Row],[1]:[11]])-COUNTBLANK(Table21215[[#This Row],[1]:[11]])-1)))</f>
        <v>#N/A</v>
      </c>
      <c r="M187" s="38"/>
      <c r="N187" s="29" t="s">
        <v>828</v>
      </c>
      <c r="O187" s="29" t="s">
        <v>829</v>
      </c>
      <c r="P187" s="29" t="s">
        <v>830</v>
      </c>
      <c r="Q187" s="29" t="str" cm="1">
        <f t="array" ref="Q187">IFERROR(INDEX(_xlfn.UNIQUE(TRIM(_xlfn.TEXTSPLIT(Table21215[[#This Row],[Selection Options]:[Selection Options]],","))),,Q$11),"")</f>
        <v xml:space="preserve">
 0%: Not currently supported</v>
      </c>
      <c r="R187" s="29" t="str" cm="1">
        <f t="array" ref="R187">IFERROR(INDEX(_xlfn.UNIQUE(TRIM(_xlfn.TEXTSPLIT(Table21215[[#This Row],[Selection Options]:[Selection Options]],","))),,R$11),"")</f>
        <v/>
      </c>
      <c r="S187" s="29" t="str" cm="1">
        <f t="array" ref="S187">IFERROR(INDEX(_xlfn.UNIQUE(TRIM(_xlfn.TEXTSPLIT(Table21215[[#This Row],[Selection Options]:[Selection Options]],","))),,S$11),"")</f>
        <v/>
      </c>
      <c r="T187" s="29" t="str" cm="1">
        <f t="array" ref="T187">IFERROR(INDEX(_xlfn.UNIQUE(TRIM(_xlfn.TEXTSPLIT(Table21215[[#This Row],[Selection Options]:[Selection Options]],","))),,T$11),"")</f>
        <v/>
      </c>
      <c r="U187" s="29" t="str" cm="1">
        <f t="array" ref="U187">IFERROR(INDEX(_xlfn.UNIQUE(TRIM(_xlfn.TEXTSPLIT(Table21215[[#This Row],[Selection Options]:[Selection Options]],","))),,U$11),"")</f>
        <v/>
      </c>
      <c r="V187" s="29" t="str" cm="1">
        <f t="array" ref="V187">IFERROR(INDEX(_xlfn.UNIQUE(TRIM(_xlfn.TEXTSPLIT(Table21215[[#This Row],[Selection Options]:[Selection Options]],","))),,V$11),"")</f>
        <v/>
      </c>
      <c r="W187" s="29" t="str" cm="1">
        <f t="array" ref="W187">IFERROR(INDEX(_xlfn.UNIQUE(TRIM(_xlfn.TEXTSPLIT(Table21215[[#This Row],[Selection Options]:[Selection Options]],","))),,W$11),"")</f>
        <v/>
      </c>
      <c r="X187" s="29" t="str" cm="1">
        <f t="array" ref="X187">IFERROR(INDEX(_xlfn.UNIQUE(TRIM(_xlfn.TEXTSPLIT(Table21215[[#This Row],[Selection Options]:[Selection Options]],","))),,X$11),"")</f>
        <v/>
      </c>
      <c r="Y187" s="30" cm="1">
        <f t="array" ref="Y187">IF(Table21215[[#This Row],[1]]="","",Table21215[[#This Row],[Weight]:[Weight]]-(Table21215[[#This Row],[Weight]:[Weight]]*((_xlfn.XMATCH(Table21215[[#This Row],[1]],Table21215[[#This Row],[1]:[11]],0))-1)/(COUNTA(Table21215[[#This Row],[1]:[11]])-COUNTBLANK(Table21215[[#This Row],[1]:[11]])-1)))</f>
        <v>4.7656870532168391E-3</v>
      </c>
      <c r="Z187" s="30" cm="1">
        <f t="array" ref="Z187">IF(Table21215[[#This Row],[2]]="","",Table21215[[#This Row],[Weight]:[Weight]]-(Table21215[[#This Row],[Weight]:[Weight]]*((_xlfn.XMATCH(Table21215[[#This Row],[2]],Table21215[[#This Row],[1]:[11]],0))-1)/(COUNTA(Table21215[[#This Row],[1]:[11]])-COUNTBLANK(Table21215[[#This Row],[1]:[11]])-1)))</f>
        <v>3.1771247021445594E-3</v>
      </c>
      <c r="AA187" s="30" cm="1">
        <f t="array" ref="AA187">IF(Table21215[[#This Row],[3]]="","",Table21215[[#This Row],[Weight]:[Weight]]-(Table21215[[#This Row],[Weight]:[Weight]]*((_xlfn.XMATCH(Table21215[[#This Row],[3]],Table21215[[#This Row],[1]:[11]],0))-1)/(COUNTA(Table21215[[#This Row],[1]:[11]])-COUNTBLANK(Table21215[[#This Row],[1]:[11]])-1)))</f>
        <v>1.5885623510722797E-3</v>
      </c>
      <c r="AB187" s="30" cm="1">
        <f t="array" ref="AB187">IF(Table21215[[#This Row],[4]]="","",Table21215[[#This Row],[Weight]:[Weight]]-(Table21215[[#This Row],[Weight]:[Weight]]*((_xlfn.XMATCH(Table21215[[#This Row],[4]],Table21215[[#This Row],[1]:[11]],0))-1)/(COUNTA(Table21215[[#This Row],[1]:[11]])-COUNTBLANK(Table21215[[#This Row],[1]:[11]])-1)))</f>
        <v>0</v>
      </c>
      <c r="AC187" s="30" t="str" cm="1">
        <f t="array" ref="AC187">IF(Table21215[[#This Row],[5]]="","",Table21215[[#This Row],[Weight]:[Weight]]-(Table21215[[#This Row],[Weight]:[Weight]]*((_xlfn.XMATCH(Table21215[[#This Row],[5]],Table21215[[#This Row],[1]:[11]],0))-1)/(COUNTA(Table21215[[#This Row],[1]:[11]])-COUNTBLANK(Table21215[[#This Row],[1]:[11]])-1)))</f>
        <v/>
      </c>
      <c r="AD187" s="30" t="str" cm="1">
        <f t="array" ref="AD187">IF(Table21215[[#This Row],[6]]="","",Table21215[[#This Row],[Weight]:[Weight]]-(Table21215[[#This Row],[Weight]:[Weight]]*((_xlfn.XMATCH(Table21215[[#This Row],[6]],Table21215[[#This Row],[1]:[11]],0))-1)/(COUNTA(Table21215[[#This Row],[1]:[11]])-COUNTBLANK(Table21215[[#This Row],[1]:[11]])-1)))</f>
        <v/>
      </c>
      <c r="AE187" s="30" t="str" cm="1">
        <f t="array" ref="AE187">IF(Table21215[[#This Row],[7]]="","",Table21215[[#This Row],[Weight]:[Weight]]-(Table21215[[#This Row],[Weight]:[Weight]]*((_xlfn.XMATCH(Table21215[[#This Row],[7]],Table21215[[#This Row],[1]:[11]],0))-1)/(COUNTA(Table21215[[#This Row],[1]:[11]])-COUNTBLANK(Table21215[[#This Row],[1]:[11]])-1)))</f>
        <v/>
      </c>
      <c r="AF187" s="30" t="str" cm="1">
        <f t="array" ref="AF187">IF(Table21215[[#This Row],[8]]="","",Table21215[[#This Row],[Weight]:[Weight]]-(Table21215[[#This Row],[Weight]:[Weight]]*((_xlfn.XMATCH(Table21215[[#This Row],[8]],Table21215[[#This Row],[1]:[11]],0))-1)/(COUNTA(Table21215[[#This Row],[1]:[11]])-COUNTBLANK(Table21215[[#This Row],[1]:[11]])-1)))</f>
        <v/>
      </c>
      <c r="AG187" s="30" t="str" cm="1">
        <f t="array" ref="AG187">IF(Table21215[[#This Row],[9]]="","",Table21215[[#This Row],[Weight]:[Weight]]-(Table21215[[#This Row],[Weight]:[Weight]]*((_xlfn.XMATCH(Table21215[[#This Row],[9]],Table21215[[#This Row],[1]:[11]],0))-1)/(COUNTA(Table21215[[#This Row],[1]:[11]])-COUNTBLANK(Table21215[[#This Row],[1]:[11]])-1)))</f>
        <v/>
      </c>
      <c r="AH187" s="30" t="str" cm="1">
        <f t="array" ref="AH187">IF(Table21215[[#This Row],[10]]="","",Table21215[[#This Row],[Weight]:[Weight]]-(Table21215[[#This Row],[Weight]:[Weight]]*((_xlfn.XMATCH(Table21215[[#This Row],[10]],Table21215[[#This Row],[1]:[11]],0))-1)/(COUNTA(Table21215[[#This Row],[1]:[11]])-COUNTBLANK(Table21215[[#This Row],[1]:[11]])-1)))</f>
        <v/>
      </c>
      <c r="AI187" s="30" t="str" cm="1">
        <f t="array" ref="AI187">IF(Table21215[[#This Row],[11]]="","",Table21215[[#This Row],[Weight]:[Weight]]-(Table21215[[#This Row],[Weight]:[Weight]]*((_xlfn.XMATCH(Table21215[[#This Row],[11]],Table21215[[#This Row],[1]:[11]],0))-1)/(COUNTA(Table21215[[#This Row],[1]:[11]])-COUNTBLANK(Table21215[[#This Row],[1]:[11]])-1)))</f>
        <v/>
      </c>
    </row>
    <row r="188" spans="1:35" ht="108" x14ac:dyDescent="0.2">
      <c r="A188" s="20">
        <v>176</v>
      </c>
      <c r="B188" s="165" t="s">
        <v>1005</v>
      </c>
      <c r="C188" s="21" t="s">
        <v>826</v>
      </c>
      <c r="D188" s="38"/>
      <c r="E188" s="38"/>
      <c r="F188" s="159" t="s">
        <v>60</v>
      </c>
      <c r="G188" s="160" cm="1">
        <f t="array" ref="G188">_xlfn.IFS(F188="","",F188="No interest",0,F188="Nice to have",1,F188="Useful",2,F188="Important",3,F188="Very important",4,F188="Critical",5,F188="Show stopper",6)</f>
        <v>6</v>
      </c>
      <c r="H188" s="161">
        <f t="shared" si="4"/>
        <v>4.7656870532168391E-3</v>
      </c>
      <c r="I188" s="157" t="s">
        <v>827</v>
      </c>
      <c r="J188" s="35" t="str" cm="1">
        <f t="array" ref="J188">_xlfn.TEXTJOIN(","&amp;CHAR(10),,TEXT(Table21215[[#This Row],[12]:[22]],"0,00%"))</f>
        <v>0,00%,
0,00%,
0,00%,
0,00%</v>
      </c>
      <c r="K188" s="36"/>
      <c r="L188" s="37" t="e">
        <f>H188-(H188*((MATCH(Table21215[[#This Row],[Evaluators Response (SELECT)]],Table21215[[#This Row],[1]:[11]],0)-1)/(COUNTA(Table21215[[#This Row],[1]:[11]])-COUNTBLANK(Table21215[[#This Row],[1]:[11]])-1)))</f>
        <v>#N/A</v>
      </c>
      <c r="M188" s="38"/>
      <c r="N188" s="29" t="s">
        <v>828</v>
      </c>
      <c r="O188" s="29" t="s">
        <v>829</v>
      </c>
      <c r="P188" s="29" t="s">
        <v>830</v>
      </c>
      <c r="Q188" s="29" t="str" cm="1">
        <f t="array" ref="Q188">IFERROR(INDEX(_xlfn.UNIQUE(TRIM(_xlfn.TEXTSPLIT(Table21215[[#This Row],[Selection Options]:[Selection Options]],","))),,Q$11),"")</f>
        <v xml:space="preserve">
 0%: Not currently supported</v>
      </c>
      <c r="R188" s="29" t="str" cm="1">
        <f t="array" ref="R188">IFERROR(INDEX(_xlfn.UNIQUE(TRIM(_xlfn.TEXTSPLIT(Table21215[[#This Row],[Selection Options]:[Selection Options]],","))),,R$11),"")</f>
        <v/>
      </c>
      <c r="S188" s="29" t="str" cm="1">
        <f t="array" ref="S188">IFERROR(INDEX(_xlfn.UNIQUE(TRIM(_xlfn.TEXTSPLIT(Table21215[[#This Row],[Selection Options]:[Selection Options]],","))),,S$11),"")</f>
        <v/>
      </c>
      <c r="T188" s="29" t="str" cm="1">
        <f t="array" ref="T188">IFERROR(INDEX(_xlfn.UNIQUE(TRIM(_xlfn.TEXTSPLIT(Table21215[[#This Row],[Selection Options]:[Selection Options]],","))),,T$11),"")</f>
        <v/>
      </c>
      <c r="U188" s="29" t="str" cm="1">
        <f t="array" ref="U188">IFERROR(INDEX(_xlfn.UNIQUE(TRIM(_xlfn.TEXTSPLIT(Table21215[[#This Row],[Selection Options]:[Selection Options]],","))),,U$11),"")</f>
        <v/>
      </c>
      <c r="V188" s="29" t="str" cm="1">
        <f t="array" ref="V188">IFERROR(INDEX(_xlfn.UNIQUE(TRIM(_xlfn.TEXTSPLIT(Table21215[[#This Row],[Selection Options]:[Selection Options]],","))),,V$11),"")</f>
        <v/>
      </c>
      <c r="W188" s="29" t="str" cm="1">
        <f t="array" ref="W188">IFERROR(INDEX(_xlfn.UNIQUE(TRIM(_xlfn.TEXTSPLIT(Table21215[[#This Row],[Selection Options]:[Selection Options]],","))),,W$11),"")</f>
        <v/>
      </c>
      <c r="X188" s="29" t="str" cm="1">
        <f t="array" ref="X188">IFERROR(INDEX(_xlfn.UNIQUE(TRIM(_xlfn.TEXTSPLIT(Table21215[[#This Row],[Selection Options]:[Selection Options]],","))),,X$11),"")</f>
        <v/>
      </c>
      <c r="Y188" s="30" cm="1">
        <f t="array" ref="Y188">IF(Table21215[[#This Row],[1]]="","",Table21215[[#This Row],[Weight]:[Weight]]-(Table21215[[#This Row],[Weight]:[Weight]]*((_xlfn.XMATCH(Table21215[[#This Row],[1]],Table21215[[#This Row],[1]:[11]],0))-1)/(COUNTA(Table21215[[#This Row],[1]:[11]])-COUNTBLANK(Table21215[[#This Row],[1]:[11]])-1)))</f>
        <v>4.7656870532168391E-3</v>
      </c>
      <c r="Z188" s="30" cm="1">
        <f t="array" ref="Z188">IF(Table21215[[#This Row],[2]]="","",Table21215[[#This Row],[Weight]:[Weight]]-(Table21215[[#This Row],[Weight]:[Weight]]*((_xlfn.XMATCH(Table21215[[#This Row],[2]],Table21215[[#This Row],[1]:[11]],0))-1)/(COUNTA(Table21215[[#This Row],[1]:[11]])-COUNTBLANK(Table21215[[#This Row],[1]:[11]])-1)))</f>
        <v>3.1771247021445594E-3</v>
      </c>
      <c r="AA188" s="30" cm="1">
        <f t="array" ref="AA188">IF(Table21215[[#This Row],[3]]="","",Table21215[[#This Row],[Weight]:[Weight]]-(Table21215[[#This Row],[Weight]:[Weight]]*((_xlfn.XMATCH(Table21215[[#This Row],[3]],Table21215[[#This Row],[1]:[11]],0))-1)/(COUNTA(Table21215[[#This Row],[1]:[11]])-COUNTBLANK(Table21215[[#This Row],[1]:[11]])-1)))</f>
        <v>1.5885623510722797E-3</v>
      </c>
      <c r="AB188" s="30" cm="1">
        <f t="array" ref="AB188">IF(Table21215[[#This Row],[4]]="","",Table21215[[#This Row],[Weight]:[Weight]]-(Table21215[[#This Row],[Weight]:[Weight]]*((_xlfn.XMATCH(Table21215[[#This Row],[4]],Table21215[[#This Row],[1]:[11]],0))-1)/(COUNTA(Table21215[[#This Row],[1]:[11]])-COUNTBLANK(Table21215[[#This Row],[1]:[11]])-1)))</f>
        <v>0</v>
      </c>
      <c r="AC188" s="30" t="str" cm="1">
        <f t="array" ref="AC188">IF(Table21215[[#This Row],[5]]="","",Table21215[[#This Row],[Weight]:[Weight]]-(Table21215[[#This Row],[Weight]:[Weight]]*((_xlfn.XMATCH(Table21215[[#This Row],[5]],Table21215[[#This Row],[1]:[11]],0))-1)/(COUNTA(Table21215[[#This Row],[1]:[11]])-COUNTBLANK(Table21215[[#This Row],[1]:[11]])-1)))</f>
        <v/>
      </c>
      <c r="AD188" s="30" t="str" cm="1">
        <f t="array" ref="AD188">IF(Table21215[[#This Row],[6]]="","",Table21215[[#This Row],[Weight]:[Weight]]-(Table21215[[#This Row],[Weight]:[Weight]]*((_xlfn.XMATCH(Table21215[[#This Row],[6]],Table21215[[#This Row],[1]:[11]],0))-1)/(COUNTA(Table21215[[#This Row],[1]:[11]])-COUNTBLANK(Table21215[[#This Row],[1]:[11]])-1)))</f>
        <v/>
      </c>
      <c r="AE188" s="30" t="str" cm="1">
        <f t="array" ref="AE188">IF(Table21215[[#This Row],[7]]="","",Table21215[[#This Row],[Weight]:[Weight]]-(Table21215[[#This Row],[Weight]:[Weight]]*((_xlfn.XMATCH(Table21215[[#This Row],[7]],Table21215[[#This Row],[1]:[11]],0))-1)/(COUNTA(Table21215[[#This Row],[1]:[11]])-COUNTBLANK(Table21215[[#This Row],[1]:[11]])-1)))</f>
        <v/>
      </c>
      <c r="AF188" s="30" t="str" cm="1">
        <f t="array" ref="AF188">IF(Table21215[[#This Row],[8]]="","",Table21215[[#This Row],[Weight]:[Weight]]-(Table21215[[#This Row],[Weight]:[Weight]]*((_xlfn.XMATCH(Table21215[[#This Row],[8]],Table21215[[#This Row],[1]:[11]],0))-1)/(COUNTA(Table21215[[#This Row],[1]:[11]])-COUNTBLANK(Table21215[[#This Row],[1]:[11]])-1)))</f>
        <v/>
      </c>
      <c r="AG188" s="30" t="str" cm="1">
        <f t="array" ref="AG188">IF(Table21215[[#This Row],[9]]="","",Table21215[[#This Row],[Weight]:[Weight]]-(Table21215[[#This Row],[Weight]:[Weight]]*((_xlfn.XMATCH(Table21215[[#This Row],[9]],Table21215[[#This Row],[1]:[11]],0))-1)/(COUNTA(Table21215[[#This Row],[1]:[11]])-COUNTBLANK(Table21215[[#This Row],[1]:[11]])-1)))</f>
        <v/>
      </c>
      <c r="AH188" s="30" t="str" cm="1">
        <f t="array" ref="AH188">IF(Table21215[[#This Row],[10]]="","",Table21215[[#This Row],[Weight]:[Weight]]-(Table21215[[#This Row],[Weight]:[Weight]]*((_xlfn.XMATCH(Table21215[[#This Row],[10]],Table21215[[#This Row],[1]:[11]],0))-1)/(COUNTA(Table21215[[#This Row],[1]:[11]])-COUNTBLANK(Table21215[[#This Row],[1]:[11]])-1)))</f>
        <v/>
      </c>
      <c r="AI188" s="30" t="str" cm="1">
        <f t="array" ref="AI188">IF(Table21215[[#This Row],[11]]="","",Table21215[[#This Row],[Weight]:[Weight]]-(Table21215[[#This Row],[Weight]:[Weight]]*((_xlfn.XMATCH(Table21215[[#This Row],[11]],Table21215[[#This Row],[1]:[11]],0))-1)/(COUNTA(Table21215[[#This Row],[1]:[11]])-COUNTBLANK(Table21215[[#This Row],[1]:[11]])-1)))</f>
        <v/>
      </c>
    </row>
    <row r="189" spans="1:35" ht="108" x14ac:dyDescent="0.2">
      <c r="A189" s="20">
        <v>177</v>
      </c>
      <c r="B189" s="165" t="s">
        <v>1006</v>
      </c>
      <c r="C189" s="21" t="s">
        <v>826</v>
      </c>
      <c r="D189" s="38"/>
      <c r="E189" s="38"/>
      <c r="F189" s="159" t="s">
        <v>60</v>
      </c>
      <c r="G189" s="160" cm="1">
        <f t="array" ref="G189">_xlfn.IFS(F189="","",F189="No interest",0,F189="Nice to have",1,F189="Useful",2,F189="Important",3,F189="Very important",4,F189="Critical",5,F189="Show stopper",6)</f>
        <v>6</v>
      </c>
      <c r="H189" s="161">
        <f t="shared" si="4"/>
        <v>4.7656870532168391E-3</v>
      </c>
      <c r="I189" s="157" t="s">
        <v>827</v>
      </c>
      <c r="J189" s="35" t="str" cm="1">
        <f t="array" ref="J189">_xlfn.TEXTJOIN(","&amp;CHAR(10),,TEXT(Table21215[[#This Row],[12]:[22]],"0,00%"))</f>
        <v>0,00%,
0,00%,
0,00%,
0,00%</v>
      </c>
      <c r="K189" s="36"/>
      <c r="L189" s="37" t="e">
        <f>H189-(H189*((MATCH(Table21215[[#This Row],[Evaluators Response (SELECT)]],Table21215[[#This Row],[1]:[11]],0)-1)/(COUNTA(Table21215[[#This Row],[1]:[11]])-COUNTBLANK(Table21215[[#This Row],[1]:[11]])-1)))</f>
        <v>#N/A</v>
      </c>
      <c r="M189" s="38"/>
      <c r="N189" s="29" t="s">
        <v>828</v>
      </c>
      <c r="O189" s="29" t="s">
        <v>829</v>
      </c>
      <c r="P189" s="29" t="s">
        <v>830</v>
      </c>
      <c r="Q189" s="29" t="str" cm="1">
        <f t="array" ref="Q189">IFERROR(INDEX(_xlfn.UNIQUE(TRIM(_xlfn.TEXTSPLIT(Table21215[[#This Row],[Selection Options]:[Selection Options]],","))),,Q$11),"")</f>
        <v xml:space="preserve">
 0%: Not currently supported</v>
      </c>
      <c r="R189" s="29" t="str" cm="1">
        <f t="array" ref="R189">IFERROR(INDEX(_xlfn.UNIQUE(TRIM(_xlfn.TEXTSPLIT(Table21215[[#This Row],[Selection Options]:[Selection Options]],","))),,R$11),"")</f>
        <v/>
      </c>
      <c r="S189" s="29" t="str" cm="1">
        <f t="array" ref="S189">IFERROR(INDEX(_xlfn.UNIQUE(TRIM(_xlfn.TEXTSPLIT(Table21215[[#This Row],[Selection Options]:[Selection Options]],","))),,S$11),"")</f>
        <v/>
      </c>
      <c r="T189" s="29" t="str" cm="1">
        <f t="array" ref="T189">IFERROR(INDEX(_xlfn.UNIQUE(TRIM(_xlfn.TEXTSPLIT(Table21215[[#This Row],[Selection Options]:[Selection Options]],","))),,T$11),"")</f>
        <v/>
      </c>
      <c r="U189" s="29" t="str" cm="1">
        <f t="array" ref="U189">IFERROR(INDEX(_xlfn.UNIQUE(TRIM(_xlfn.TEXTSPLIT(Table21215[[#This Row],[Selection Options]:[Selection Options]],","))),,U$11),"")</f>
        <v/>
      </c>
      <c r="V189" s="29" t="str" cm="1">
        <f t="array" ref="V189">IFERROR(INDEX(_xlfn.UNIQUE(TRIM(_xlfn.TEXTSPLIT(Table21215[[#This Row],[Selection Options]:[Selection Options]],","))),,V$11),"")</f>
        <v/>
      </c>
      <c r="W189" s="29" t="str" cm="1">
        <f t="array" ref="W189">IFERROR(INDEX(_xlfn.UNIQUE(TRIM(_xlfn.TEXTSPLIT(Table21215[[#This Row],[Selection Options]:[Selection Options]],","))),,W$11),"")</f>
        <v/>
      </c>
      <c r="X189" s="29" t="str" cm="1">
        <f t="array" ref="X189">IFERROR(INDEX(_xlfn.UNIQUE(TRIM(_xlfn.TEXTSPLIT(Table21215[[#This Row],[Selection Options]:[Selection Options]],","))),,X$11),"")</f>
        <v/>
      </c>
      <c r="Y189" s="30" cm="1">
        <f t="array" ref="Y189">IF(Table21215[[#This Row],[1]]="","",Table21215[[#This Row],[Weight]:[Weight]]-(Table21215[[#This Row],[Weight]:[Weight]]*((_xlfn.XMATCH(Table21215[[#This Row],[1]],Table21215[[#This Row],[1]:[11]],0))-1)/(COUNTA(Table21215[[#This Row],[1]:[11]])-COUNTBLANK(Table21215[[#This Row],[1]:[11]])-1)))</f>
        <v>4.7656870532168391E-3</v>
      </c>
      <c r="Z189" s="30" cm="1">
        <f t="array" ref="Z189">IF(Table21215[[#This Row],[2]]="","",Table21215[[#This Row],[Weight]:[Weight]]-(Table21215[[#This Row],[Weight]:[Weight]]*((_xlfn.XMATCH(Table21215[[#This Row],[2]],Table21215[[#This Row],[1]:[11]],0))-1)/(COUNTA(Table21215[[#This Row],[1]:[11]])-COUNTBLANK(Table21215[[#This Row],[1]:[11]])-1)))</f>
        <v>3.1771247021445594E-3</v>
      </c>
      <c r="AA189" s="30" cm="1">
        <f t="array" ref="AA189">IF(Table21215[[#This Row],[3]]="","",Table21215[[#This Row],[Weight]:[Weight]]-(Table21215[[#This Row],[Weight]:[Weight]]*((_xlfn.XMATCH(Table21215[[#This Row],[3]],Table21215[[#This Row],[1]:[11]],0))-1)/(COUNTA(Table21215[[#This Row],[1]:[11]])-COUNTBLANK(Table21215[[#This Row],[1]:[11]])-1)))</f>
        <v>1.5885623510722797E-3</v>
      </c>
      <c r="AB189" s="30" cm="1">
        <f t="array" ref="AB189">IF(Table21215[[#This Row],[4]]="","",Table21215[[#This Row],[Weight]:[Weight]]-(Table21215[[#This Row],[Weight]:[Weight]]*((_xlfn.XMATCH(Table21215[[#This Row],[4]],Table21215[[#This Row],[1]:[11]],0))-1)/(COUNTA(Table21215[[#This Row],[1]:[11]])-COUNTBLANK(Table21215[[#This Row],[1]:[11]])-1)))</f>
        <v>0</v>
      </c>
      <c r="AC189" s="30" t="str" cm="1">
        <f t="array" ref="AC189">IF(Table21215[[#This Row],[5]]="","",Table21215[[#This Row],[Weight]:[Weight]]-(Table21215[[#This Row],[Weight]:[Weight]]*((_xlfn.XMATCH(Table21215[[#This Row],[5]],Table21215[[#This Row],[1]:[11]],0))-1)/(COUNTA(Table21215[[#This Row],[1]:[11]])-COUNTBLANK(Table21215[[#This Row],[1]:[11]])-1)))</f>
        <v/>
      </c>
      <c r="AD189" s="30" t="str" cm="1">
        <f t="array" ref="AD189">IF(Table21215[[#This Row],[6]]="","",Table21215[[#This Row],[Weight]:[Weight]]-(Table21215[[#This Row],[Weight]:[Weight]]*((_xlfn.XMATCH(Table21215[[#This Row],[6]],Table21215[[#This Row],[1]:[11]],0))-1)/(COUNTA(Table21215[[#This Row],[1]:[11]])-COUNTBLANK(Table21215[[#This Row],[1]:[11]])-1)))</f>
        <v/>
      </c>
      <c r="AE189" s="30" t="str" cm="1">
        <f t="array" ref="AE189">IF(Table21215[[#This Row],[7]]="","",Table21215[[#This Row],[Weight]:[Weight]]-(Table21215[[#This Row],[Weight]:[Weight]]*((_xlfn.XMATCH(Table21215[[#This Row],[7]],Table21215[[#This Row],[1]:[11]],0))-1)/(COUNTA(Table21215[[#This Row],[1]:[11]])-COUNTBLANK(Table21215[[#This Row],[1]:[11]])-1)))</f>
        <v/>
      </c>
      <c r="AF189" s="30" t="str" cm="1">
        <f t="array" ref="AF189">IF(Table21215[[#This Row],[8]]="","",Table21215[[#This Row],[Weight]:[Weight]]-(Table21215[[#This Row],[Weight]:[Weight]]*((_xlfn.XMATCH(Table21215[[#This Row],[8]],Table21215[[#This Row],[1]:[11]],0))-1)/(COUNTA(Table21215[[#This Row],[1]:[11]])-COUNTBLANK(Table21215[[#This Row],[1]:[11]])-1)))</f>
        <v/>
      </c>
      <c r="AG189" s="30" t="str" cm="1">
        <f t="array" ref="AG189">IF(Table21215[[#This Row],[9]]="","",Table21215[[#This Row],[Weight]:[Weight]]-(Table21215[[#This Row],[Weight]:[Weight]]*((_xlfn.XMATCH(Table21215[[#This Row],[9]],Table21215[[#This Row],[1]:[11]],0))-1)/(COUNTA(Table21215[[#This Row],[1]:[11]])-COUNTBLANK(Table21215[[#This Row],[1]:[11]])-1)))</f>
        <v/>
      </c>
      <c r="AH189" s="30" t="str" cm="1">
        <f t="array" ref="AH189">IF(Table21215[[#This Row],[10]]="","",Table21215[[#This Row],[Weight]:[Weight]]-(Table21215[[#This Row],[Weight]:[Weight]]*((_xlfn.XMATCH(Table21215[[#This Row],[10]],Table21215[[#This Row],[1]:[11]],0))-1)/(COUNTA(Table21215[[#This Row],[1]:[11]])-COUNTBLANK(Table21215[[#This Row],[1]:[11]])-1)))</f>
        <v/>
      </c>
      <c r="AI189" s="30" t="str" cm="1">
        <f t="array" ref="AI189">IF(Table21215[[#This Row],[11]]="","",Table21215[[#This Row],[Weight]:[Weight]]-(Table21215[[#This Row],[Weight]:[Weight]]*((_xlfn.XMATCH(Table21215[[#This Row],[11]],Table21215[[#This Row],[1]:[11]],0))-1)/(COUNTA(Table21215[[#This Row],[1]:[11]])-COUNTBLANK(Table21215[[#This Row],[1]:[11]])-1)))</f>
        <v/>
      </c>
    </row>
    <row r="190" spans="1:35" ht="108" x14ac:dyDescent="0.2">
      <c r="A190" s="20">
        <v>178</v>
      </c>
      <c r="B190" s="165" t="s">
        <v>1007</v>
      </c>
      <c r="C190" s="21" t="s">
        <v>826</v>
      </c>
      <c r="D190" s="38"/>
      <c r="E190" s="38"/>
      <c r="F190" s="159" t="s">
        <v>60</v>
      </c>
      <c r="G190" s="160" cm="1">
        <f t="array" ref="G190">_xlfn.IFS(F190="","",F190="No interest",0,F190="Nice to have",1,F190="Useful",2,F190="Important",3,F190="Very important",4,F190="Critical",5,F190="Show stopper",6)</f>
        <v>6</v>
      </c>
      <c r="H190" s="161">
        <f t="shared" si="4"/>
        <v>4.7656870532168391E-3</v>
      </c>
      <c r="I190" s="157" t="s">
        <v>827</v>
      </c>
      <c r="J190" s="35" t="str" cm="1">
        <f t="array" ref="J190">_xlfn.TEXTJOIN(","&amp;CHAR(10),,TEXT(Table21215[[#This Row],[12]:[22]],"0,00%"))</f>
        <v>0,00%,
0,00%,
0,00%,
0,00%</v>
      </c>
      <c r="K190" s="36"/>
      <c r="L190" s="37" t="e">
        <f>H190-(H190*((MATCH(Table21215[[#This Row],[Evaluators Response (SELECT)]],Table21215[[#This Row],[1]:[11]],0)-1)/(COUNTA(Table21215[[#This Row],[1]:[11]])-COUNTBLANK(Table21215[[#This Row],[1]:[11]])-1)))</f>
        <v>#N/A</v>
      </c>
      <c r="M190" s="38"/>
      <c r="N190" s="29" t="s">
        <v>828</v>
      </c>
      <c r="O190" s="29" t="s">
        <v>829</v>
      </c>
      <c r="P190" s="29" t="s">
        <v>830</v>
      </c>
      <c r="Q190" s="29" t="str" cm="1">
        <f t="array" ref="Q190">IFERROR(INDEX(_xlfn.UNIQUE(TRIM(_xlfn.TEXTSPLIT(Table21215[[#This Row],[Selection Options]:[Selection Options]],","))),,Q$11),"")</f>
        <v xml:space="preserve">
 0%: Not currently supported</v>
      </c>
      <c r="R190" s="29" t="str" cm="1">
        <f t="array" ref="R190">IFERROR(INDEX(_xlfn.UNIQUE(TRIM(_xlfn.TEXTSPLIT(Table21215[[#This Row],[Selection Options]:[Selection Options]],","))),,R$11),"")</f>
        <v/>
      </c>
      <c r="S190" s="29" t="str" cm="1">
        <f t="array" ref="S190">IFERROR(INDEX(_xlfn.UNIQUE(TRIM(_xlfn.TEXTSPLIT(Table21215[[#This Row],[Selection Options]:[Selection Options]],","))),,S$11),"")</f>
        <v/>
      </c>
      <c r="T190" s="29" t="str" cm="1">
        <f t="array" ref="T190">IFERROR(INDEX(_xlfn.UNIQUE(TRIM(_xlfn.TEXTSPLIT(Table21215[[#This Row],[Selection Options]:[Selection Options]],","))),,T$11),"")</f>
        <v/>
      </c>
      <c r="U190" s="29" t="str" cm="1">
        <f t="array" ref="U190">IFERROR(INDEX(_xlfn.UNIQUE(TRIM(_xlfn.TEXTSPLIT(Table21215[[#This Row],[Selection Options]:[Selection Options]],","))),,U$11),"")</f>
        <v/>
      </c>
      <c r="V190" s="29" t="str" cm="1">
        <f t="array" ref="V190">IFERROR(INDEX(_xlfn.UNIQUE(TRIM(_xlfn.TEXTSPLIT(Table21215[[#This Row],[Selection Options]:[Selection Options]],","))),,V$11),"")</f>
        <v/>
      </c>
      <c r="W190" s="29" t="str" cm="1">
        <f t="array" ref="W190">IFERROR(INDEX(_xlfn.UNIQUE(TRIM(_xlfn.TEXTSPLIT(Table21215[[#This Row],[Selection Options]:[Selection Options]],","))),,W$11),"")</f>
        <v/>
      </c>
      <c r="X190" s="29" t="str" cm="1">
        <f t="array" ref="X190">IFERROR(INDEX(_xlfn.UNIQUE(TRIM(_xlfn.TEXTSPLIT(Table21215[[#This Row],[Selection Options]:[Selection Options]],","))),,X$11),"")</f>
        <v/>
      </c>
      <c r="Y190" s="30" cm="1">
        <f t="array" ref="Y190">IF(Table21215[[#This Row],[1]]="","",Table21215[[#This Row],[Weight]:[Weight]]-(Table21215[[#This Row],[Weight]:[Weight]]*((_xlfn.XMATCH(Table21215[[#This Row],[1]],Table21215[[#This Row],[1]:[11]],0))-1)/(COUNTA(Table21215[[#This Row],[1]:[11]])-COUNTBLANK(Table21215[[#This Row],[1]:[11]])-1)))</f>
        <v>4.7656870532168391E-3</v>
      </c>
      <c r="Z190" s="30" cm="1">
        <f t="array" ref="Z190">IF(Table21215[[#This Row],[2]]="","",Table21215[[#This Row],[Weight]:[Weight]]-(Table21215[[#This Row],[Weight]:[Weight]]*((_xlfn.XMATCH(Table21215[[#This Row],[2]],Table21215[[#This Row],[1]:[11]],0))-1)/(COUNTA(Table21215[[#This Row],[1]:[11]])-COUNTBLANK(Table21215[[#This Row],[1]:[11]])-1)))</f>
        <v>3.1771247021445594E-3</v>
      </c>
      <c r="AA190" s="30" cm="1">
        <f t="array" ref="AA190">IF(Table21215[[#This Row],[3]]="","",Table21215[[#This Row],[Weight]:[Weight]]-(Table21215[[#This Row],[Weight]:[Weight]]*((_xlfn.XMATCH(Table21215[[#This Row],[3]],Table21215[[#This Row],[1]:[11]],0))-1)/(COUNTA(Table21215[[#This Row],[1]:[11]])-COUNTBLANK(Table21215[[#This Row],[1]:[11]])-1)))</f>
        <v>1.5885623510722797E-3</v>
      </c>
      <c r="AB190" s="30" cm="1">
        <f t="array" ref="AB190">IF(Table21215[[#This Row],[4]]="","",Table21215[[#This Row],[Weight]:[Weight]]-(Table21215[[#This Row],[Weight]:[Weight]]*((_xlfn.XMATCH(Table21215[[#This Row],[4]],Table21215[[#This Row],[1]:[11]],0))-1)/(COUNTA(Table21215[[#This Row],[1]:[11]])-COUNTBLANK(Table21215[[#This Row],[1]:[11]])-1)))</f>
        <v>0</v>
      </c>
      <c r="AC190" s="30" t="str" cm="1">
        <f t="array" ref="AC190">IF(Table21215[[#This Row],[5]]="","",Table21215[[#This Row],[Weight]:[Weight]]-(Table21215[[#This Row],[Weight]:[Weight]]*((_xlfn.XMATCH(Table21215[[#This Row],[5]],Table21215[[#This Row],[1]:[11]],0))-1)/(COUNTA(Table21215[[#This Row],[1]:[11]])-COUNTBLANK(Table21215[[#This Row],[1]:[11]])-1)))</f>
        <v/>
      </c>
      <c r="AD190" s="30" t="str" cm="1">
        <f t="array" ref="AD190">IF(Table21215[[#This Row],[6]]="","",Table21215[[#This Row],[Weight]:[Weight]]-(Table21215[[#This Row],[Weight]:[Weight]]*((_xlfn.XMATCH(Table21215[[#This Row],[6]],Table21215[[#This Row],[1]:[11]],0))-1)/(COUNTA(Table21215[[#This Row],[1]:[11]])-COUNTBLANK(Table21215[[#This Row],[1]:[11]])-1)))</f>
        <v/>
      </c>
      <c r="AE190" s="30" t="str" cm="1">
        <f t="array" ref="AE190">IF(Table21215[[#This Row],[7]]="","",Table21215[[#This Row],[Weight]:[Weight]]-(Table21215[[#This Row],[Weight]:[Weight]]*((_xlfn.XMATCH(Table21215[[#This Row],[7]],Table21215[[#This Row],[1]:[11]],0))-1)/(COUNTA(Table21215[[#This Row],[1]:[11]])-COUNTBLANK(Table21215[[#This Row],[1]:[11]])-1)))</f>
        <v/>
      </c>
      <c r="AF190" s="30" t="str" cm="1">
        <f t="array" ref="AF190">IF(Table21215[[#This Row],[8]]="","",Table21215[[#This Row],[Weight]:[Weight]]-(Table21215[[#This Row],[Weight]:[Weight]]*((_xlfn.XMATCH(Table21215[[#This Row],[8]],Table21215[[#This Row],[1]:[11]],0))-1)/(COUNTA(Table21215[[#This Row],[1]:[11]])-COUNTBLANK(Table21215[[#This Row],[1]:[11]])-1)))</f>
        <v/>
      </c>
      <c r="AG190" s="30" t="str" cm="1">
        <f t="array" ref="AG190">IF(Table21215[[#This Row],[9]]="","",Table21215[[#This Row],[Weight]:[Weight]]-(Table21215[[#This Row],[Weight]:[Weight]]*((_xlfn.XMATCH(Table21215[[#This Row],[9]],Table21215[[#This Row],[1]:[11]],0))-1)/(COUNTA(Table21215[[#This Row],[1]:[11]])-COUNTBLANK(Table21215[[#This Row],[1]:[11]])-1)))</f>
        <v/>
      </c>
      <c r="AH190" s="30" t="str" cm="1">
        <f t="array" ref="AH190">IF(Table21215[[#This Row],[10]]="","",Table21215[[#This Row],[Weight]:[Weight]]-(Table21215[[#This Row],[Weight]:[Weight]]*((_xlfn.XMATCH(Table21215[[#This Row],[10]],Table21215[[#This Row],[1]:[11]],0))-1)/(COUNTA(Table21215[[#This Row],[1]:[11]])-COUNTBLANK(Table21215[[#This Row],[1]:[11]])-1)))</f>
        <v/>
      </c>
      <c r="AI190" s="30" t="str" cm="1">
        <f t="array" ref="AI190">IF(Table21215[[#This Row],[11]]="","",Table21215[[#This Row],[Weight]:[Weight]]-(Table21215[[#This Row],[Weight]:[Weight]]*((_xlfn.XMATCH(Table21215[[#This Row],[11]],Table21215[[#This Row],[1]:[11]],0))-1)/(COUNTA(Table21215[[#This Row],[1]:[11]])-COUNTBLANK(Table21215[[#This Row],[1]:[11]])-1)))</f>
        <v/>
      </c>
    </row>
    <row r="191" spans="1:35" ht="108" x14ac:dyDescent="0.2">
      <c r="A191" s="20">
        <v>179</v>
      </c>
      <c r="B191" s="165" t="s">
        <v>1008</v>
      </c>
      <c r="C191" s="21" t="s">
        <v>826</v>
      </c>
      <c r="D191" s="38"/>
      <c r="E191" s="38"/>
      <c r="F191" s="159" t="s">
        <v>60</v>
      </c>
      <c r="G191" s="160" cm="1">
        <f t="array" ref="G191">_xlfn.IFS(F191="","",F191="No interest",0,F191="Nice to have",1,F191="Useful",2,F191="Important",3,F191="Very important",4,F191="Critical",5,F191="Show stopper",6)</f>
        <v>6</v>
      </c>
      <c r="H191" s="161">
        <f t="shared" si="4"/>
        <v>4.7656870532168391E-3</v>
      </c>
      <c r="I191" s="157" t="s">
        <v>827</v>
      </c>
      <c r="J191" s="35" t="str" cm="1">
        <f t="array" ref="J191">_xlfn.TEXTJOIN(","&amp;CHAR(10),,TEXT(Table21215[[#This Row],[12]:[22]],"0,00%"))</f>
        <v>0,00%,
0,00%,
0,00%,
0,00%</v>
      </c>
      <c r="K191" s="36"/>
      <c r="L191" s="37" t="e">
        <f>H191-(H191*((MATCH(Table21215[[#This Row],[Evaluators Response (SELECT)]],Table21215[[#This Row],[1]:[11]],0)-1)/(COUNTA(Table21215[[#This Row],[1]:[11]])-COUNTBLANK(Table21215[[#This Row],[1]:[11]])-1)))</f>
        <v>#N/A</v>
      </c>
      <c r="M191" s="38"/>
      <c r="N191" s="29" t="s">
        <v>828</v>
      </c>
      <c r="O191" s="29" t="s">
        <v>829</v>
      </c>
      <c r="P191" s="29" t="s">
        <v>830</v>
      </c>
      <c r="Q191" s="29" t="str" cm="1">
        <f t="array" ref="Q191">IFERROR(INDEX(_xlfn.UNIQUE(TRIM(_xlfn.TEXTSPLIT(Table21215[[#This Row],[Selection Options]:[Selection Options]],","))),,Q$11),"")</f>
        <v xml:space="preserve">
 0%: Not currently supported</v>
      </c>
      <c r="R191" s="29" t="str" cm="1">
        <f t="array" ref="R191">IFERROR(INDEX(_xlfn.UNIQUE(TRIM(_xlfn.TEXTSPLIT(Table21215[[#This Row],[Selection Options]:[Selection Options]],","))),,R$11),"")</f>
        <v/>
      </c>
      <c r="S191" s="29" t="str" cm="1">
        <f t="array" ref="S191">IFERROR(INDEX(_xlfn.UNIQUE(TRIM(_xlfn.TEXTSPLIT(Table21215[[#This Row],[Selection Options]:[Selection Options]],","))),,S$11),"")</f>
        <v/>
      </c>
      <c r="T191" s="29" t="str" cm="1">
        <f t="array" ref="T191">IFERROR(INDEX(_xlfn.UNIQUE(TRIM(_xlfn.TEXTSPLIT(Table21215[[#This Row],[Selection Options]:[Selection Options]],","))),,T$11),"")</f>
        <v/>
      </c>
      <c r="U191" s="29" t="str" cm="1">
        <f t="array" ref="U191">IFERROR(INDEX(_xlfn.UNIQUE(TRIM(_xlfn.TEXTSPLIT(Table21215[[#This Row],[Selection Options]:[Selection Options]],","))),,U$11),"")</f>
        <v/>
      </c>
      <c r="V191" s="29" t="str" cm="1">
        <f t="array" ref="V191">IFERROR(INDEX(_xlfn.UNIQUE(TRIM(_xlfn.TEXTSPLIT(Table21215[[#This Row],[Selection Options]:[Selection Options]],","))),,V$11),"")</f>
        <v/>
      </c>
      <c r="W191" s="29" t="str" cm="1">
        <f t="array" ref="W191">IFERROR(INDEX(_xlfn.UNIQUE(TRIM(_xlfn.TEXTSPLIT(Table21215[[#This Row],[Selection Options]:[Selection Options]],","))),,W$11),"")</f>
        <v/>
      </c>
      <c r="X191" s="29" t="str" cm="1">
        <f t="array" ref="X191">IFERROR(INDEX(_xlfn.UNIQUE(TRIM(_xlfn.TEXTSPLIT(Table21215[[#This Row],[Selection Options]:[Selection Options]],","))),,X$11),"")</f>
        <v/>
      </c>
      <c r="Y191" s="30" cm="1">
        <f t="array" ref="Y191">IF(Table21215[[#This Row],[1]]="","",Table21215[[#This Row],[Weight]:[Weight]]-(Table21215[[#This Row],[Weight]:[Weight]]*((_xlfn.XMATCH(Table21215[[#This Row],[1]],Table21215[[#This Row],[1]:[11]],0))-1)/(COUNTA(Table21215[[#This Row],[1]:[11]])-COUNTBLANK(Table21215[[#This Row],[1]:[11]])-1)))</f>
        <v>4.7656870532168391E-3</v>
      </c>
      <c r="Z191" s="30" cm="1">
        <f t="array" ref="Z191">IF(Table21215[[#This Row],[2]]="","",Table21215[[#This Row],[Weight]:[Weight]]-(Table21215[[#This Row],[Weight]:[Weight]]*((_xlfn.XMATCH(Table21215[[#This Row],[2]],Table21215[[#This Row],[1]:[11]],0))-1)/(COUNTA(Table21215[[#This Row],[1]:[11]])-COUNTBLANK(Table21215[[#This Row],[1]:[11]])-1)))</f>
        <v>3.1771247021445594E-3</v>
      </c>
      <c r="AA191" s="30" cm="1">
        <f t="array" ref="AA191">IF(Table21215[[#This Row],[3]]="","",Table21215[[#This Row],[Weight]:[Weight]]-(Table21215[[#This Row],[Weight]:[Weight]]*((_xlfn.XMATCH(Table21215[[#This Row],[3]],Table21215[[#This Row],[1]:[11]],0))-1)/(COUNTA(Table21215[[#This Row],[1]:[11]])-COUNTBLANK(Table21215[[#This Row],[1]:[11]])-1)))</f>
        <v>1.5885623510722797E-3</v>
      </c>
      <c r="AB191" s="30" cm="1">
        <f t="array" ref="AB191">IF(Table21215[[#This Row],[4]]="","",Table21215[[#This Row],[Weight]:[Weight]]-(Table21215[[#This Row],[Weight]:[Weight]]*((_xlfn.XMATCH(Table21215[[#This Row],[4]],Table21215[[#This Row],[1]:[11]],0))-1)/(COUNTA(Table21215[[#This Row],[1]:[11]])-COUNTBLANK(Table21215[[#This Row],[1]:[11]])-1)))</f>
        <v>0</v>
      </c>
      <c r="AC191" s="30" t="str" cm="1">
        <f t="array" ref="AC191">IF(Table21215[[#This Row],[5]]="","",Table21215[[#This Row],[Weight]:[Weight]]-(Table21215[[#This Row],[Weight]:[Weight]]*((_xlfn.XMATCH(Table21215[[#This Row],[5]],Table21215[[#This Row],[1]:[11]],0))-1)/(COUNTA(Table21215[[#This Row],[1]:[11]])-COUNTBLANK(Table21215[[#This Row],[1]:[11]])-1)))</f>
        <v/>
      </c>
      <c r="AD191" s="30" t="str" cm="1">
        <f t="array" ref="AD191">IF(Table21215[[#This Row],[6]]="","",Table21215[[#This Row],[Weight]:[Weight]]-(Table21215[[#This Row],[Weight]:[Weight]]*((_xlfn.XMATCH(Table21215[[#This Row],[6]],Table21215[[#This Row],[1]:[11]],0))-1)/(COUNTA(Table21215[[#This Row],[1]:[11]])-COUNTBLANK(Table21215[[#This Row],[1]:[11]])-1)))</f>
        <v/>
      </c>
      <c r="AE191" s="30" t="str" cm="1">
        <f t="array" ref="AE191">IF(Table21215[[#This Row],[7]]="","",Table21215[[#This Row],[Weight]:[Weight]]-(Table21215[[#This Row],[Weight]:[Weight]]*((_xlfn.XMATCH(Table21215[[#This Row],[7]],Table21215[[#This Row],[1]:[11]],0))-1)/(COUNTA(Table21215[[#This Row],[1]:[11]])-COUNTBLANK(Table21215[[#This Row],[1]:[11]])-1)))</f>
        <v/>
      </c>
      <c r="AF191" s="30" t="str" cm="1">
        <f t="array" ref="AF191">IF(Table21215[[#This Row],[8]]="","",Table21215[[#This Row],[Weight]:[Weight]]-(Table21215[[#This Row],[Weight]:[Weight]]*((_xlfn.XMATCH(Table21215[[#This Row],[8]],Table21215[[#This Row],[1]:[11]],0))-1)/(COUNTA(Table21215[[#This Row],[1]:[11]])-COUNTBLANK(Table21215[[#This Row],[1]:[11]])-1)))</f>
        <v/>
      </c>
      <c r="AG191" s="30" t="str" cm="1">
        <f t="array" ref="AG191">IF(Table21215[[#This Row],[9]]="","",Table21215[[#This Row],[Weight]:[Weight]]-(Table21215[[#This Row],[Weight]:[Weight]]*((_xlfn.XMATCH(Table21215[[#This Row],[9]],Table21215[[#This Row],[1]:[11]],0))-1)/(COUNTA(Table21215[[#This Row],[1]:[11]])-COUNTBLANK(Table21215[[#This Row],[1]:[11]])-1)))</f>
        <v/>
      </c>
      <c r="AH191" s="30" t="str" cm="1">
        <f t="array" ref="AH191">IF(Table21215[[#This Row],[10]]="","",Table21215[[#This Row],[Weight]:[Weight]]-(Table21215[[#This Row],[Weight]:[Weight]]*((_xlfn.XMATCH(Table21215[[#This Row],[10]],Table21215[[#This Row],[1]:[11]],0))-1)/(COUNTA(Table21215[[#This Row],[1]:[11]])-COUNTBLANK(Table21215[[#This Row],[1]:[11]])-1)))</f>
        <v/>
      </c>
      <c r="AI191" s="30" t="str" cm="1">
        <f t="array" ref="AI191">IF(Table21215[[#This Row],[11]]="","",Table21215[[#This Row],[Weight]:[Weight]]-(Table21215[[#This Row],[Weight]:[Weight]]*((_xlfn.XMATCH(Table21215[[#This Row],[11]],Table21215[[#This Row],[1]:[11]],0))-1)/(COUNTA(Table21215[[#This Row],[1]:[11]])-COUNTBLANK(Table21215[[#This Row],[1]:[11]])-1)))</f>
        <v/>
      </c>
    </row>
    <row r="192" spans="1:35" ht="108" x14ac:dyDescent="0.2">
      <c r="A192" s="20">
        <v>180</v>
      </c>
      <c r="B192" s="165" t="s">
        <v>1009</v>
      </c>
      <c r="C192" s="21" t="s">
        <v>826</v>
      </c>
      <c r="D192" s="38"/>
      <c r="E192" s="38"/>
      <c r="F192" s="159" t="s">
        <v>60</v>
      </c>
      <c r="G192" s="160" cm="1">
        <f t="array" ref="G192">_xlfn.IFS(F192="","",F192="No interest",0,F192="Nice to have",1,F192="Useful",2,F192="Important",3,F192="Very important",4,F192="Critical",5,F192="Show stopper",6)</f>
        <v>6</v>
      </c>
      <c r="H192" s="161">
        <f t="shared" si="4"/>
        <v>4.7656870532168391E-3</v>
      </c>
      <c r="I192" s="157" t="s">
        <v>827</v>
      </c>
      <c r="J192" s="35" t="str" cm="1">
        <f t="array" ref="J192">_xlfn.TEXTJOIN(","&amp;CHAR(10),,TEXT(Table21215[[#This Row],[12]:[22]],"0,00%"))</f>
        <v>0,00%,
0,00%,
0,00%,
0,00%</v>
      </c>
      <c r="K192" s="36"/>
      <c r="L192" s="37" t="e">
        <f>H192-(H192*((MATCH(Table21215[[#This Row],[Evaluators Response (SELECT)]],Table21215[[#This Row],[1]:[11]],0)-1)/(COUNTA(Table21215[[#This Row],[1]:[11]])-COUNTBLANK(Table21215[[#This Row],[1]:[11]])-1)))</f>
        <v>#N/A</v>
      </c>
      <c r="M192" s="38"/>
      <c r="N192" s="29" t="s">
        <v>828</v>
      </c>
      <c r="O192" s="29" t="s">
        <v>829</v>
      </c>
      <c r="P192" s="29" t="s">
        <v>830</v>
      </c>
      <c r="Q192" s="29" t="str" cm="1">
        <f t="array" ref="Q192">IFERROR(INDEX(_xlfn.UNIQUE(TRIM(_xlfn.TEXTSPLIT(Table21215[[#This Row],[Selection Options]:[Selection Options]],","))),,Q$11),"")</f>
        <v xml:space="preserve">
 0%: Not currently supported</v>
      </c>
      <c r="R192" s="29" t="str" cm="1">
        <f t="array" ref="R192">IFERROR(INDEX(_xlfn.UNIQUE(TRIM(_xlfn.TEXTSPLIT(Table21215[[#This Row],[Selection Options]:[Selection Options]],","))),,R$11),"")</f>
        <v/>
      </c>
      <c r="S192" s="29" t="str" cm="1">
        <f t="array" ref="S192">IFERROR(INDEX(_xlfn.UNIQUE(TRIM(_xlfn.TEXTSPLIT(Table21215[[#This Row],[Selection Options]:[Selection Options]],","))),,S$11),"")</f>
        <v/>
      </c>
      <c r="T192" s="29" t="str" cm="1">
        <f t="array" ref="T192">IFERROR(INDEX(_xlfn.UNIQUE(TRIM(_xlfn.TEXTSPLIT(Table21215[[#This Row],[Selection Options]:[Selection Options]],","))),,T$11),"")</f>
        <v/>
      </c>
      <c r="U192" s="29" t="str" cm="1">
        <f t="array" ref="U192">IFERROR(INDEX(_xlfn.UNIQUE(TRIM(_xlfn.TEXTSPLIT(Table21215[[#This Row],[Selection Options]:[Selection Options]],","))),,U$11),"")</f>
        <v/>
      </c>
      <c r="V192" s="29" t="str" cm="1">
        <f t="array" ref="V192">IFERROR(INDEX(_xlfn.UNIQUE(TRIM(_xlfn.TEXTSPLIT(Table21215[[#This Row],[Selection Options]:[Selection Options]],","))),,V$11),"")</f>
        <v/>
      </c>
      <c r="W192" s="29" t="str" cm="1">
        <f t="array" ref="W192">IFERROR(INDEX(_xlfn.UNIQUE(TRIM(_xlfn.TEXTSPLIT(Table21215[[#This Row],[Selection Options]:[Selection Options]],","))),,W$11),"")</f>
        <v/>
      </c>
      <c r="X192" s="29" t="str" cm="1">
        <f t="array" ref="X192">IFERROR(INDEX(_xlfn.UNIQUE(TRIM(_xlfn.TEXTSPLIT(Table21215[[#This Row],[Selection Options]:[Selection Options]],","))),,X$11),"")</f>
        <v/>
      </c>
      <c r="Y192" s="30" cm="1">
        <f t="array" ref="Y192">IF(Table21215[[#This Row],[1]]="","",Table21215[[#This Row],[Weight]:[Weight]]-(Table21215[[#This Row],[Weight]:[Weight]]*((_xlfn.XMATCH(Table21215[[#This Row],[1]],Table21215[[#This Row],[1]:[11]],0))-1)/(COUNTA(Table21215[[#This Row],[1]:[11]])-COUNTBLANK(Table21215[[#This Row],[1]:[11]])-1)))</f>
        <v>4.7656870532168391E-3</v>
      </c>
      <c r="Z192" s="30" cm="1">
        <f t="array" ref="Z192">IF(Table21215[[#This Row],[2]]="","",Table21215[[#This Row],[Weight]:[Weight]]-(Table21215[[#This Row],[Weight]:[Weight]]*((_xlfn.XMATCH(Table21215[[#This Row],[2]],Table21215[[#This Row],[1]:[11]],0))-1)/(COUNTA(Table21215[[#This Row],[1]:[11]])-COUNTBLANK(Table21215[[#This Row],[1]:[11]])-1)))</f>
        <v>3.1771247021445594E-3</v>
      </c>
      <c r="AA192" s="30" cm="1">
        <f t="array" ref="AA192">IF(Table21215[[#This Row],[3]]="","",Table21215[[#This Row],[Weight]:[Weight]]-(Table21215[[#This Row],[Weight]:[Weight]]*((_xlfn.XMATCH(Table21215[[#This Row],[3]],Table21215[[#This Row],[1]:[11]],0))-1)/(COUNTA(Table21215[[#This Row],[1]:[11]])-COUNTBLANK(Table21215[[#This Row],[1]:[11]])-1)))</f>
        <v>1.5885623510722797E-3</v>
      </c>
      <c r="AB192" s="30" cm="1">
        <f t="array" ref="AB192">IF(Table21215[[#This Row],[4]]="","",Table21215[[#This Row],[Weight]:[Weight]]-(Table21215[[#This Row],[Weight]:[Weight]]*((_xlfn.XMATCH(Table21215[[#This Row],[4]],Table21215[[#This Row],[1]:[11]],0))-1)/(COUNTA(Table21215[[#This Row],[1]:[11]])-COUNTBLANK(Table21215[[#This Row],[1]:[11]])-1)))</f>
        <v>0</v>
      </c>
      <c r="AC192" s="30" t="str" cm="1">
        <f t="array" ref="AC192">IF(Table21215[[#This Row],[5]]="","",Table21215[[#This Row],[Weight]:[Weight]]-(Table21215[[#This Row],[Weight]:[Weight]]*((_xlfn.XMATCH(Table21215[[#This Row],[5]],Table21215[[#This Row],[1]:[11]],0))-1)/(COUNTA(Table21215[[#This Row],[1]:[11]])-COUNTBLANK(Table21215[[#This Row],[1]:[11]])-1)))</f>
        <v/>
      </c>
      <c r="AD192" s="30" t="str" cm="1">
        <f t="array" ref="AD192">IF(Table21215[[#This Row],[6]]="","",Table21215[[#This Row],[Weight]:[Weight]]-(Table21215[[#This Row],[Weight]:[Weight]]*((_xlfn.XMATCH(Table21215[[#This Row],[6]],Table21215[[#This Row],[1]:[11]],0))-1)/(COUNTA(Table21215[[#This Row],[1]:[11]])-COUNTBLANK(Table21215[[#This Row],[1]:[11]])-1)))</f>
        <v/>
      </c>
      <c r="AE192" s="30" t="str" cm="1">
        <f t="array" ref="AE192">IF(Table21215[[#This Row],[7]]="","",Table21215[[#This Row],[Weight]:[Weight]]-(Table21215[[#This Row],[Weight]:[Weight]]*((_xlfn.XMATCH(Table21215[[#This Row],[7]],Table21215[[#This Row],[1]:[11]],0))-1)/(COUNTA(Table21215[[#This Row],[1]:[11]])-COUNTBLANK(Table21215[[#This Row],[1]:[11]])-1)))</f>
        <v/>
      </c>
      <c r="AF192" s="30" t="str" cm="1">
        <f t="array" ref="AF192">IF(Table21215[[#This Row],[8]]="","",Table21215[[#This Row],[Weight]:[Weight]]-(Table21215[[#This Row],[Weight]:[Weight]]*((_xlfn.XMATCH(Table21215[[#This Row],[8]],Table21215[[#This Row],[1]:[11]],0))-1)/(COUNTA(Table21215[[#This Row],[1]:[11]])-COUNTBLANK(Table21215[[#This Row],[1]:[11]])-1)))</f>
        <v/>
      </c>
      <c r="AG192" s="30" t="str" cm="1">
        <f t="array" ref="AG192">IF(Table21215[[#This Row],[9]]="","",Table21215[[#This Row],[Weight]:[Weight]]-(Table21215[[#This Row],[Weight]:[Weight]]*((_xlfn.XMATCH(Table21215[[#This Row],[9]],Table21215[[#This Row],[1]:[11]],0))-1)/(COUNTA(Table21215[[#This Row],[1]:[11]])-COUNTBLANK(Table21215[[#This Row],[1]:[11]])-1)))</f>
        <v/>
      </c>
      <c r="AH192" s="30" t="str" cm="1">
        <f t="array" ref="AH192">IF(Table21215[[#This Row],[10]]="","",Table21215[[#This Row],[Weight]:[Weight]]-(Table21215[[#This Row],[Weight]:[Weight]]*((_xlfn.XMATCH(Table21215[[#This Row],[10]],Table21215[[#This Row],[1]:[11]],0))-1)/(COUNTA(Table21215[[#This Row],[1]:[11]])-COUNTBLANK(Table21215[[#This Row],[1]:[11]])-1)))</f>
        <v/>
      </c>
      <c r="AI192" s="30" t="str" cm="1">
        <f t="array" ref="AI192">IF(Table21215[[#This Row],[11]]="","",Table21215[[#This Row],[Weight]:[Weight]]-(Table21215[[#This Row],[Weight]:[Weight]]*((_xlfn.XMATCH(Table21215[[#This Row],[11]],Table21215[[#This Row],[1]:[11]],0))-1)/(COUNTA(Table21215[[#This Row],[1]:[11]])-COUNTBLANK(Table21215[[#This Row],[1]:[11]])-1)))</f>
        <v/>
      </c>
    </row>
    <row r="193" spans="1:35" ht="108" x14ac:dyDescent="0.2">
      <c r="A193" s="20">
        <v>181</v>
      </c>
      <c r="B193" s="165" t="s">
        <v>1010</v>
      </c>
      <c r="C193" s="21" t="s">
        <v>826</v>
      </c>
      <c r="D193" s="38"/>
      <c r="E193" s="38"/>
      <c r="F193" s="159" t="s">
        <v>60</v>
      </c>
      <c r="G193" s="160" cm="1">
        <f t="array" ref="G193">_xlfn.IFS(F193="","",F193="No interest",0,F193="Nice to have",1,F193="Useful",2,F193="Important",3,F193="Very important",4,F193="Critical",5,F193="Show stopper",6)</f>
        <v>6</v>
      </c>
      <c r="H193" s="161">
        <f t="shared" si="4"/>
        <v>4.7656870532168391E-3</v>
      </c>
      <c r="I193" s="157" t="s">
        <v>827</v>
      </c>
      <c r="J193" s="35" t="str" cm="1">
        <f t="array" ref="J193">_xlfn.TEXTJOIN(","&amp;CHAR(10),,TEXT(Table21215[[#This Row],[12]:[22]],"0,00%"))</f>
        <v>0,00%,
0,00%,
0,00%,
0,00%</v>
      </c>
      <c r="K193" s="36"/>
      <c r="L193" s="37" t="e">
        <f>H193-(H193*((MATCH(Table21215[[#This Row],[Evaluators Response (SELECT)]],Table21215[[#This Row],[1]:[11]],0)-1)/(COUNTA(Table21215[[#This Row],[1]:[11]])-COUNTBLANK(Table21215[[#This Row],[1]:[11]])-1)))</f>
        <v>#N/A</v>
      </c>
      <c r="M193" s="38"/>
      <c r="N193" s="29" t="s">
        <v>828</v>
      </c>
      <c r="O193" s="29" t="s">
        <v>829</v>
      </c>
      <c r="P193" s="29" t="s">
        <v>830</v>
      </c>
      <c r="Q193" s="29" t="str" cm="1">
        <f t="array" ref="Q193">IFERROR(INDEX(_xlfn.UNIQUE(TRIM(_xlfn.TEXTSPLIT(Table21215[[#This Row],[Selection Options]:[Selection Options]],","))),,Q$11),"")</f>
        <v xml:space="preserve">
 0%: Not currently supported</v>
      </c>
      <c r="R193" s="29" t="str" cm="1">
        <f t="array" ref="R193">IFERROR(INDEX(_xlfn.UNIQUE(TRIM(_xlfn.TEXTSPLIT(Table21215[[#This Row],[Selection Options]:[Selection Options]],","))),,R$11),"")</f>
        <v/>
      </c>
      <c r="S193" s="29" t="str" cm="1">
        <f t="array" ref="S193">IFERROR(INDEX(_xlfn.UNIQUE(TRIM(_xlfn.TEXTSPLIT(Table21215[[#This Row],[Selection Options]:[Selection Options]],","))),,S$11),"")</f>
        <v/>
      </c>
      <c r="T193" s="29" t="str" cm="1">
        <f t="array" ref="T193">IFERROR(INDEX(_xlfn.UNIQUE(TRIM(_xlfn.TEXTSPLIT(Table21215[[#This Row],[Selection Options]:[Selection Options]],","))),,T$11),"")</f>
        <v/>
      </c>
      <c r="U193" s="29" t="str" cm="1">
        <f t="array" ref="U193">IFERROR(INDEX(_xlfn.UNIQUE(TRIM(_xlfn.TEXTSPLIT(Table21215[[#This Row],[Selection Options]:[Selection Options]],","))),,U$11),"")</f>
        <v/>
      </c>
      <c r="V193" s="29" t="str" cm="1">
        <f t="array" ref="V193">IFERROR(INDEX(_xlfn.UNIQUE(TRIM(_xlfn.TEXTSPLIT(Table21215[[#This Row],[Selection Options]:[Selection Options]],","))),,V$11),"")</f>
        <v/>
      </c>
      <c r="W193" s="29" t="str" cm="1">
        <f t="array" ref="W193">IFERROR(INDEX(_xlfn.UNIQUE(TRIM(_xlfn.TEXTSPLIT(Table21215[[#This Row],[Selection Options]:[Selection Options]],","))),,W$11),"")</f>
        <v/>
      </c>
      <c r="X193" s="29" t="str" cm="1">
        <f t="array" ref="X193">IFERROR(INDEX(_xlfn.UNIQUE(TRIM(_xlfn.TEXTSPLIT(Table21215[[#This Row],[Selection Options]:[Selection Options]],","))),,X$11),"")</f>
        <v/>
      </c>
      <c r="Y193" s="30" cm="1">
        <f t="array" ref="Y193">IF(Table21215[[#This Row],[1]]="","",Table21215[[#This Row],[Weight]:[Weight]]-(Table21215[[#This Row],[Weight]:[Weight]]*((_xlfn.XMATCH(Table21215[[#This Row],[1]],Table21215[[#This Row],[1]:[11]],0))-1)/(COUNTA(Table21215[[#This Row],[1]:[11]])-COUNTBLANK(Table21215[[#This Row],[1]:[11]])-1)))</f>
        <v>4.7656870532168391E-3</v>
      </c>
      <c r="Z193" s="30" cm="1">
        <f t="array" ref="Z193">IF(Table21215[[#This Row],[2]]="","",Table21215[[#This Row],[Weight]:[Weight]]-(Table21215[[#This Row],[Weight]:[Weight]]*((_xlfn.XMATCH(Table21215[[#This Row],[2]],Table21215[[#This Row],[1]:[11]],0))-1)/(COUNTA(Table21215[[#This Row],[1]:[11]])-COUNTBLANK(Table21215[[#This Row],[1]:[11]])-1)))</f>
        <v>3.1771247021445594E-3</v>
      </c>
      <c r="AA193" s="30" cm="1">
        <f t="array" ref="AA193">IF(Table21215[[#This Row],[3]]="","",Table21215[[#This Row],[Weight]:[Weight]]-(Table21215[[#This Row],[Weight]:[Weight]]*((_xlfn.XMATCH(Table21215[[#This Row],[3]],Table21215[[#This Row],[1]:[11]],0))-1)/(COUNTA(Table21215[[#This Row],[1]:[11]])-COUNTBLANK(Table21215[[#This Row],[1]:[11]])-1)))</f>
        <v>1.5885623510722797E-3</v>
      </c>
      <c r="AB193" s="30" cm="1">
        <f t="array" ref="AB193">IF(Table21215[[#This Row],[4]]="","",Table21215[[#This Row],[Weight]:[Weight]]-(Table21215[[#This Row],[Weight]:[Weight]]*((_xlfn.XMATCH(Table21215[[#This Row],[4]],Table21215[[#This Row],[1]:[11]],0))-1)/(COUNTA(Table21215[[#This Row],[1]:[11]])-COUNTBLANK(Table21215[[#This Row],[1]:[11]])-1)))</f>
        <v>0</v>
      </c>
      <c r="AC193" s="30" t="str" cm="1">
        <f t="array" ref="AC193">IF(Table21215[[#This Row],[5]]="","",Table21215[[#This Row],[Weight]:[Weight]]-(Table21215[[#This Row],[Weight]:[Weight]]*((_xlfn.XMATCH(Table21215[[#This Row],[5]],Table21215[[#This Row],[1]:[11]],0))-1)/(COUNTA(Table21215[[#This Row],[1]:[11]])-COUNTBLANK(Table21215[[#This Row],[1]:[11]])-1)))</f>
        <v/>
      </c>
      <c r="AD193" s="30" t="str" cm="1">
        <f t="array" ref="AD193">IF(Table21215[[#This Row],[6]]="","",Table21215[[#This Row],[Weight]:[Weight]]-(Table21215[[#This Row],[Weight]:[Weight]]*((_xlfn.XMATCH(Table21215[[#This Row],[6]],Table21215[[#This Row],[1]:[11]],0))-1)/(COUNTA(Table21215[[#This Row],[1]:[11]])-COUNTBLANK(Table21215[[#This Row],[1]:[11]])-1)))</f>
        <v/>
      </c>
      <c r="AE193" s="30" t="str" cm="1">
        <f t="array" ref="AE193">IF(Table21215[[#This Row],[7]]="","",Table21215[[#This Row],[Weight]:[Weight]]-(Table21215[[#This Row],[Weight]:[Weight]]*((_xlfn.XMATCH(Table21215[[#This Row],[7]],Table21215[[#This Row],[1]:[11]],0))-1)/(COUNTA(Table21215[[#This Row],[1]:[11]])-COUNTBLANK(Table21215[[#This Row],[1]:[11]])-1)))</f>
        <v/>
      </c>
      <c r="AF193" s="30" t="str" cm="1">
        <f t="array" ref="AF193">IF(Table21215[[#This Row],[8]]="","",Table21215[[#This Row],[Weight]:[Weight]]-(Table21215[[#This Row],[Weight]:[Weight]]*((_xlfn.XMATCH(Table21215[[#This Row],[8]],Table21215[[#This Row],[1]:[11]],0))-1)/(COUNTA(Table21215[[#This Row],[1]:[11]])-COUNTBLANK(Table21215[[#This Row],[1]:[11]])-1)))</f>
        <v/>
      </c>
      <c r="AG193" s="30" t="str" cm="1">
        <f t="array" ref="AG193">IF(Table21215[[#This Row],[9]]="","",Table21215[[#This Row],[Weight]:[Weight]]-(Table21215[[#This Row],[Weight]:[Weight]]*((_xlfn.XMATCH(Table21215[[#This Row],[9]],Table21215[[#This Row],[1]:[11]],0))-1)/(COUNTA(Table21215[[#This Row],[1]:[11]])-COUNTBLANK(Table21215[[#This Row],[1]:[11]])-1)))</f>
        <v/>
      </c>
      <c r="AH193" s="30" t="str" cm="1">
        <f t="array" ref="AH193">IF(Table21215[[#This Row],[10]]="","",Table21215[[#This Row],[Weight]:[Weight]]-(Table21215[[#This Row],[Weight]:[Weight]]*((_xlfn.XMATCH(Table21215[[#This Row],[10]],Table21215[[#This Row],[1]:[11]],0))-1)/(COUNTA(Table21215[[#This Row],[1]:[11]])-COUNTBLANK(Table21215[[#This Row],[1]:[11]])-1)))</f>
        <v/>
      </c>
      <c r="AI193" s="30" t="str" cm="1">
        <f t="array" ref="AI193">IF(Table21215[[#This Row],[11]]="","",Table21215[[#This Row],[Weight]:[Weight]]-(Table21215[[#This Row],[Weight]:[Weight]]*((_xlfn.XMATCH(Table21215[[#This Row],[11]],Table21215[[#This Row],[1]:[11]],0))-1)/(COUNTA(Table21215[[#This Row],[1]:[11]])-COUNTBLANK(Table21215[[#This Row],[1]:[11]])-1)))</f>
        <v/>
      </c>
    </row>
    <row r="194" spans="1:35" ht="108" x14ac:dyDescent="0.2">
      <c r="A194" s="20">
        <v>182</v>
      </c>
      <c r="B194" s="165" t="s">
        <v>1011</v>
      </c>
      <c r="C194" s="21" t="s">
        <v>826</v>
      </c>
      <c r="D194" s="38"/>
      <c r="E194" s="38"/>
      <c r="F194" s="159" t="s">
        <v>60</v>
      </c>
      <c r="G194" s="160" cm="1">
        <f t="array" ref="G194">_xlfn.IFS(F194="","",F194="No interest",0,F194="Nice to have",1,F194="Useful",2,F194="Important",3,F194="Very important",4,F194="Critical",5,F194="Show stopper",6)</f>
        <v>6</v>
      </c>
      <c r="H194" s="161">
        <f t="shared" si="4"/>
        <v>4.7656870532168391E-3</v>
      </c>
      <c r="I194" s="157" t="s">
        <v>827</v>
      </c>
      <c r="J194" s="35" t="str" cm="1">
        <f t="array" ref="J194">_xlfn.TEXTJOIN(","&amp;CHAR(10),,TEXT(Table21215[[#This Row],[12]:[22]],"0,00%"))</f>
        <v>0,00%,
0,00%,
0,00%,
0,00%</v>
      </c>
      <c r="K194" s="36"/>
      <c r="L194" s="37" t="e">
        <f>H194-(H194*((MATCH(Table21215[[#This Row],[Evaluators Response (SELECT)]],Table21215[[#This Row],[1]:[11]],0)-1)/(COUNTA(Table21215[[#This Row],[1]:[11]])-COUNTBLANK(Table21215[[#This Row],[1]:[11]])-1)))</f>
        <v>#N/A</v>
      </c>
      <c r="M194" s="38"/>
      <c r="N194" s="29" t="s">
        <v>828</v>
      </c>
      <c r="O194" s="29" t="s">
        <v>829</v>
      </c>
      <c r="P194" s="29" t="s">
        <v>830</v>
      </c>
      <c r="Q194" s="29" t="str" cm="1">
        <f t="array" ref="Q194">IFERROR(INDEX(_xlfn.UNIQUE(TRIM(_xlfn.TEXTSPLIT(Table21215[[#This Row],[Selection Options]:[Selection Options]],","))),,Q$11),"")</f>
        <v xml:space="preserve">
 0%: Not currently supported</v>
      </c>
      <c r="R194" s="29" t="str" cm="1">
        <f t="array" ref="R194">IFERROR(INDEX(_xlfn.UNIQUE(TRIM(_xlfn.TEXTSPLIT(Table21215[[#This Row],[Selection Options]:[Selection Options]],","))),,R$11),"")</f>
        <v/>
      </c>
      <c r="S194" s="29" t="str" cm="1">
        <f t="array" ref="S194">IFERROR(INDEX(_xlfn.UNIQUE(TRIM(_xlfn.TEXTSPLIT(Table21215[[#This Row],[Selection Options]:[Selection Options]],","))),,S$11),"")</f>
        <v/>
      </c>
      <c r="T194" s="29" t="str" cm="1">
        <f t="array" ref="T194">IFERROR(INDEX(_xlfn.UNIQUE(TRIM(_xlfn.TEXTSPLIT(Table21215[[#This Row],[Selection Options]:[Selection Options]],","))),,T$11),"")</f>
        <v/>
      </c>
      <c r="U194" s="29" t="str" cm="1">
        <f t="array" ref="U194">IFERROR(INDEX(_xlfn.UNIQUE(TRIM(_xlfn.TEXTSPLIT(Table21215[[#This Row],[Selection Options]:[Selection Options]],","))),,U$11),"")</f>
        <v/>
      </c>
      <c r="V194" s="29" t="str" cm="1">
        <f t="array" ref="V194">IFERROR(INDEX(_xlfn.UNIQUE(TRIM(_xlfn.TEXTSPLIT(Table21215[[#This Row],[Selection Options]:[Selection Options]],","))),,V$11),"")</f>
        <v/>
      </c>
      <c r="W194" s="29" t="str" cm="1">
        <f t="array" ref="W194">IFERROR(INDEX(_xlfn.UNIQUE(TRIM(_xlfn.TEXTSPLIT(Table21215[[#This Row],[Selection Options]:[Selection Options]],","))),,W$11),"")</f>
        <v/>
      </c>
      <c r="X194" s="29" t="str" cm="1">
        <f t="array" ref="X194">IFERROR(INDEX(_xlfn.UNIQUE(TRIM(_xlfn.TEXTSPLIT(Table21215[[#This Row],[Selection Options]:[Selection Options]],","))),,X$11),"")</f>
        <v/>
      </c>
      <c r="Y194" s="30" cm="1">
        <f t="array" ref="Y194">IF(Table21215[[#This Row],[1]]="","",Table21215[[#This Row],[Weight]:[Weight]]-(Table21215[[#This Row],[Weight]:[Weight]]*((_xlfn.XMATCH(Table21215[[#This Row],[1]],Table21215[[#This Row],[1]:[11]],0))-1)/(COUNTA(Table21215[[#This Row],[1]:[11]])-COUNTBLANK(Table21215[[#This Row],[1]:[11]])-1)))</f>
        <v>4.7656870532168391E-3</v>
      </c>
      <c r="Z194" s="30" cm="1">
        <f t="array" ref="Z194">IF(Table21215[[#This Row],[2]]="","",Table21215[[#This Row],[Weight]:[Weight]]-(Table21215[[#This Row],[Weight]:[Weight]]*((_xlfn.XMATCH(Table21215[[#This Row],[2]],Table21215[[#This Row],[1]:[11]],0))-1)/(COUNTA(Table21215[[#This Row],[1]:[11]])-COUNTBLANK(Table21215[[#This Row],[1]:[11]])-1)))</f>
        <v>3.1771247021445594E-3</v>
      </c>
      <c r="AA194" s="30" cm="1">
        <f t="array" ref="AA194">IF(Table21215[[#This Row],[3]]="","",Table21215[[#This Row],[Weight]:[Weight]]-(Table21215[[#This Row],[Weight]:[Weight]]*((_xlfn.XMATCH(Table21215[[#This Row],[3]],Table21215[[#This Row],[1]:[11]],0))-1)/(COUNTA(Table21215[[#This Row],[1]:[11]])-COUNTBLANK(Table21215[[#This Row],[1]:[11]])-1)))</f>
        <v>1.5885623510722797E-3</v>
      </c>
      <c r="AB194" s="30" cm="1">
        <f t="array" ref="AB194">IF(Table21215[[#This Row],[4]]="","",Table21215[[#This Row],[Weight]:[Weight]]-(Table21215[[#This Row],[Weight]:[Weight]]*((_xlfn.XMATCH(Table21215[[#This Row],[4]],Table21215[[#This Row],[1]:[11]],0))-1)/(COUNTA(Table21215[[#This Row],[1]:[11]])-COUNTBLANK(Table21215[[#This Row],[1]:[11]])-1)))</f>
        <v>0</v>
      </c>
      <c r="AC194" s="30" t="str" cm="1">
        <f t="array" ref="AC194">IF(Table21215[[#This Row],[5]]="","",Table21215[[#This Row],[Weight]:[Weight]]-(Table21215[[#This Row],[Weight]:[Weight]]*((_xlfn.XMATCH(Table21215[[#This Row],[5]],Table21215[[#This Row],[1]:[11]],0))-1)/(COUNTA(Table21215[[#This Row],[1]:[11]])-COUNTBLANK(Table21215[[#This Row],[1]:[11]])-1)))</f>
        <v/>
      </c>
      <c r="AD194" s="30" t="str" cm="1">
        <f t="array" ref="AD194">IF(Table21215[[#This Row],[6]]="","",Table21215[[#This Row],[Weight]:[Weight]]-(Table21215[[#This Row],[Weight]:[Weight]]*((_xlfn.XMATCH(Table21215[[#This Row],[6]],Table21215[[#This Row],[1]:[11]],0))-1)/(COUNTA(Table21215[[#This Row],[1]:[11]])-COUNTBLANK(Table21215[[#This Row],[1]:[11]])-1)))</f>
        <v/>
      </c>
      <c r="AE194" s="30" t="str" cm="1">
        <f t="array" ref="AE194">IF(Table21215[[#This Row],[7]]="","",Table21215[[#This Row],[Weight]:[Weight]]-(Table21215[[#This Row],[Weight]:[Weight]]*((_xlfn.XMATCH(Table21215[[#This Row],[7]],Table21215[[#This Row],[1]:[11]],0))-1)/(COUNTA(Table21215[[#This Row],[1]:[11]])-COUNTBLANK(Table21215[[#This Row],[1]:[11]])-1)))</f>
        <v/>
      </c>
      <c r="AF194" s="30" t="str" cm="1">
        <f t="array" ref="AF194">IF(Table21215[[#This Row],[8]]="","",Table21215[[#This Row],[Weight]:[Weight]]-(Table21215[[#This Row],[Weight]:[Weight]]*((_xlfn.XMATCH(Table21215[[#This Row],[8]],Table21215[[#This Row],[1]:[11]],0))-1)/(COUNTA(Table21215[[#This Row],[1]:[11]])-COUNTBLANK(Table21215[[#This Row],[1]:[11]])-1)))</f>
        <v/>
      </c>
      <c r="AG194" s="30" t="str" cm="1">
        <f t="array" ref="AG194">IF(Table21215[[#This Row],[9]]="","",Table21215[[#This Row],[Weight]:[Weight]]-(Table21215[[#This Row],[Weight]:[Weight]]*((_xlfn.XMATCH(Table21215[[#This Row],[9]],Table21215[[#This Row],[1]:[11]],0))-1)/(COUNTA(Table21215[[#This Row],[1]:[11]])-COUNTBLANK(Table21215[[#This Row],[1]:[11]])-1)))</f>
        <v/>
      </c>
      <c r="AH194" s="30" t="str" cm="1">
        <f t="array" ref="AH194">IF(Table21215[[#This Row],[10]]="","",Table21215[[#This Row],[Weight]:[Weight]]-(Table21215[[#This Row],[Weight]:[Weight]]*((_xlfn.XMATCH(Table21215[[#This Row],[10]],Table21215[[#This Row],[1]:[11]],0))-1)/(COUNTA(Table21215[[#This Row],[1]:[11]])-COUNTBLANK(Table21215[[#This Row],[1]:[11]])-1)))</f>
        <v/>
      </c>
      <c r="AI194" s="30" t="str" cm="1">
        <f t="array" ref="AI194">IF(Table21215[[#This Row],[11]]="","",Table21215[[#This Row],[Weight]:[Weight]]-(Table21215[[#This Row],[Weight]:[Weight]]*((_xlfn.XMATCH(Table21215[[#This Row],[11]],Table21215[[#This Row],[1]:[11]],0))-1)/(COUNTA(Table21215[[#This Row],[1]:[11]])-COUNTBLANK(Table21215[[#This Row],[1]:[11]])-1)))</f>
        <v/>
      </c>
    </row>
    <row r="195" spans="1:35" ht="108" x14ac:dyDescent="0.2">
      <c r="A195" s="20">
        <v>183</v>
      </c>
      <c r="B195" s="165" t="s">
        <v>1012</v>
      </c>
      <c r="C195" s="21" t="s">
        <v>826</v>
      </c>
      <c r="D195" s="38"/>
      <c r="E195" s="38"/>
      <c r="F195" s="159" t="s">
        <v>60</v>
      </c>
      <c r="G195" s="160" cm="1">
        <f t="array" ref="G195">_xlfn.IFS(F195="","",F195="No interest",0,F195="Nice to have",1,F195="Useful",2,F195="Important",3,F195="Very important",4,F195="Critical",5,F195="Show stopper",6)</f>
        <v>6</v>
      </c>
      <c r="H195" s="161">
        <f t="shared" si="4"/>
        <v>4.7656870532168391E-3</v>
      </c>
      <c r="I195" s="157" t="s">
        <v>827</v>
      </c>
      <c r="J195" s="35" t="str" cm="1">
        <f t="array" ref="J195">_xlfn.TEXTJOIN(","&amp;CHAR(10),,TEXT(Table21215[[#This Row],[12]:[22]],"0,00%"))</f>
        <v>0,00%,
0,00%,
0,00%,
0,00%</v>
      </c>
      <c r="K195" s="36"/>
      <c r="L195" s="37" t="e">
        <f>H195-(H195*((MATCH(Table21215[[#This Row],[Evaluators Response (SELECT)]],Table21215[[#This Row],[1]:[11]],0)-1)/(COUNTA(Table21215[[#This Row],[1]:[11]])-COUNTBLANK(Table21215[[#This Row],[1]:[11]])-1)))</f>
        <v>#N/A</v>
      </c>
      <c r="M195" s="38"/>
      <c r="N195" s="29" t="s">
        <v>828</v>
      </c>
      <c r="O195" s="29" t="s">
        <v>829</v>
      </c>
      <c r="P195" s="29" t="s">
        <v>830</v>
      </c>
      <c r="Q195" s="29" t="str" cm="1">
        <f t="array" ref="Q195">IFERROR(INDEX(_xlfn.UNIQUE(TRIM(_xlfn.TEXTSPLIT(Table21215[[#This Row],[Selection Options]:[Selection Options]],","))),,Q$11),"")</f>
        <v xml:space="preserve">
 0%: Not currently supported</v>
      </c>
      <c r="R195" s="29" t="str" cm="1">
        <f t="array" ref="R195">IFERROR(INDEX(_xlfn.UNIQUE(TRIM(_xlfn.TEXTSPLIT(Table21215[[#This Row],[Selection Options]:[Selection Options]],","))),,R$11),"")</f>
        <v/>
      </c>
      <c r="S195" s="29" t="str" cm="1">
        <f t="array" ref="S195">IFERROR(INDEX(_xlfn.UNIQUE(TRIM(_xlfn.TEXTSPLIT(Table21215[[#This Row],[Selection Options]:[Selection Options]],","))),,S$11),"")</f>
        <v/>
      </c>
      <c r="T195" s="29" t="str" cm="1">
        <f t="array" ref="T195">IFERROR(INDEX(_xlfn.UNIQUE(TRIM(_xlfn.TEXTSPLIT(Table21215[[#This Row],[Selection Options]:[Selection Options]],","))),,T$11),"")</f>
        <v/>
      </c>
      <c r="U195" s="29" t="str" cm="1">
        <f t="array" ref="U195">IFERROR(INDEX(_xlfn.UNIQUE(TRIM(_xlfn.TEXTSPLIT(Table21215[[#This Row],[Selection Options]:[Selection Options]],","))),,U$11),"")</f>
        <v/>
      </c>
      <c r="V195" s="29" t="str" cm="1">
        <f t="array" ref="V195">IFERROR(INDEX(_xlfn.UNIQUE(TRIM(_xlfn.TEXTSPLIT(Table21215[[#This Row],[Selection Options]:[Selection Options]],","))),,V$11),"")</f>
        <v/>
      </c>
      <c r="W195" s="29" t="str" cm="1">
        <f t="array" ref="W195">IFERROR(INDEX(_xlfn.UNIQUE(TRIM(_xlfn.TEXTSPLIT(Table21215[[#This Row],[Selection Options]:[Selection Options]],","))),,W$11),"")</f>
        <v/>
      </c>
      <c r="X195" s="29" t="str" cm="1">
        <f t="array" ref="X195">IFERROR(INDEX(_xlfn.UNIQUE(TRIM(_xlfn.TEXTSPLIT(Table21215[[#This Row],[Selection Options]:[Selection Options]],","))),,X$11),"")</f>
        <v/>
      </c>
      <c r="Y195" s="30" cm="1">
        <f t="array" ref="Y195">IF(Table21215[[#This Row],[1]]="","",Table21215[[#This Row],[Weight]:[Weight]]-(Table21215[[#This Row],[Weight]:[Weight]]*((_xlfn.XMATCH(Table21215[[#This Row],[1]],Table21215[[#This Row],[1]:[11]],0))-1)/(COUNTA(Table21215[[#This Row],[1]:[11]])-COUNTBLANK(Table21215[[#This Row],[1]:[11]])-1)))</f>
        <v>4.7656870532168391E-3</v>
      </c>
      <c r="Z195" s="30" cm="1">
        <f t="array" ref="Z195">IF(Table21215[[#This Row],[2]]="","",Table21215[[#This Row],[Weight]:[Weight]]-(Table21215[[#This Row],[Weight]:[Weight]]*((_xlfn.XMATCH(Table21215[[#This Row],[2]],Table21215[[#This Row],[1]:[11]],0))-1)/(COUNTA(Table21215[[#This Row],[1]:[11]])-COUNTBLANK(Table21215[[#This Row],[1]:[11]])-1)))</f>
        <v>3.1771247021445594E-3</v>
      </c>
      <c r="AA195" s="30" cm="1">
        <f t="array" ref="AA195">IF(Table21215[[#This Row],[3]]="","",Table21215[[#This Row],[Weight]:[Weight]]-(Table21215[[#This Row],[Weight]:[Weight]]*((_xlfn.XMATCH(Table21215[[#This Row],[3]],Table21215[[#This Row],[1]:[11]],0))-1)/(COUNTA(Table21215[[#This Row],[1]:[11]])-COUNTBLANK(Table21215[[#This Row],[1]:[11]])-1)))</f>
        <v>1.5885623510722797E-3</v>
      </c>
      <c r="AB195" s="30" cm="1">
        <f t="array" ref="AB195">IF(Table21215[[#This Row],[4]]="","",Table21215[[#This Row],[Weight]:[Weight]]-(Table21215[[#This Row],[Weight]:[Weight]]*((_xlfn.XMATCH(Table21215[[#This Row],[4]],Table21215[[#This Row],[1]:[11]],0))-1)/(COUNTA(Table21215[[#This Row],[1]:[11]])-COUNTBLANK(Table21215[[#This Row],[1]:[11]])-1)))</f>
        <v>0</v>
      </c>
      <c r="AC195" s="30" t="str" cm="1">
        <f t="array" ref="AC195">IF(Table21215[[#This Row],[5]]="","",Table21215[[#This Row],[Weight]:[Weight]]-(Table21215[[#This Row],[Weight]:[Weight]]*((_xlfn.XMATCH(Table21215[[#This Row],[5]],Table21215[[#This Row],[1]:[11]],0))-1)/(COUNTA(Table21215[[#This Row],[1]:[11]])-COUNTBLANK(Table21215[[#This Row],[1]:[11]])-1)))</f>
        <v/>
      </c>
      <c r="AD195" s="30" t="str" cm="1">
        <f t="array" ref="AD195">IF(Table21215[[#This Row],[6]]="","",Table21215[[#This Row],[Weight]:[Weight]]-(Table21215[[#This Row],[Weight]:[Weight]]*((_xlfn.XMATCH(Table21215[[#This Row],[6]],Table21215[[#This Row],[1]:[11]],0))-1)/(COUNTA(Table21215[[#This Row],[1]:[11]])-COUNTBLANK(Table21215[[#This Row],[1]:[11]])-1)))</f>
        <v/>
      </c>
      <c r="AE195" s="30" t="str" cm="1">
        <f t="array" ref="AE195">IF(Table21215[[#This Row],[7]]="","",Table21215[[#This Row],[Weight]:[Weight]]-(Table21215[[#This Row],[Weight]:[Weight]]*((_xlfn.XMATCH(Table21215[[#This Row],[7]],Table21215[[#This Row],[1]:[11]],0))-1)/(COUNTA(Table21215[[#This Row],[1]:[11]])-COUNTBLANK(Table21215[[#This Row],[1]:[11]])-1)))</f>
        <v/>
      </c>
      <c r="AF195" s="30" t="str" cm="1">
        <f t="array" ref="AF195">IF(Table21215[[#This Row],[8]]="","",Table21215[[#This Row],[Weight]:[Weight]]-(Table21215[[#This Row],[Weight]:[Weight]]*((_xlfn.XMATCH(Table21215[[#This Row],[8]],Table21215[[#This Row],[1]:[11]],0))-1)/(COUNTA(Table21215[[#This Row],[1]:[11]])-COUNTBLANK(Table21215[[#This Row],[1]:[11]])-1)))</f>
        <v/>
      </c>
      <c r="AG195" s="30" t="str" cm="1">
        <f t="array" ref="AG195">IF(Table21215[[#This Row],[9]]="","",Table21215[[#This Row],[Weight]:[Weight]]-(Table21215[[#This Row],[Weight]:[Weight]]*((_xlfn.XMATCH(Table21215[[#This Row],[9]],Table21215[[#This Row],[1]:[11]],0))-1)/(COUNTA(Table21215[[#This Row],[1]:[11]])-COUNTBLANK(Table21215[[#This Row],[1]:[11]])-1)))</f>
        <v/>
      </c>
      <c r="AH195" s="30" t="str" cm="1">
        <f t="array" ref="AH195">IF(Table21215[[#This Row],[10]]="","",Table21215[[#This Row],[Weight]:[Weight]]-(Table21215[[#This Row],[Weight]:[Weight]]*((_xlfn.XMATCH(Table21215[[#This Row],[10]],Table21215[[#This Row],[1]:[11]],0))-1)/(COUNTA(Table21215[[#This Row],[1]:[11]])-COUNTBLANK(Table21215[[#This Row],[1]:[11]])-1)))</f>
        <v/>
      </c>
      <c r="AI195" s="30" t="str" cm="1">
        <f t="array" ref="AI195">IF(Table21215[[#This Row],[11]]="","",Table21215[[#This Row],[Weight]:[Weight]]-(Table21215[[#This Row],[Weight]:[Weight]]*((_xlfn.XMATCH(Table21215[[#This Row],[11]],Table21215[[#This Row],[1]:[11]],0))-1)/(COUNTA(Table21215[[#This Row],[1]:[11]])-COUNTBLANK(Table21215[[#This Row],[1]:[11]])-1)))</f>
        <v/>
      </c>
    </row>
    <row r="196" spans="1:35" ht="108" x14ac:dyDescent="0.2">
      <c r="A196" s="20">
        <v>184</v>
      </c>
      <c r="B196" s="165" t="s">
        <v>1013</v>
      </c>
      <c r="C196" s="21" t="s">
        <v>826</v>
      </c>
      <c r="D196" s="38"/>
      <c r="E196" s="38"/>
      <c r="F196" s="159" t="s">
        <v>188</v>
      </c>
      <c r="G196" s="160" cm="1">
        <f t="array" ref="G196">_xlfn.IFS(F196="","",F196="No interest",0,F196="Nice to have",1,F196="Useful",2,F196="Important",3,F196="Very important",4,F196="Critical",5,F196="Show stopper",6)</f>
        <v>5</v>
      </c>
      <c r="H196" s="161">
        <f t="shared" si="4"/>
        <v>3.9714058776806989E-3</v>
      </c>
      <c r="I196" s="157" t="s">
        <v>827</v>
      </c>
      <c r="J196" s="35" t="str" cm="1">
        <f t="array" ref="J196">_xlfn.TEXTJOIN(","&amp;CHAR(10),,TEXT(Table21215[[#This Row],[12]:[22]],"0,00%"))</f>
        <v>0,00%,
0,00%,
0,00%,
0,00%</v>
      </c>
      <c r="K196" s="36"/>
      <c r="L196" s="37" t="e">
        <f>H196-(H196*((MATCH(Table21215[[#This Row],[Evaluators Response (SELECT)]],Table21215[[#This Row],[1]:[11]],0)-1)/(COUNTA(Table21215[[#This Row],[1]:[11]])-COUNTBLANK(Table21215[[#This Row],[1]:[11]])-1)))</f>
        <v>#N/A</v>
      </c>
      <c r="M196" s="38"/>
      <c r="N196" s="29" t="s">
        <v>828</v>
      </c>
      <c r="O196" s="29" t="s">
        <v>829</v>
      </c>
      <c r="P196" s="29" t="s">
        <v>830</v>
      </c>
      <c r="Q196" s="29" t="str" cm="1">
        <f t="array" ref="Q196">IFERROR(INDEX(_xlfn.UNIQUE(TRIM(_xlfn.TEXTSPLIT(Table21215[[#This Row],[Selection Options]:[Selection Options]],","))),,Q$11),"")</f>
        <v xml:space="preserve">
 0%: Not currently supported</v>
      </c>
      <c r="R196" s="29" t="str" cm="1">
        <f t="array" ref="R196">IFERROR(INDEX(_xlfn.UNIQUE(TRIM(_xlfn.TEXTSPLIT(Table21215[[#This Row],[Selection Options]:[Selection Options]],","))),,R$11),"")</f>
        <v/>
      </c>
      <c r="S196" s="29" t="str" cm="1">
        <f t="array" ref="S196">IFERROR(INDEX(_xlfn.UNIQUE(TRIM(_xlfn.TEXTSPLIT(Table21215[[#This Row],[Selection Options]:[Selection Options]],","))),,S$11),"")</f>
        <v/>
      </c>
      <c r="T196" s="29" t="str" cm="1">
        <f t="array" ref="T196">IFERROR(INDEX(_xlfn.UNIQUE(TRIM(_xlfn.TEXTSPLIT(Table21215[[#This Row],[Selection Options]:[Selection Options]],","))),,T$11),"")</f>
        <v/>
      </c>
      <c r="U196" s="29" t="str" cm="1">
        <f t="array" ref="U196">IFERROR(INDEX(_xlfn.UNIQUE(TRIM(_xlfn.TEXTSPLIT(Table21215[[#This Row],[Selection Options]:[Selection Options]],","))),,U$11),"")</f>
        <v/>
      </c>
      <c r="V196" s="29" t="str" cm="1">
        <f t="array" ref="V196">IFERROR(INDEX(_xlfn.UNIQUE(TRIM(_xlfn.TEXTSPLIT(Table21215[[#This Row],[Selection Options]:[Selection Options]],","))),,V$11),"")</f>
        <v/>
      </c>
      <c r="W196" s="29" t="str" cm="1">
        <f t="array" ref="W196">IFERROR(INDEX(_xlfn.UNIQUE(TRIM(_xlfn.TEXTSPLIT(Table21215[[#This Row],[Selection Options]:[Selection Options]],","))),,W$11),"")</f>
        <v/>
      </c>
      <c r="X196" s="29" t="str" cm="1">
        <f t="array" ref="X196">IFERROR(INDEX(_xlfn.UNIQUE(TRIM(_xlfn.TEXTSPLIT(Table21215[[#This Row],[Selection Options]:[Selection Options]],","))),,X$11),"")</f>
        <v/>
      </c>
      <c r="Y196" s="30" cm="1">
        <f t="array" ref="Y196">IF(Table21215[[#This Row],[1]]="","",Table21215[[#This Row],[Weight]:[Weight]]-(Table21215[[#This Row],[Weight]:[Weight]]*((_xlfn.XMATCH(Table21215[[#This Row],[1]],Table21215[[#This Row],[1]:[11]],0))-1)/(COUNTA(Table21215[[#This Row],[1]:[11]])-COUNTBLANK(Table21215[[#This Row],[1]:[11]])-1)))</f>
        <v>3.9714058776806989E-3</v>
      </c>
      <c r="Z196" s="30" cm="1">
        <f t="array" ref="Z196">IF(Table21215[[#This Row],[2]]="","",Table21215[[#This Row],[Weight]:[Weight]]-(Table21215[[#This Row],[Weight]:[Weight]]*((_xlfn.XMATCH(Table21215[[#This Row],[2]],Table21215[[#This Row],[1]:[11]],0))-1)/(COUNTA(Table21215[[#This Row],[1]:[11]])-COUNTBLANK(Table21215[[#This Row],[1]:[11]])-1)))</f>
        <v>2.6476039184537992E-3</v>
      </c>
      <c r="AA196" s="30" cm="1">
        <f t="array" ref="AA196">IF(Table21215[[#This Row],[3]]="","",Table21215[[#This Row],[Weight]:[Weight]]-(Table21215[[#This Row],[Weight]:[Weight]]*((_xlfn.XMATCH(Table21215[[#This Row],[3]],Table21215[[#This Row],[1]:[11]],0))-1)/(COUNTA(Table21215[[#This Row],[1]:[11]])-COUNTBLANK(Table21215[[#This Row],[1]:[11]])-1)))</f>
        <v>1.3238019592268996E-3</v>
      </c>
      <c r="AB196" s="30" cm="1">
        <f t="array" ref="AB196">IF(Table21215[[#This Row],[4]]="","",Table21215[[#This Row],[Weight]:[Weight]]-(Table21215[[#This Row],[Weight]:[Weight]]*((_xlfn.XMATCH(Table21215[[#This Row],[4]],Table21215[[#This Row],[1]:[11]],0))-1)/(COUNTA(Table21215[[#This Row],[1]:[11]])-COUNTBLANK(Table21215[[#This Row],[1]:[11]])-1)))</f>
        <v>0</v>
      </c>
      <c r="AC196" s="30" t="str" cm="1">
        <f t="array" ref="AC196">IF(Table21215[[#This Row],[5]]="","",Table21215[[#This Row],[Weight]:[Weight]]-(Table21215[[#This Row],[Weight]:[Weight]]*((_xlfn.XMATCH(Table21215[[#This Row],[5]],Table21215[[#This Row],[1]:[11]],0))-1)/(COUNTA(Table21215[[#This Row],[1]:[11]])-COUNTBLANK(Table21215[[#This Row],[1]:[11]])-1)))</f>
        <v/>
      </c>
      <c r="AD196" s="30" t="str" cm="1">
        <f t="array" ref="AD196">IF(Table21215[[#This Row],[6]]="","",Table21215[[#This Row],[Weight]:[Weight]]-(Table21215[[#This Row],[Weight]:[Weight]]*((_xlfn.XMATCH(Table21215[[#This Row],[6]],Table21215[[#This Row],[1]:[11]],0))-1)/(COUNTA(Table21215[[#This Row],[1]:[11]])-COUNTBLANK(Table21215[[#This Row],[1]:[11]])-1)))</f>
        <v/>
      </c>
      <c r="AE196" s="30" t="str" cm="1">
        <f t="array" ref="AE196">IF(Table21215[[#This Row],[7]]="","",Table21215[[#This Row],[Weight]:[Weight]]-(Table21215[[#This Row],[Weight]:[Weight]]*((_xlfn.XMATCH(Table21215[[#This Row],[7]],Table21215[[#This Row],[1]:[11]],0))-1)/(COUNTA(Table21215[[#This Row],[1]:[11]])-COUNTBLANK(Table21215[[#This Row],[1]:[11]])-1)))</f>
        <v/>
      </c>
      <c r="AF196" s="30" t="str" cm="1">
        <f t="array" ref="AF196">IF(Table21215[[#This Row],[8]]="","",Table21215[[#This Row],[Weight]:[Weight]]-(Table21215[[#This Row],[Weight]:[Weight]]*((_xlfn.XMATCH(Table21215[[#This Row],[8]],Table21215[[#This Row],[1]:[11]],0))-1)/(COUNTA(Table21215[[#This Row],[1]:[11]])-COUNTBLANK(Table21215[[#This Row],[1]:[11]])-1)))</f>
        <v/>
      </c>
      <c r="AG196" s="30" t="str" cm="1">
        <f t="array" ref="AG196">IF(Table21215[[#This Row],[9]]="","",Table21215[[#This Row],[Weight]:[Weight]]-(Table21215[[#This Row],[Weight]:[Weight]]*((_xlfn.XMATCH(Table21215[[#This Row],[9]],Table21215[[#This Row],[1]:[11]],0))-1)/(COUNTA(Table21215[[#This Row],[1]:[11]])-COUNTBLANK(Table21215[[#This Row],[1]:[11]])-1)))</f>
        <v/>
      </c>
      <c r="AH196" s="30" t="str" cm="1">
        <f t="array" ref="AH196">IF(Table21215[[#This Row],[10]]="","",Table21215[[#This Row],[Weight]:[Weight]]-(Table21215[[#This Row],[Weight]:[Weight]]*((_xlfn.XMATCH(Table21215[[#This Row],[10]],Table21215[[#This Row],[1]:[11]],0))-1)/(COUNTA(Table21215[[#This Row],[1]:[11]])-COUNTBLANK(Table21215[[#This Row],[1]:[11]])-1)))</f>
        <v/>
      </c>
      <c r="AI196" s="30" t="str" cm="1">
        <f t="array" ref="AI196">IF(Table21215[[#This Row],[11]]="","",Table21215[[#This Row],[Weight]:[Weight]]-(Table21215[[#This Row],[Weight]:[Weight]]*((_xlfn.XMATCH(Table21215[[#This Row],[11]],Table21215[[#This Row],[1]:[11]],0))-1)/(COUNTA(Table21215[[#This Row],[1]:[11]])-COUNTBLANK(Table21215[[#This Row],[1]:[11]])-1)))</f>
        <v/>
      </c>
    </row>
    <row r="197" spans="1:35" ht="108" x14ac:dyDescent="0.2">
      <c r="A197" s="20">
        <v>185</v>
      </c>
      <c r="B197" s="165" t="s">
        <v>1014</v>
      </c>
      <c r="C197" s="21" t="s">
        <v>826</v>
      </c>
      <c r="D197" s="38"/>
      <c r="E197" s="38"/>
      <c r="F197" s="159" t="s">
        <v>188</v>
      </c>
      <c r="G197" s="160" cm="1">
        <f t="array" ref="G197">_xlfn.IFS(F197="","",F197="No interest",0,F197="Nice to have",1,F197="Useful",2,F197="Important",3,F197="Very important",4,F197="Critical",5,F197="Show stopper",6)</f>
        <v>5</v>
      </c>
      <c r="H197" s="161">
        <f t="shared" si="4"/>
        <v>3.9714058776806989E-3</v>
      </c>
      <c r="I197" s="157" t="s">
        <v>827</v>
      </c>
      <c r="J197" s="35" t="str" cm="1">
        <f t="array" ref="J197">_xlfn.TEXTJOIN(","&amp;CHAR(10),,TEXT(Table21215[[#This Row],[12]:[22]],"0,00%"))</f>
        <v>0,00%,
0,00%,
0,00%,
0,00%</v>
      </c>
      <c r="K197" s="36"/>
      <c r="L197" s="37" t="e">
        <f>H197-(H197*((MATCH(Table21215[[#This Row],[Evaluators Response (SELECT)]],Table21215[[#This Row],[1]:[11]],0)-1)/(COUNTA(Table21215[[#This Row],[1]:[11]])-COUNTBLANK(Table21215[[#This Row],[1]:[11]])-1)))</f>
        <v>#N/A</v>
      </c>
      <c r="M197" s="38"/>
      <c r="N197" s="29" t="s">
        <v>828</v>
      </c>
      <c r="O197" s="29" t="s">
        <v>829</v>
      </c>
      <c r="P197" s="29" t="s">
        <v>830</v>
      </c>
      <c r="Q197" s="29" t="str" cm="1">
        <f t="array" ref="Q197">IFERROR(INDEX(_xlfn.UNIQUE(TRIM(_xlfn.TEXTSPLIT(Table21215[[#This Row],[Selection Options]:[Selection Options]],","))),,Q$11),"")</f>
        <v xml:space="preserve">
 0%: Not currently supported</v>
      </c>
      <c r="R197" s="29" t="str" cm="1">
        <f t="array" ref="R197">IFERROR(INDEX(_xlfn.UNIQUE(TRIM(_xlfn.TEXTSPLIT(Table21215[[#This Row],[Selection Options]:[Selection Options]],","))),,R$11),"")</f>
        <v/>
      </c>
      <c r="S197" s="29" t="str" cm="1">
        <f t="array" ref="S197">IFERROR(INDEX(_xlfn.UNIQUE(TRIM(_xlfn.TEXTSPLIT(Table21215[[#This Row],[Selection Options]:[Selection Options]],","))),,S$11),"")</f>
        <v/>
      </c>
      <c r="T197" s="29" t="str" cm="1">
        <f t="array" ref="T197">IFERROR(INDEX(_xlfn.UNIQUE(TRIM(_xlfn.TEXTSPLIT(Table21215[[#This Row],[Selection Options]:[Selection Options]],","))),,T$11),"")</f>
        <v/>
      </c>
      <c r="U197" s="29" t="str" cm="1">
        <f t="array" ref="U197">IFERROR(INDEX(_xlfn.UNIQUE(TRIM(_xlfn.TEXTSPLIT(Table21215[[#This Row],[Selection Options]:[Selection Options]],","))),,U$11),"")</f>
        <v/>
      </c>
      <c r="V197" s="29" t="str" cm="1">
        <f t="array" ref="V197">IFERROR(INDEX(_xlfn.UNIQUE(TRIM(_xlfn.TEXTSPLIT(Table21215[[#This Row],[Selection Options]:[Selection Options]],","))),,V$11),"")</f>
        <v/>
      </c>
      <c r="W197" s="29" t="str" cm="1">
        <f t="array" ref="W197">IFERROR(INDEX(_xlfn.UNIQUE(TRIM(_xlfn.TEXTSPLIT(Table21215[[#This Row],[Selection Options]:[Selection Options]],","))),,W$11),"")</f>
        <v/>
      </c>
      <c r="X197" s="29" t="str" cm="1">
        <f t="array" ref="X197">IFERROR(INDEX(_xlfn.UNIQUE(TRIM(_xlfn.TEXTSPLIT(Table21215[[#This Row],[Selection Options]:[Selection Options]],","))),,X$11),"")</f>
        <v/>
      </c>
      <c r="Y197" s="30" cm="1">
        <f t="array" ref="Y197">IF(Table21215[[#This Row],[1]]="","",Table21215[[#This Row],[Weight]:[Weight]]-(Table21215[[#This Row],[Weight]:[Weight]]*((_xlfn.XMATCH(Table21215[[#This Row],[1]],Table21215[[#This Row],[1]:[11]],0))-1)/(COUNTA(Table21215[[#This Row],[1]:[11]])-COUNTBLANK(Table21215[[#This Row],[1]:[11]])-1)))</f>
        <v>3.9714058776806989E-3</v>
      </c>
      <c r="Z197" s="30" cm="1">
        <f t="array" ref="Z197">IF(Table21215[[#This Row],[2]]="","",Table21215[[#This Row],[Weight]:[Weight]]-(Table21215[[#This Row],[Weight]:[Weight]]*((_xlfn.XMATCH(Table21215[[#This Row],[2]],Table21215[[#This Row],[1]:[11]],0))-1)/(COUNTA(Table21215[[#This Row],[1]:[11]])-COUNTBLANK(Table21215[[#This Row],[1]:[11]])-1)))</f>
        <v>2.6476039184537992E-3</v>
      </c>
      <c r="AA197" s="30" cm="1">
        <f t="array" ref="AA197">IF(Table21215[[#This Row],[3]]="","",Table21215[[#This Row],[Weight]:[Weight]]-(Table21215[[#This Row],[Weight]:[Weight]]*((_xlfn.XMATCH(Table21215[[#This Row],[3]],Table21215[[#This Row],[1]:[11]],0))-1)/(COUNTA(Table21215[[#This Row],[1]:[11]])-COUNTBLANK(Table21215[[#This Row],[1]:[11]])-1)))</f>
        <v>1.3238019592268996E-3</v>
      </c>
      <c r="AB197" s="30" cm="1">
        <f t="array" ref="AB197">IF(Table21215[[#This Row],[4]]="","",Table21215[[#This Row],[Weight]:[Weight]]-(Table21215[[#This Row],[Weight]:[Weight]]*((_xlfn.XMATCH(Table21215[[#This Row],[4]],Table21215[[#This Row],[1]:[11]],0))-1)/(COUNTA(Table21215[[#This Row],[1]:[11]])-COUNTBLANK(Table21215[[#This Row],[1]:[11]])-1)))</f>
        <v>0</v>
      </c>
      <c r="AC197" s="30" t="str" cm="1">
        <f t="array" ref="AC197">IF(Table21215[[#This Row],[5]]="","",Table21215[[#This Row],[Weight]:[Weight]]-(Table21215[[#This Row],[Weight]:[Weight]]*((_xlfn.XMATCH(Table21215[[#This Row],[5]],Table21215[[#This Row],[1]:[11]],0))-1)/(COUNTA(Table21215[[#This Row],[1]:[11]])-COUNTBLANK(Table21215[[#This Row],[1]:[11]])-1)))</f>
        <v/>
      </c>
      <c r="AD197" s="30" t="str" cm="1">
        <f t="array" ref="AD197">IF(Table21215[[#This Row],[6]]="","",Table21215[[#This Row],[Weight]:[Weight]]-(Table21215[[#This Row],[Weight]:[Weight]]*((_xlfn.XMATCH(Table21215[[#This Row],[6]],Table21215[[#This Row],[1]:[11]],0))-1)/(COUNTA(Table21215[[#This Row],[1]:[11]])-COUNTBLANK(Table21215[[#This Row],[1]:[11]])-1)))</f>
        <v/>
      </c>
      <c r="AE197" s="30" t="str" cm="1">
        <f t="array" ref="AE197">IF(Table21215[[#This Row],[7]]="","",Table21215[[#This Row],[Weight]:[Weight]]-(Table21215[[#This Row],[Weight]:[Weight]]*((_xlfn.XMATCH(Table21215[[#This Row],[7]],Table21215[[#This Row],[1]:[11]],0))-1)/(COUNTA(Table21215[[#This Row],[1]:[11]])-COUNTBLANK(Table21215[[#This Row],[1]:[11]])-1)))</f>
        <v/>
      </c>
      <c r="AF197" s="30" t="str" cm="1">
        <f t="array" ref="AF197">IF(Table21215[[#This Row],[8]]="","",Table21215[[#This Row],[Weight]:[Weight]]-(Table21215[[#This Row],[Weight]:[Weight]]*((_xlfn.XMATCH(Table21215[[#This Row],[8]],Table21215[[#This Row],[1]:[11]],0))-1)/(COUNTA(Table21215[[#This Row],[1]:[11]])-COUNTBLANK(Table21215[[#This Row],[1]:[11]])-1)))</f>
        <v/>
      </c>
      <c r="AG197" s="30" t="str" cm="1">
        <f t="array" ref="AG197">IF(Table21215[[#This Row],[9]]="","",Table21215[[#This Row],[Weight]:[Weight]]-(Table21215[[#This Row],[Weight]:[Weight]]*((_xlfn.XMATCH(Table21215[[#This Row],[9]],Table21215[[#This Row],[1]:[11]],0))-1)/(COUNTA(Table21215[[#This Row],[1]:[11]])-COUNTBLANK(Table21215[[#This Row],[1]:[11]])-1)))</f>
        <v/>
      </c>
      <c r="AH197" s="30" t="str" cm="1">
        <f t="array" ref="AH197">IF(Table21215[[#This Row],[10]]="","",Table21215[[#This Row],[Weight]:[Weight]]-(Table21215[[#This Row],[Weight]:[Weight]]*((_xlfn.XMATCH(Table21215[[#This Row],[10]],Table21215[[#This Row],[1]:[11]],0))-1)/(COUNTA(Table21215[[#This Row],[1]:[11]])-COUNTBLANK(Table21215[[#This Row],[1]:[11]])-1)))</f>
        <v/>
      </c>
      <c r="AI197" s="30" t="str" cm="1">
        <f t="array" ref="AI197">IF(Table21215[[#This Row],[11]]="","",Table21215[[#This Row],[Weight]:[Weight]]-(Table21215[[#This Row],[Weight]:[Weight]]*((_xlfn.XMATCH(Table21215[[#This Row],[11]],Table21215[[#This Row],[1]:[11]],0))-1)/(COUNTA(Table21215[[#This Row],[1]:[11]])-COUNTBLANK(Table21215[[#This Row],[1]:[11]])-1)))</f>
        <v/>
      </c>
    </row>
    <row r="198" spans="1:35" ht="108" x14ac:dyDescent="0.2">
      <c r="A198" s="20">
        <v>186</v>
      </c>
      <c r="B198" s="165" t="s">
        <v>1015</v>
      </c>
      <c r="C198" s="21" t="s">
        <v>826</v>
      </c>
      <c r="D198" s="38"/>
      <c r="E198" s="38"/>
      <c r="F198" s="159" t="s">
        <v>188</v>
      </c>
      <c r="G198" s="160" cm="1">
        <f t="array" ref="G198">_xlfn.IFS(F198="","",F198="No interest",0,F198="Nice to have",1,F198="Useful",2,F198="Important",3,F198="Very important",4,F198="Critical",5,F198="Show stopper",6)</f>
        <v>5</v>
      </c>
      <c r="H198" s="161">
        <f t="shared" si="4"/>
        <v>3.9714058776806989E-3</v>
      </c>
      <c r="I198" s="157" t="s">
        <v>827</v>
      </c>
      <c r="J198" s="35" t="str" cm="1">
        <f t="array" ref="J198">_xlfn.TEXTJOIN(","&amp;CHAR(10),,TEXT(Table21215[[#This Row],[12]:[22]],"0,00%"))</f>
        <v>0,00%,
0,00%,
0,00%,
0,00%</v>
      </c>
      <c r="K198" s="36"/>
      <c r="L198" s="37" t="e">
        <f>H198-(H198*((MATCH(Table21215[[#This Row],[Evaluators Response (SELECT)]],Table21215[[#This Row],[1]:[11]],0)-1)/(COUNTA(Table21215[[#This Row],[1]:[11]])-COUNTBLANK(Table21215[[#This Row],[1]:[11]])-1)))</f>
        <v>#N/A</v>
      </c>
      <c r="M198" s="38"/>
      <c r="N198" s="29" t="s">
        <v>828</v>
      </c>
      <c r="O198" s="29" t="s">
        <v>829</v>
      </c>
      <c r="P198" s="29" t="s">
        <v>830</v>
      </c>
      <c r="Q198" s="29" t="str" cm="1">
        <f t="array" ref="Q198">IFERROR(INDEX(_xlfn.UNIQUE(TRIM(_xlfn.TEXTSPLIT(Table21215[[#This Row],[Selection Options]:[Selection Options]],","))),,Q$11),"")</f>
        <v xml:space="preserve">
 0%: Not currently supported</v>
      </c>
      <c r="R198" s="29" t="str" cm="1">
        <f t="array" ref="R198">IFERROR(INDEX(_xlfn.UNIQUE(TRIM(_xlfn.TEXTSPLIT(Table21215[[#This Row],[Selection Options]:[Selection Options]],","))),,R$11),"")</f>
        <v/>
      </c>
      <c r="S198" s="29" t="str" cm="1">
        <f t="array" ref="S198">IFERROR(INDEX(_xlfn.UNIQUE(TRIM(_xlfn.TEXTSPLIT(Table21215[[#This Row],[Selection Options]:[Selection Options]],","))),,S$11),"")</f>
        <v/>
      </c>
      <c r="T198" s="29" t="str" cm="1">
        <f t="array" ref="T198">IFERROR(INDEX(_xlfn.UNIQUE(TRIM(_xlfn.TEXTSPLIT(Table21215[[#This Row],[Selection Options]:[Selection Options]],","))),,T$11),"")</f>
        <v/>
      </c>
      <c r="U198" s="29" t="str" cm="1">
        <f t="array" ref="U198">IFERROR(INDEX(_xlfn.UNIQUE(TRIM(_xlfn.TEXTSPLIT(Table21215[[#This Row],[Selection Options]:[Selection Options]],","))),,U$11),"")</f>
        <v/>
      </c>
      <c r="V198" s="29" t="str" cm="1">
        <f t="array" ref="V198">IFERROR(INDEX(_xlfn.UNIQUE(TRIM(_xlfn.TEXTSPLIT(Table21215[[#This Row],[Selection Options]:[Selection Options]],","))),,V$11),"")</f>
        <v/>
      </c>
      <c r="W198" s="29" t="str" cm="1">
        <f t="array" ref="W198">IFERROR(INDEX(_xlfn.UNIQUE(TRIM(_xlfn.TEXTSPLIT(Table21215[[#This Row],[Selection Options]:[Selection Options]],","))),,W$11),"")</f>
        <v/>
      </c>
      <c r="X198" s="29" t="str" cm="1">
        <f t="array" ref="X198">IFERROR(INDEX(_xlfn.UNIQUE(TRIM(_xlfn.TEXTSPLIT(Table21215[[#This Row],[Selection Options]:[Selection Options]],","))),,X$11),"")</f>
        <v/>
      </c>
      <c r="Y198" s="30" cm="1">
        <f t="array" ref="Y198">IF(Table21215[[#This Row],[1]]="","",Table21215[[#This Row],[Weight]:[Weight]]-(Table21215[[#This Row],[Weight]:[Weight]]*((_xlfn.XMATCH(Table21215[[#This Row],[1]],Table21215[[#This Row],[1]:[11]],0))-1)/(COUNTA(Table21215[[#This Row],[1]:[11]])-COUNTBLANK(Table21215[[#This Row],[1]:[11]])-1)))</f>
        <v>3.9714058776806989E-3</v>
      </c>
      <c r="Z198" s="30" cm="1">
        <f t="array" ref="Z198">IF(Table21215[[#This Row],[2]]="","",Table21215[[#This Row],[Weight]:[Weight]]-(Table21215[[#This Row],[Weight]:[Weight]]*((_xlfn.XMATCH(Table21215[[#This Row],[2]],Table21215[[#This Row],[1]:[11]],0))-1)/(COUNTA(Table21215[[#This Row],[1]:[11]])-COUNTBLANK(Table21215[[#This Row],[1]:[11]])-1)))</f>
        <v>2.6476039184537992E-3</v>
      </c>
      <c r="AA198" s="30" cm="1">
        <f t="array" ref="AA198">IF(Table21215[[#This Row],[3]]="","",Table21215[[#This Row],[Weight]:[Weight]]-(Table21215[[#This Row],[Weight]:[Weight]]*((_xlfn.XMATCH(Table21215[[#This Row],[3]],Table21215[[#This Row],[1]:[11]],0))-1)/(COUNTA(Table21215[[#This Row],[1]:[11]])-COUNTBLANK(Table21215[[#This Row],[1]:[11]])-1)))</f>
        <v>1.3238019592268996E-3</v>
      </c>
      <c r="AB198" s="30" cm="1">
        <f t="array" ref="AB198">IF(Table21215[[#This Row],[4]]="","",Table21215[[#This Row],[Weight]:[Weight]]-(Table21215[[#This Row],[Weight]:[Weight]]*((_xlfn.XMATCH(Table21215[[#This Row],[4]],Table21215[[#This Row],[1]:[11]],0))-1)/(COUNTA(Table21215[[#This Row],[1]:[11]])-COUNTBLANK(Table21215[[#This Row],[1]:[11]])-1)))</f>
        <v>0</v>
      </c>
      <c r="AC198" s="30" t="str" cm="1">
        <f t="array" ref="AC198">IF(Table21215[[#This Row],[5]]="","",Table21215[[#This Row],[Weight]:[Weight]]-(Table21215[[#This Row],[Weight]:[Weight]]*((_xlfn.XMATCH(Table21215[[#This Row],[5]],Table21215[[#This Row],[1]:[11]],0))-1)/(COUNTA(Table21215[[#This Row],[1]:[11]])-COUNTBLANK(Table21215[[#This Row],[1]:[11]])-1)))</f>
        <v/>
      </c>
      <c r="AD198" s="30" t="str" cm="1">
        <f t="array" ref="AD198">IF(Table21215[[#This Row],[6]]="","",Table21215[[#This Row],[Weight]:[Weight]]-(Table21215[[#This Row],[Weight]:[Weight]]*((_xlfn.XMATCH(Table21215[[#This Row],[6]],Table21215[[#This Row],[1]:[11]],0))-1)/(COUNTA(Table21215[[#This Row],[1]:[11]])-COUNTBLANK(Table21215[[#This Row],[1]:[11]])-1)))</f>
        <v/>
      </c>
      <c r="AE198" s="30" t="str" cm="1">
        <f t="array" ref="AE198">IF(Table21215[[#This Row],[7]]="","",Table21215[[#This Row],[Weight]:[Weight]]-(Table21215[[#This Row],[Weight]:[Weight]]*((_xlfn.XMATCH(Table21215[[#This Row],[7]],Table21215[[#This Row],[1]:[11]],0))-1)/(COUNTA(Table21215[[#This Row],[1]:[11]])-COUNTBLANK(Table21215[[#This Row],[1]:[11]])-1)))</f>
        <v/>
      </c>
      <c r="AF198" s="30" t="str" cm="1">
        <f t="array" ref="AF198">IF(Table21215[[#This Row],[8]]="","",Table21215[[#This Row],[Weight]:[Weight]]-(Table21215[[#This Row],[Weight]:[Weight]]*((_xlfn.XMATCH(Table21215[[#This Row],[8]],Table21215[[#This Row],[1]:[11]],0))-1)/(COUNTA(Table21215[[#This Row],[1]:[11]])-COUNTBLANK(Table21215[[#This Row],[1]:[11]])-1)))</f>
        <v/>
      </c>
      <c r="AG198" s="30" t="str" cm="1">
        <f t="array" ref="AG198">IF(Table21215[[#This Row],[9]]="","",Table21215[[#This Row],[Weight]:[Weight]]-(Table21215[[#This Row],[Weight]:[Weight]]*((_xlfn.XMATCH(Table21215[[#This Row],[9]],Table21215[[#This Row],[1]:[11]],0))-1)/(COUNTA(Table21215[[#This Row],[1]:[11]])-COUNTBLANK(Table21215[[#This Row],[1]:[11]])-1)))</f>
        <v/>
      </c>
      <c r="AH198" s="30" t="str" cm="1">
        <f t="array" ref="AH198">IF(Table21215[[#This Row],[10]]="","",Table21215[[#This Row],[Weight]:[Weight]]-(Table21215[[#This Row],[Weight]:[Weight]]*((_xlfn.XMATCH(Table21215[[#This Row],[10]],Table21215[[#This Row],[1]:[11]],0))-1)/(COUNTA(Table21215[[#This Row],[1]:[11]])-COUNTBLANK(Table21215[[#This Row],[1]:[11]])-1)))</f>
        <v/>
      </c>
      <c r="AI198" s="30" t="str" cm="1">
        <f t="array" ref="AI198">IF(Table21215[[#This Row],[11]]="","",Table21215[[#This Row],[Weight]:[Weight]]-(Table21215[[#This Row],[Weight]:[Weight]]*((_xlfn.XMATCH(Table21215[[#This Row],[11]],Table21215[[#This Row],[1]:[11]],0))-1)/(COUNTA(Table21215[[#This Row],[1]:[11]])-COUNTBLANK(Table21215[[#This Row],[1]:[11]])-1)))</f>
        <v/>
      </c>
    </row>
    <row r="199" spans="1:35" ht="108" x14ac:dyDescent="0.2">
      <c r="A199" s="20">
        <v>187</v>
      </c>
      <c r="B199" s="165" t="s">
        <v>1016</v>
      </c>
      <c r="C199" s="21" t="s">
        <v>826</v>
      </c>
      <c r="D199" s="38"/>
      <c r="E199" s="38"/>
      <c r="F199" s="159" t="s">
        <v>188</v>
      </c>
      <c r="G199" s="160" cm="1">
        <f t="array" ref="G199">_xlfn.IFS(F199="","",F199="No interest",0,F199="Nice to have",1,F199="Useful",2,F199="Important",3,F199="Very important",4,F199="Critical",5,F199="Show stopper",6)</f>
        <v>5</v>
      </c>
      <c r="H199" s="161">
        <f t="shared" si="4"/>
        <v>3.9714058776806989E-3</v>
      </c>
      <c r="I199" s="157" t="s">
        <v>827</v>
      </c>
      <c r="J199" s="35" t="str" cm="1">
        <f t="array" ref="J199">_xlfn.TEXTJOIN(","&amp;CHAR(10),,TEXT(Table21215[[#This Row],[12]:[22]],"0,00%"))</f>
        <v>0,00%,
0,00%,
0,00%,
0,00%</v>
      </c>
      <c r="K199" s="36"/>
      <c r="L199" s="37" t="e">
        <f>H199-(H199*((MATCH(Table21215[[#This Row],[Evaluators Response (SELECT)]],Table21215[[#This Row],[1]:[11]],0)-1)/(COUNTA(Table21215[[#This Row],[1]:[11]])-COUNTBLANK(Table21215[[#This Row],[1]:[11]])-1)))</f>
        <v>#N/A</v>
      </c>
      <c r="M199" s="38"/>
      <c r="N199" s="29" t="s">
        <v>828</v>
      </c>
      <c r="O199" s="29" t="s">
        <v>829</v>
      </c>
      <c r="P199" s="29" t="s">
        <v>830</v>
      </c>
      <c r="Q199" s="29" t="str" cm="1">
        <f t="array" ref="Q199">IFERROR(INDEX(_xlfn.UNIQUE(TRIM(_xlfn.TEXTSPLIT(Table21215[[#This Row],[Selection Options]:[Selection Options]],","))),,Q$11),"")</f>
        <v xml:space="preserve">
 0%: Not currently supported</v>
      </c>
      <c r="R199" s="29" t="str" cm="1">
        <f t="array" ref="R199">IFERROR(INDEX(_xlfn.UNIQUE(TRIM(_xlfn.TEXTSPLIT(Table21215[[#This Row],[Selection Options]:[Selection Options]],","))),,R$11),"")</f>
        <v/>
      </c>
      <c r="S199" s="29" t="str" cm="1">
        <f t="array" ref="S199">IFERROR(INDEX(_xlfn.UNIQUE(TRIM(_xlfn.TEXTSPLIT(Table21215[[#This Row],[Selection Options]:[Selection Options]],","))),,S$11),"")</f>
        <v/>
      </c>
      <c r="T199" s="29" t="str" cm="1">
        <f t="array" ref="T199">IFERROR(INDEX(_xlfn.UNIQUE(TRIM(_xlfn.TEXTSPLIT(Table21215[[#This Row],[Selection Options]:[Selection Options]],","))),,T$11),"")</f>
        <v/>
      </c>
      <c r="U199" s="29" t="str" cm="1">
        <f t="array" ref="U199">IFERROR(INDEX(_xlfn.UNIQUE(TRIM(_xlfn.TEXTSPLIT(Table21215[[#This Row],[Selection Options]:[Selection Options]],","))),,U$11),"")</f>
        <v/>
      </c>
      <c r="V199" s="29" t="str" cm="1">
        <f t="array" ref="V199">IFERROR(INDEX(_xlfn.UNIQUE(TRIM(_xlfn.TEXTSPLIT(Table21215[[#This Row],[Selection Options]:[Selection Options]],","))),,V$11),"")</f>
        <v/>
      </c>
      <c r="W199" s="29" t="str" cm="1">
        <f t="array" ref="W199">IFERROR(INDEX(_xlfn.UNIQUE(TRIM(_xlfn.TEXTSPLIT(Table21215[[#This Row],[Selection Options]:[Selection Options]],","))),,W$11),"")</f>
        <v/>
      </c>
      <c r="X199" s="29" t="str" cm="1">
        <f t="array" ref="X199">IFERROR(INDEX(_xlfn.UNIQUE(TRIM(_xlfn.TEXTSPLIT(Table21215[[#This Row],[Selection Options]:[Selection Options]],","))),,X$11),"")</f>
        <v/>
      </c>
      <c r="Y199" s="30" cm="1">
        <f t="array" ref="Y199">IF(Table21215[[#This Row],[1]]="","",Table21215[[#This Row],[Weight]:[Weight]]-(Table21215[[#This Row],[Weight]:[Weight]]*((_xlfn.XMATCH(Table21215[[#This Row],[1]],Table21215[[#This Row],[1]:[11]],0))-1)/(COUNTA(Table21215[[#This Row],[1]:[11]])-COUNTBLANK(Table21215[[#This Row],[1]:[11]])-1)))</f>
        <v>3.9714058776806989E-3</v>
      </c>
      <c r="Z199" s="30" cm="1">
        <f t="array" ref="Z199">IF(Table21215[[#This Row],[2]]="","",Table21215[[#This Row],[Weight]:[Weight]]-(Table21215[[#This Row],[Weight]:[Weight]]*((_xlfn.XMATCH(Table21215[[#This Row],[2]],Table21215[[#This Row],[1]:[11]],0))-1)/(COUNTA(Table21215[[#This Row],[1]:[11]])-COUNTBLANK(Table21215[[#This Row],[1]:[11]])-1)))</f>
        <v>2.6476039184537992E-3</v>
      </c>
      <c r="AA199" s="30" cm="1">
        <f t="array" ref="AA199">IF(Table21215[[#This Row],[3]]="","",Table21215[[#This Row],[Weight]:[Weight]]-(Table21215[[#This Row],[Weight]:[Weight]]*((_xlfn.XMATCH(Table21215[[#This Row],[3]],Table21215[[#This Row],[1]:[11]],0))-1)/(COUNTA(Table21215[[#This Row],[1]:[11]])-COUNTBLANK(Table21215[[#This Row],[1]:[11]])-1)))</f>
        <v>1.3238019592268996E-3</v>
      </c>
      <c r="AB199" s="30" cm="1">
        <f t="array" ref="AB199">IF(Table21215[[#This Row],[4]]="","",Table21215[[#This Row],[Weight]:[Weight]]-(Table21215[[#This Row],[Weight]:[Weight]]*((_xlfn.XMATCH(Table21215[[#This Row],[4]],Table21215[[#This Row],[1]:[11]],0))-1)/(COUNTA(Table21215[[#This Row],[1]:[11]])-COUNTBLANK(Table21215[[#This Row],[1]:[11]])-1)))</f>
        <v>0</v>
      </c>
      <c r="AC199" s="30" t="str" cm="1">
        <f t="array" ref="AC199">IF(Table21215[[#This Row],[5]]="","",Table21215[[#This Row],[Weight]:[Weight]]-(Table21215[[#This Row],[Weight]:[Weight]]*((_xlfn.XMATCH(Table21215[[#This Row],[5]],Table21215[[#This Row],[1]:[11]],0))-1)/(COUNTA(Table21215[[#This Row],[1]:[11]])-COUNTBLANK(Table21215[[#This Row],[1]:[11]])-1)))</f>
        <v/>
      </c>
      <c r="AD199" s="30" t="str" cm="1">
        <f t="array" ref="AD199">IF(Table21215[[#This Row],[6]]="","",Table21215[[#This Row],[Weight]:[Weight]]-(Table21215[[#This Row],[Weight]:[Weight]]*((_xlfn.XMATCH(Table21215[[#This Row],[6]],Table21215[[#This Row],[1]:[11]],0))-1)/(COUNTA(Table21215[[#This Row],[1]:[11]])-COUNTBLANK(Table21215[[#This Row],[1]:[11]])-1)))</f>
        <v/>
      </c>
      <c r="AE199" s="30" t="str" cm="1">
        <f t="array" ref="AE199">IF(Table21215[[#This Row],[7]]="","",Table21215[[#This Row],[Weight]:[Weight]]-(Table21215[[#This Row],[Weight]:[Weight]]*((_xlfn.XMATCH(Table21215[[#This Row],[7]],Table21215[[#This Row],[1]:[11]],0))-1)/(COUNTA(Table21215[[#This Row],[1]:[11]])-COUNTBLANK(Table21215[[#This Row],[1]:[11]])-1)))</f>
        <v/>
      </c>
      <c r="AF199" s="30" t="str" cm="1">
        <f t="array" ref="AF199">IF(Table21215[[#This Row],[8]]="","",Table21215[[#This Row],[Weight]:[Weight]]-(Table21215[[#This Row],[Weight]:[Weight]]*((_xlfn.XMATCH(Table21215[[#This Row],[8]],Table21215[[#This Row],[1]:[11]],0))-1)/(COUNTA(Table21215[[#This Row],[1]:[11]])-COUNTBLANK(Table21215[[#This Row],[1]:[11]])-1)))</f>
        <v/>
      </c>
      <c r="AG199" s="30" t="str" cm="1">
        <f t="array" ref="AG199">IF(Table21215[[#This Row],[9]]="","",Table21215[[#This Row],[Weight]:[Weight]]-(Table21215[[#This Row],[Weight]:[Weight]]*((_xlfn.XMATCH(Table21215[[#This Row],[9]],Table21215[[#This Row],[1]:[11]],0))-1)/(COUNTA(Table21215[[#This Row],[1]:[11]])-COUNTBLANK(Table21215[[#This Row],[1]:[11]])-1)))</f>
        <v/>
      </c>
      <c r="AH199" s="30" t="str" cm="1">
        <f t="array" ref="AH199">IF(Table21215[[#This Row],[10]]="","",Table21215[[#This Row],[Weight]:[Weight]]-(Table21215[[#This Row],[Weight]:[Weight]]*((_xlfn.XMATCH(Table21215[[#This Row],[10]],Table21215[[#This Row],[1]:[11]],0))-1)/(COUNTA(Table21215[[#This Row],[1]:[11]])-COUNTBLANK(Table21215[[#This Row],[1]:[11]])-1)))</f>
        <v/>
      </c>
      <c r="AI199" s="30" t="str" cm="1">
        <f t="array" ref="AI199">IF(Table21215[[#This Row],[11]]="","",Table21215[[#This Row],[Weight]:[Weight]]-(Table21215[[#This Row],[Weight]:[Weight]]*((_xlfn.XMATCH(Table21215[[#This Row],[11]],Table21215[[#This Row],[1]:[11]],0))-1)/(COUNTA(Table21215[[#This Row],[1]:[11]])-COUNTBLANK(Table21215[[#This Row],[1]:[11]])-1)))</f>
        <v/>
      </c>
    </row>
    <row r="200" spans="1:35" ht="108" x14ac:dyDescent="0.2">
      <c r="A200" s="20">
        <v>188</v>
      </c>
      <c r="B200" s="165" t="s">
        <v>1017</v>
      </c>
      <c r="C200" s="21" t="s">
        <v>826</v>
      </c>
      <c r="D200" s="38"/>
      <c r="E200" s="38"/>
      <c r="F200" s="159" t="s">
        <v>60</v>
      </c>
      <c r="G200" s="160" cm="1">
        <f t="array" ref="G200">_xlfn.IFS(F200="","",F200="No interest",0,F200="Nice to have",1,F200="Useful",2,F200="Important",3,F200="Very important",4,F200="Critical",5,F200="Show stopper",6)</f>
        <v>6</v>
      </c>
      <c r="H200" s="161">
        <f t="shared" si="4"/>
        <v>4.7656870532168391E-3</v>
      </c>
      <c r="I200" s="157" t="s">
        <v>827</v>
      </c>
      <c r="J200" s="35" t="str" cm="1">
        <f t="array" ref="J200">_xlfn.TEXTJOIN(","&amp;CHAR(10),,TEXT(Table21215[[#This Row],[12]:[22]],"0,00%"))</f>
        <v>0,00%,
0,00%,
0,00%,
0,00%</v>
      </c>
      <c r="K200" s="36"/>
      <c r="L200" s="37" t="e">
        <f>H200-(H200*((MATCH(Table21215[[#This Row],[Evaluators Response (SELECT)]],Table21215[[#This Row],[1]:[11]],0)-1)/(COUNTA(Table21215[[#This Row],[1]:[11]])-COUNTBLANK(Table21215[[#This Row],[1]:[11]])-1)))</f>
        <v>#N/A</v>
      </c>
      <c r="M200" s="38"/>
      <c r="N200" s="29" t="s">
        <v>828</v>
      </c>
      <c r="O200" s="29" t="s">
        <v>829</v>
      </c>
      <c r="P200" s="29" t="s">
        <v>830</v>
      </c>
      <c r="Q200" s="29" t="str" cm="1">
        <f t="array" ref="Q200">IFERROR(INDEX(_xlfn.UNIQUE(TRIM(_xlfn.TEXTSPLIT(Table21215[[#This Row],[Selection Options]:[Selection Options]],","))),,Q$11),"")</f>
        <v xml:space="preserve">
 0%: Not currently supported</v>
      </c>
      <c r="R200" s="29" t="str" cm="1">
        <f t="array" ref="R200">IFERROR(INDEX(_xlfn.UNIQUE(TRIM(_xlfn.TEXTSPLIT(Table21215[[#This Row],[Selection Options]:[Selection Options]],","))),,R$11),"")</f>
        <v/>
      </c>
      <c r="S200" s="29" t="str" cm="1">
        <f t="array" ref="S200">IFERROR(INDEX(_xlfn.UNIQUE(TRIM(_xlfn.TEXTSPLIT(Table21215[[#This Row],[Selection Options]:[Selection Options]],","))),,S$11),"")</f>
        <v/>
      </c>
      <c r="T200" s="29" t="str" cm="1">
        <f t="array" ref="T200">IFERROR(INDEX(_xlfn.UNIQUE(TRIM(_xlfn.TEXTSPLIT(Table21215[[#This Row],[Selection Options]:[Selection Options]],","))),,T$11),"")</f>
        <v/>
      </c>
      <c r="U200" s="29" t="str" cm="1">
        <f t="array" ref="U200">IFERROR(INDEX(_xlfn.UNIQUE(TRIM(_xlfn.TEXTSPLIT(Table21215[[#This Row],[Selection Options]:[Selection Options]],","))),,U$11),"")</f>
        <v/>
      </c>
      <c r="V200" s="29" t="str" cm="1">
        <f t="array" ref="V200">IFERROR(INDEX(_xlfn.UNIQUE(TRIM(_xlfn.TEXTSPLIT(Table21215[[#This Row],[Selection Options]:[Selection Options]],","))),,V$11),"")</f>
        <v/>
      </c>
      <c r="W200" s="29" t="str" cm="1">
        <f t="array" ref="W200">IFERROR(INDEX(_xlfn.UNIQUE(TRIM(_xlfn.TEXTSPLIT(Table21215[[#This Row],[Selection Options]:[Selection Options]],","))),,W$11),"")</f>
        <v/>
      </c>
      <c r="X200" s="29" t="str" cm="1">
        <f t="array" ref="X200">IFERROR(INDEX(_xlfn.UNIQUE(TRIM(_xlfn.TEXTSPLIT(Table21215[[#This Row],[Selection Options]:[Selection Options]],","))),,X$11),"")</f>
        <v/>
      </c>
      <c r="Y200" s="30" cm="1">
        <f t="array" ref="Y200">IF(Table21215[[#This Row],[1]]="","",Table21215[[#This Row],[Weight]:[Weight]]-(Table21215[[#This Row],[Weight]:[Weight]]*((_xlfn.XMATCH(Table21215[[#This Row],[1]],Table21215[[#This Row],[1]:[11]],0))-1)/(COUNTA(Table21215[[#This Row],[1]:[11]])-COUNTBLANK(Table21215[[#This Row],[1]:[11]])-1)))</f>
        <v>4.7656870532168391E-3</v>
      </c>
      <c r="Z200" s="30" cm="1">
        <f t="array" ref="Z200">IF(Table21215[[#This Row],[2]]="","",Table21215[[#This Row],[Weight]:[Weight]]-(Table21215[[#This Row],[Weight]:[Weight]]*((_xlfn.XMATCH(Table21215[[#This Row],[2]],Table21215[[#This Row],[1]:[11]],0))-1)/(COUNTA(Table21215[[#This Row],[1]:[11]])-COUNTBLANK(Table21215[[#This Row],[1]:[11]])-1)))</f>
        <v>3.1771247021445594E-3</v>
      </c>
      <c r="AA200" s="30" cm="1">
        <f t="array" ref="AA200">IF(Table21215[[#This Row],[3]]="","",Table21215[[#This Row],[Weight]:[Weight]]-(Table21215[[#This Row],[Weight]:[Weight]]*((_xlfn.XMATCH(Table21215[[#This Row],[3]],Table21215[[#This Row],[1]:[11]],0))-1)/(COUNTA(Table21215[[#This Row],[1]:[11]])-COUNTBLANK(Table21215[[#This Row],[1]:[11]])-1)))</f>
        <v>1.5885623510722797E-3</v>
      </c>
      <c r="AB200" s="30" cm="1">
        <f t="array" ref="AB200">IF(Table21215[[#This Row],[4]]="","",Table21215[[#This Row],[Weight]:[Weight]]-(Table21215[[#This Row],[Weight]:[Weight]]*((_xlfn.XMATCH(Table21215[[#This Row],[4]],Table21215[[#This Row],[1]:[11]],0))-1)/(COUNTA(Table21215[[#This Row],[1]:[11]])-COUNTBLANK(Table21215[[#This Row],[1]:[11]])-1)))</f>
        <v>0</v>
      </c>
      <c r="AC200" s="30" t="str" cm="1">
        <f t="array" ref="AC200">IF(Table21215[[#This Row],[5]]="","",Table21215[[#This Row],[Weight]:[Weight]]-(Table21215[[#This Row],[Weight]:[Weight]]*((_xlfn.XMATCH(Table21215[[#This Row],[5]],Table21215[[#This Row],[1]:[11]],0))-1)/(COUNTA(Table21215[[#This Row],[1]:[11]])-COUNTBLANK(Table21215[[#This Row],[1]:[11]])-1)))</f>
        <v/>
      </c>
      <c r="AD200" s="30" t="str" cm="1">
        <f t="array" ref="AD200">IF(Table21215[[#This Row],[6]]="","",Table21215[[#This Row],[Weight]:[Weight]]-(Table21215[[#This Row],[Weight]:[Weight]]*((_xlfn.XMATCH(Table21215[[#This Row],[6]],Table21215[[#This Row],[1]:[11]],0))-1)/(COUNTA(Table21215[[#This Row],[1]:[11]])-COUNTBLANK(Table21215[[#This Row],[1]:[11]])-1)))</f>
        <v/>
      </c>
      <c r="AE200" s="30" t="str" cm="1">
        <f t="array" ref="AE200">IF(Table21215[[#This Row],[7]]="","",Table21215[[#This Row],[Weight]:[Weight]]-(Table21215[[#This Row],[Weight]:[Weight]]*((_xlfn.XMATCH(Table21215[[#This Row],[7]],Table21215[[#This Row],[1]:[11]],0))-1)/(COUNTA(Table21215[[#This Row],[1]:[11]])-COUNTBLANK(Table21215[[#This Row],[1]:[11]])-1)))</f>
        <v/>
      </c>
      <c r="AF200" s="30" t="str" cm="1">
        <f t="array" ref="AF200">IF(Table21215[[#This Row],[8]]="","",Table21215[[#This Row],[Weight]:[Weight]]-(Table21215[[#This Row],[Weight]:[Weight]]*((_xlfn.XMATCH(Table21215[[#This Row],[8]],Table21215[[#This Row],[1]:[11]],0))-1)/(COUNTA(Table21215[[#This Row],[1]:[11]])-COUNTBLANK(Table21215[[#This Row],[1]:[11]])-1)))</f>
        <v/>
      </c>
      <c r="AG200" s="30" t="str" cm="1">
        <f t="array" ref="AG200">IF(Table21215[[#This Row],[9]]="","",Table21215[[#This Row],[Weight]:[Weight]]-(Table21215[[#This Row],[Weight]:[Weight]]*((_xlfn.XMATCH(Table21215[[#This Row],[9]],Table21215[[#This Row],[1]:[11]],0))-1)/(COUNTA(Table21215[[#This Row],[1]:[11]])-COUNTBLANK(Table21215[[#This Row],[1]:[11]])-1)))</f>
        <v/>
      </c>
      <c r="AH200" s="30" t="str" cm="1">
        <f t="array" ref="AH200">IF(Table21215[[#This Row],[10]]="","",Table21215[[#This Row],[Weight]:[Weight]]-(Table21215[[#This Row],[Weight]:[Weight]]*((_xlfn.XMATCH(Table21215[[#This Row],[10]],Table21215[[#This Row],[1]:[11]],0))-1)/(COUNTA(Table21215[[#This Row],[1]:[11]])-COUNTBLANK(Table21215[[#This Row],[1]:[11]])-1)))</f>
        <v/>
      </c>
      <c r="AI200" s="30" t="str" cm="1">
        <f t="array" ref="AI200">IF(Table21215[[#This Row],[11]]="","",Table21215[[#This Row],[Weight]:[Weight]]-(Table21215[[#This Row],[Weight]:[Weight]]*((_xlfn.XMATCH(Table21215[[#This Row],[11]],Table21215[[#This Row],[1]:[11]],0))-1)/(COUNTA(Table21215[[#This Row],[1]:[11]])-COUNTBLANK(Table21215[[#This Row],[1]:[11]])-1)))</f>
        <v/>
      </c>
    </row>
    <row r="201" spans="1:35" ht="108" x14ac:dyDescent="0.2">
      <c r="A201" s="20">
        <v>189</v>
      </c>
      <c r="B201" s="165" t="s">
        <v>1018</v>
      </c>
      <c r="C201" s="21" t="s">
        <v>826</v>
      </c>
      <c r="D201" s="38"/>
      <c r="E201" s="38"/>
      <c r="F201" s="159" t="s">
        <v>60</v>
      </c>
      <c r="G201" s="160" cm="1">
        <f t="array" ref="G201">_xlfn.IFS(F201="","",F201="No interest",0,F201="Nice to have",1,F201="Useful",2,F201="Important",3,F201="Very important",4,F201="Critical",5,F201="Show stopper",6)</f>
        <v>6</v>
      </c>
      <c r="H201" s="161">
        <f t="shared" si="4"/>
        <v>4.7656870532168391E-3</v>
      </c>
      <c r="I201" s="157" t="s">
        <v>827</v>
      </c>
      <c r="J201" s="35" t="str" cm="1">
        <f t="array" ref="J201">_xlfn.TEXTJOIN(","&amp;CHAR(10),,TEXT(Table21215[[#This Row],[12]:[22]],"0,00%"))</f>
        <v>0,00%,
0,00%,
0,00%,
0,00%</v>
      </c>
      <c r="K201" s="36"/>
      <c r="L201" s="37" t="e">
        <f>H201-(H201*((MATCH(Table21215[[#This Row],[Evaluators Response (SELECT)]],Table21215[[#This Row],[1]:[11]],0)-1)/(COUNTA(Table21215[[#This Row],[1]:[11]])-COUNTBLANK(Table21215[[#This Row],[1]:[11]])-1)))</f>
        <v>#N/A</v>
      </c>
      <c r="M201" s="38"/>
      <c r="N201" s="29" t="s">
        <v>828</v>
      </c>
      <c r="O201" s="29" t="s">
        <v>829</v>
      </c>
      <c r="P201" s="29" t="s">
        <v>830</v>
      </c>
      <c r="Q201" s="29" t="str" cm="1">
        <f t="array" ref="Q201">IFERROR(INDEX(_xlfn.UNIQUE(TRIM(_xlfn.TEXTSPLIT(Table21215[[#This Row],[Selection Options]:[Selection Options]],","))),,Q$11),"")</f>
        <v xml:space="preserve">
 0%: Not currently supported</v>
      </c>
      <c r="R201" s="29" t="str" cm="1">
        <f t="array" ref="R201">IFERROR(INDEX(_xlfn.UNIQUE(TRIM(_xlfn.TEXTSPLIT(Table21215[[#This Row],[Selection Options]:[Selection Options]],","))),,R$11),"")</f>
        <v/>
      </c>
      <c r="S201" s="29" t="str" cm="1">
        <f t="array" ref="S201">IFERROR(INDEX(_xlfn.UNIQUE(TRIM(_xlfn.TEXTSPLIT(Table21215[[#This Row],[Selection Options]:[Selection Options]],","))),,S$11),"")</f>
        <v/>
      </c>
      <c r="T201" s="29" t="str" cm="1">
        <f t="array" ref="T201">IFERROR(INDEX(_xlfn.UNIQUE(TRIM(_xlfn.TEXTSPLIT(Table21215[[#This Row],[Selection Options]:[Selection Options]],","))),,T$11),"")</f>
        <v/>
      </c>
      <c r="U201" s="29" t="str" cm="1">
        <f t="array" ref="U201">IFERROR(INDEX(_xlfn.UNIQUE(TRIM(_xlfn.TEXTSPLIT(Table21215[[#This Row],[Selection Options]:[Selection Options]],","))),,U$11),"")</f>
        <v/>
      </c>
      <c r="V201" s="29" t="str" cm="1">
        <f t="array" ref="V201">IFERROR(INDEX(_xlfn.UNIQUE(TRIM(_xlfn.TEXTSPLIT(Table21215[[#This Row],[Selection Options]:[Selection Options]],","))),,V$11),"")</f>
        <v/>
      </c>
      <c r="W201" s="29" t="str" cm="1">
        <f t="array" ref="W201">IFERROR(INDEX(_xlfn.UNIQUE(TRIM(_xlfn.TEXTSPLIT(Table21215[[#This Row],[Selection Options]:[Selection Options]],","))),,W$11),"")</f>
        <v/>
      </c>
      <c r="X201" s="29" t="str" cm="1">
        <f t="array" ref="X201">IFERROR(INDEX(_xlfn.UNIQUE(TRIM(_xlfn.TEXTSPLIT(Table21215[[#This Row],[Selection Options]:[Selection Options]],","))),,X$11),"")</f>
        <v/>
      </c>
      <c r="Y201" s="30" cm="1">
        <f t="array" ref="Y201">IF(Table21215[[#This Row],[1]]="","",Table21215[[#This Row],[Weight]:[Weight]]-(Table21215[[#This Row],[Weight]:[Weight]]*((_xlfn.XMATCH(Table21215[[#This Row],[1]],Table21215[[#This Row],[1]:[11]],0))-1)/(COUNTA(Table21215[[#This Row],[1]:[11]])-COUNTBLANK(Table21215[[#This Row],[1]:[11]])-1)))</f>
        <v>4.7656870532168391E-3</v>
      </c>
      <c r="Z201" s="30" cm="1">
        <f t="array" ref="Z201">IF(Table21215[[#This Row],[2]]="","",Table21215[[#This Row],[Weight]:[Weight]]-(Table21215[[#This Row],[Weight]:[Weight]]*((_xlfn.XMATCH(Table21215[[#This Row],[2]],Table21215[[#This Row],[1]:[11]],0))-1)/(COUNTA(Table21215[[#This Row],[1]:[11]])-COUNTBLANK(Table21215[[#This Row],[1]:[11]])-1)))</f>
        <v>3.1771247021445594E-3</v>
      </c>
      <c r="AA201" s="30" cm="1">
        <f t="array" ref="AA201">IF(Table21215[[#This Row],[3]]="","",Table21215[[#This Row],[Weight]:[Weight]]-(Table21215[[#This Row],[Weight]:[Weight]]*((_xlfn.XMATCH(Table21215[[#This Row],[3]],Table21215[[#This Row],[1]:[11]],0))-1)/(COUNTA(Table21215[[#This Row],[1]:[11]])-COUNTBLANK(Table21215[[#This Row],[1]:[11]])-1)))</f>
        <v>1.5885623510722797E-3</v>
      </c>
      <c r="AB201" s="30" cm="1">
        <f t="array" ref="AB201">IF(Table21215[[#This Row],[4]]="","",Table21215[[#This Row],[Weight]:[Weight]]-(Table21215[[#This Row],[Weight]:[Weight]]*((_xlfn.XMATCH(Table21215[[#This Row],[4]],Table21215[[#This Row],[1]:[11]],0))-1)/(COUNTA(Table21215[[#This Row],[1]:[11]])-COUNTBLANK(Table21215[[#This Row],[1]:[11]])-1)))</f>
        <v>0</v>
      </c>
      <c r="AC201" s="30" t="str" cm="1">
        <f t="array" ref="AC201">IF(Table21215[[#This Row],[5]]="","",Table21215[[#This Row],[Weight]:[Weight]]-(Table21215[[#This Row],[Weight]:[Weight]]*((_xlfn.XMATCH(Table21215[[#This Row],[5]],Table21215[[#This Row],[1]:[11]],0))-1)/(COUNTA(Table21215[[#This Row],[1]:[11]])-COUNTBLANK(Table21215[[#This Row],[1]:[11]])-1)))</f>
        <v/>
      </c>
      <c r="AD201" s="30" t="str" cm="1">
        <f t="array" ref="AD201">IF(Table21215[[#This Row],[6]]="","",Table21215[[#This Row],[Weight]:[Weight]]-(Table21215[[#This Row],[Weight]:[Weight]]*((_xlfn.XMATCH(Table21215[[#This Row],[6]],Table21215[[#This Row],[1]:[11]],0))-1)/(COUNTA(Table21215[[#This Row],[1]:[11]])-COUNTBLANK(Table21215[[#This Row],[1]:[11]])-1)))</f>
        <v/>
      </c>
      <c r="AE201" s="30" t="str" cm="1">
        <f t="array" ref="AE201">IF(Table21215[[#This Row],[7]]="","",Table21215[[#This Row],[Weight]:[Weight]]-(Table21215[[#This Row],[Weight]:[Weight]]*((_xlfn.XMATCH(Table21215[[#This Row],[7]],Table21215[[#This Row],[1]:[11]],0))-1)/(COUNTA(Table21215[[#This Row],[1]:[11]])-COUNTBLANK(Table21215[[#This Row],[1]:[11]])-1)))</f>
        <v/>
      </c>
      <c r="AF201" s="30" t="str" cm="1">
        <f t="array" ref="AF201">IF(Table21215[[#This Row],[8]]="","",Table21215[[#This Row],[Weight]:[Weight]]-(Table21215[[#This Row],[Weight]:[Weight]]*((_xlfn.XMATCH(Table21215[[#This Row],[8]],Table21215[[#This Row],[1]:[11]],0))-1)/(COUNTA(Table21215[[#This Row],[1]:[11]])-COUNTBLANK(Table21215[[#This Row],[1]:[11]])-1)))</f>
        <v/>
      </c>
      <c r="AG201" s="30" t="str" cm="1">
        <f t="array" ref="AG201">IF(Table21215[[#This Row],[9]]="","",Table21215[[#This Row],[Weight]:[Weight]]-(Table21215[[#This Row],[Weight]:[Weight]]*((_xlfn.XMATCH(Table21215[[#This Row],[9]],Table21215[[#This Row],[1]:[11]],0))-1)/(COUNTA(Table21215[[#This Row],[1]:[11]])-COUNTBLANK(Table21215[[#This Row],[1]:[11]])-1)))</f>
        <v/>
      </c>
      <c r="AH201" s="30" t="str" cm="1">
        <f t="array" ref="AH201">IF(Table21215[[#This Row],[10]]="","",Table21215[[#This Row],[Weight]:[Weight]]-(Table21215[[#This Row],[Weight]:[Weight]]*((_xlfn.XMATCH(Table21215[[#This Row],[10]],Table21215[[#This Row],[1]:[11]],0))-1)/(COUNTA(Table21215[[#This Row],[1]:[11]])-COUNTBLANK(Table21215[[#This Row],[1]:[11]])-1)))</f>
        <v/>
      </c>
      <c r="AI201" s="30" t="str" cm="1">
        <f t="array" ref="AI201">IF(Table21215[[#This Row],[11]]="","",Table21215[[#This Row],[Weight]:[Weight]]-(Table21215[[#This Row],[Weight]:[Weight]]*((_xlfn.XMATCH(Table21215[[#This Row],[11]],Table21215[[#This Row],[1]:[11]],0))-1)/(COUNTA(Table21215[[#This Row],[1]:[11]])-COUNTBLANK(Table21215[[#This Row],[1]:[11]])-1)))</f>
        <v/>
      </c>
    </row>
    <row r="202" spans="1:35" ht="108" x14ac:dyDescent="0.2">
      <c r="A202" s="20">
        <v>190</v>
      </c>
      <c r="B202" s="165" t="s">
        <v>1019</v>
      </c>
      <c r="C202" s="21" t="s">
        <v>826</v>
      </c>
      <c r="D202" s="38"/>
      <c r="E202" s="38"/>
      <c r="F202" s="159" t="s">
        <v>60</v>
      </c>
      <c r="G202" s="160" cm="1">
        <f t="array" ref="G202">_xlfn.IFS(F202="","",F202="No interest",0,F202="Nice to have",1,F202="Useful",2,F202="Important",3,F202="Very important",4,F202="Critical",5,F202="Show stopper",6)</f>
        <v>6</v>
      </c>
      <c r="H202" s="161">
        <f t="shared" si="4"/>
        <v>4.7656870532168391E-3</v>
      </c>
      <c r="I202" s="157" t="s">
        <v>827</v>
      </c>
      <c r="J202" s="35" t="str" cm="1">
        <f t="array" ref="J202">_xlfn.TEXTJOIN(","&amp;CHAR(10),,TEXT(Table21215[[#This Row],[12]:[22]],"0,00%"))</f>
        <v>0,00%,
0,00%,
0,00%,
0,00%</v>
      </c>
      <c r="K202" s="36"/>
      <c r="L202" s="37" t="e">
        <f>H202-(H202*((MATCH(Table21215[[#This Row],[Evaluators Response (SELECT)]],Table21215[[#This Row],[1]:[11]],0)-1)/(COUNTA(Table21215[[#This Row],[1]:[11]])-COUNTBLANK(Table21215[[#This Row],[1]:[11]])-1)))</f>
        <v>#N/A</v>
      </c>
      <c r="M202" s="38"/>
      <c r="N202" s="29" t="s">
        <v>828</v>
      </c>
      <c r="O202" s="29" t="s">
        <v>829</v>
      </c>
      <c r="P202" s="29" t="s">
        <v>830</v>
      </c>
      <c r="Q202" s="29" t="str" cm="1">
        <f t="array" ref="Q202">IFERROR(INDEX(_xlfn.UNIQUE(TRIM(_xlfn.TEXTSPLIT(Table21215[[#This Row],[Selection Options]:[Selection Options]],","))),,Q$11),"")</f>
        <v xml:space="preserve">
 0%: Not currently supported</v>
      </c>
      <c r="R202" s="29" t="str" cm="1">
        <f t="array" ref="R202">IFERROR(INDEX(_xlfn.UNIQUE(TRIM(_xlfn.TEXTSPLIT(Table21215[[#This Row],[Selection Options]:[Selection Options]],","))),,R$11),"")</f>
        <v/>
      </c>
      <c r="S202" s="29" t="str" cm="1">
        <f t="array" ref="S202">IFERROR(INDEX(_xlfn.UNIQUE(TRIM(_xlfn.TEXTSPLIT(Table21215[[#This Row],[Selection Options]:[Selection Options]],","))),,S$11),"")</f>
        <v/>
      </c>
      <c r="T202" s="29" t="str" cm="1">
        <f t="array" ref="T202">IFERROR(INDEX(_xlfn.UNIQUE(TRIM(_xlfn.TEXTSPLIT(Table21215[[#This Row],[Selection Options]:[Selection Options]],","))),,T$11),"")</f>
        <v/>
      </c>
      <c r="U202" s="29" t="str" cm="1">
        <f t="array" ref="U202">IFERROR(INDEX(_xlfn.UNIQUE(TRIM(_xlfn.TEXTSPLIT(Table21215[[#This Row],[Selection Options]:[Selection Options]],","))),,U$11),"")</f>
        <v/>
      </c>
      <c r="V202" s="29" t="str" cm="1">
        <f t="array" ref="V202">IFERROR(INDEX(_xlfn.UNIQUE(TRIM(_xlfn.TEXTSPLIT(Table21215[[#This Row],[Selection Options]:[Selection Options]],","))),,V$11),"")</f>
        <v/>
      </c>
      <c r="W202" s="29" t="str" cm="1">
        <f t="array" ref="W202">IFERROR(INDEX(_xlfn.UNIQUE(TRIM(_xlfn.TEXTSPLIT(Table21215[[#This Row],[Selection Options]:[Selection Options]],","))),,W$11),"")</f>
        <v/>
      </c>
      <c r="X202" s="29" t="str" cm="1">
        <f t="array" ref="X202">IFERROR(INDEX(_xlfn.UNIQUE(TRIM(_xlfn.TEXTSPLIT(Table21215[[#This Row],[Selection Options]:[Selection Options]],","))),,X$11),"")</f>
        <v/>
      </c>
      <c r="Y202" s="30" cm="1">
        <f t="array" ref="Y202">IF(Table21215[[#This Row],[1]]="","",Table21215[[#This Row],[Weight]:[Weight]]-(Table21215[[#This Row],[Weight]:[Weight]]*((_xlfn.XMATCH(Table21215[[#This Row],[1]],Table21215[[#This Row],[1]:[11]],0))-1)/(COUNTA(Table21215[[#This Row],[1]:[11]])-COUNTBLANK(Table21215[[#This Row],[1]:[11]])-1)))</f>
        <v>4.7656870532168391E-3</v>
      </c>
      <c r="Z202" s="30" cm="1">
        <f t="array" ref="Z202">IF(Table21215[[#This Row],[2]]="","",Table21215[[#This Row],[Weight]:[Weight]]-(Table21215[[#This Row],[Weight]:[Weight]]*((_xlfn.XMATCH(Table21215[[#This Row],[2]],Table21215[[#This Row],[1]:[11]],0))-1)/(COUNTA(Table21215[[#This Row],[1]:[11]])-COUNTBLANK(Table21215[[#This Row],[1]:[11]])-1)))</f>
        <v>3.1771247021445594E-3</v>
      </c>
      <c r="AA202" s="30" cm="1">
        <f t="array" ref="AA202">IF(Table21215[[#This Row],[3]]="","",Table21215[[#This Row],[Weight]:[Weight]]-(Table21215[[#This Row],[Weight]:[Weight]]*((_xlfn.XMATCH(Table21215[[#This Row],[3]],Table21215[[#This Row],[1]:[11]],0))-1)/(COUNTA(Table21215[[#This Row],[1]:[11]])-COUNTBLANK(Table21215[[#This Row],[1]:[11]])-1)))</f>
        <v>1.5885623510722797E-3</v>
      </c>
      <c r="AB202" s="30" cm="1">
        <f t="array" ref="AB202">IF(Table21215[[#This Row],[4]]="","",Table21215[[#This Row],[Weight]:[Weight]]-(Table21215[[#This Row],[Weight]:[Weight]]*((_xlfn.XMATCH(Table21215[[#This Row],[4]],Table21215[[#This Row],[1]:[11]],0))-1)/(COUNTA(Table21215[[#This Row],[1]:[11]])-COUNTBLANK(Table21215[[#This Row],[1]:[11]])-1)))</f>
        <v>0</v>
      </c>
      <c r="AC202" s="30" t="str" cm="1">
        <f t="array" ref="AC202">IF(Table21215[[#This Row],[5]]="","",Table21215[[#This Row],[Weight]:[Weight]]-(Table21215[[#This Row],[Weight]:[Weight]]*((_xlfn.XMATCH(Table21215[[#This Row],[5]],Table21215[[#This Row],[1]:[11]],0))-1)/(COUNTA(Table21215[[#This Row],[1]:[11]])-COUNTBLANK(Table21215[[#This Row],[1]:[11]])-1)))</f>
        <v/>
      </c>
      <c r="AD202" s="30" t="str" cm="1">
        <f t="array" ref="AD202">IF(Table21215[[#This Row],[6]]="","",Table21215[[#This Row],[Weight]:[Weight]]-(Table21215[[#This Row],[Weight]:[Weight]]*((_xlfn.XMATCH(Table21215[[#This Row],[6]],Table21215[[#This Row],[1]:[11]],0))-1)/(COUNTA(Table21215[[#This Row],[1]:[11]])-COUNTBLANK(Table21215[[#This Row],[1]:[11]])-1)))</f>
        <v/>
      </c>
      <c r="AE202" s="30" t="str" cm="1">
        <f t="array" ref="AE202">IF(Table21215[[#This Row],[7]]="","",Table21215[[#This Row],[Weight]:[Weight]]-(Table21215[[#This Row],[Weight]:[Weight]]*((_xlfn.XMATCH(Table21215[[#This Row],[7]],Table21215[[#This Row],[1]:[11]],0))-1)/(COUNTA(Table21215[[#This Row],[1]:[11]])-COUNTBLANK(Table21215[[#This Row],[1]:[11]])-1)))</f>
        <v/>
      </c>
      <c r="AF202" s="30" t="str" cm="1">
        <f t="array" ref="AF202">IF(Table21215[[#This Row],[8]]="","",Table21215[[#This Row],[Weight]:[Weight]]-(Table21215[[#This Row],[Weight]:[Weight]]*((_xlfn.XMATCH(Table21215[[#This Row],[8]],Table21215[[#This Row],[1]:[11]],0))-1)/(COUNTA(Table21215[[#This Row],[1]:[11]])-COUNTBLANK(Table21215[[#This Row],[1]:[11]])-1)))</f>
        <v/>
      </c>
      <c r="AG202" s="30" t="str" cm="1">
        <f t="array" ref="AG202">IF(Table21215[[#This Row],[9]]="","",Table21215[[#This Row],[Weight]:[Weight]]-(Table21215[[#This Row],[Weight]:[Weight]]*((_xlfn.XMATCH(Table21215[[#This Row],[9]],Table21215[[#This Row],[1]:[11]],0))-1)/(COUNTA(Table21215[[#This Row],[1]:[11]])-COUNTBLANK(Table21215[[#This Row],[1]:[11]])-1)))</f>
        <v/>
      </c>
      <c r="AH202" s="30" t="str" cm="1">
        <f t="array" ref="AH202">IF(Table21215[[#This Row],[10]]="","",Table21215[[#This Row],[Weight]:[Weight]]-(Table21215[[#This Row],[Weight]:[Weight]]*((_xlfn.XMATCH(Table21215[[#This Row],[10]],Table21215[[#This Row],[1]:[11]],0))-1)/(COUNTA(Table21215[[#This Row],[1]:[11]])-COUNTBLANK(Table21215[[#This Row],[1]:[11]])-1)))</f>
        <v/>
      </c>
      <c r="AI202" s="30" t="str" cm="1">
        <f t="array" ref="AI202">IF(Table21215[[#This Row],[11]]="","",Table21215[[#This Row],[Weight]:[Weight]]-(Table21215[[#This Row],[Weight]:[Weight]]*((_xlfn.XMATCH(Table21215[[#This Row],[11]],Table21215[[#This Row],[1]:[11]],0))-1)/(COUNTA(Table21215[[#This Row],[1]:[11]])-COUNTBLANK(Table21215[[#This Row],[1]:[11]])-1)))</f>
        <v/>
      </c>
    </row>
    <row r="203" spans="1:35" ht="108" x14ac:dyDescent="0.2">
      <c r="A203" s="20">
        <v>191</v>
      </c>
      <c r="B203" s="165" t="s">
        <v>1020</v>
      </c>
      <c r="C203" s="21" t="s">
        <v>826</v>
      </c>
      <c r="D203" s="38"/>
      <c r="E203" s="38"/>
      <c r="F203" s="159" t="s">
        <v>60</v>
      </c>
      <c r="G203" s="160" cm="1">
        <f t="array" ref="G203">_xlfn.IFS(F203="","",F203="No interest",0,F203="Nice to have",1,F203="Useful",2,F203="Important",3,F203="Very important",4,F203="Critical",5,F203="Show stopper",6)</f>
        <v>6</v>
      </c>
      <c r="H203" s="161">
        <f t="shared" si="4"/>
        <v>4.7656870532168391E-3</v>
      </c>
      <c r="I203" s="157" t="s">
        <v>827</v>
      </c>
      <c r="J203" s="35" t="str" cm="1">
        <f t="array" ref="J203">_xlfn.TEXTJOIN(","&amp;CHAR(10),,TEXT(Table21215[[#This Row],[12]:[22]],"0,00%"))</f>
        <v>0,00%,
0,00%,
0,00%,
0,00%</v>
      </c>
      <c r="K203" s="36"/>
      <c r="L203" s="37" t="e">
        <f>H203-(H203*((MATCH(Table21215[[#This Row],[Evaluators Response (SELECT)]],Table21215[[#This Row],[1]:[11]],0)-1)/(COUNTA(Table21215[[#This Row],[1]:[11]])-COUNTBLANK(Table21215[[#This Row],[1]:[11]])-1)))</f>
        <v>#N/A</v>
      </c>
      <c r="M203" s="38"/>
      <c r="N203" s="29" t="s">
        <v>828</v>
      </c>
      <c r="O203" s="29" t="s">
        <v>829</v>
      </c>
      <c r="P203" s="29" t="s">
        <v>830</v>
      </c>
      <c r="Q203" s="29" t="str" cm="1">
        <f t="array" ref="Q203">IFERROR(INDEX(_xlfn.UNIQUE(TRIM(_xlfn.TEXTSPLIT(Table21215[[#This Row],[Selection Options]:[Selection Options]],","))),,Q$11),"")</f>
        <v xml:space="preserve">
 0%: Not currently supported</v>
      </c>
      <c r="R203" s="29" t="str" cm="1">
        <f t="array" ref="R203">IFERROR(INDEX(_xlfn.UNIQUE(TRIM(_xlfn.TEXTSPLIT(Table21215[[#This Row],[Selection Options]:[Selection Options]],","))),,R$11),"")</f>
        <v/>
      </c>
      <c r="S203" s="29" t="str" cm="1">
        <f t="array" ref="S203">IFERROR(INDEX(_xlfn.UNIQUE(TRIM(_xlfn.TEXTSPLIT(Table21215[[#This Row],[Selection Options]:[Selection Options]],","))),,S$11),"")</f>
        <v/>
      </c>
      <c r="T203" s="29" t="str" cm="1">
        <f t="array" ref="T203">IFERROR(INDEX(_xlfn.UNIQUE(TRIM(_xlfn.TEXTSPLIT(Table21215[[#This Row],[Selection Options]:[Selection Options]],","))),,T$11),"")</f>
        <v/>
      </c>
      <c r="U203" s="29" t="str" cm="1">
        <f t="array" ref="U203">IFERROR(INDEX(_xlfn.UNIQUE(TRIM(_xlfn.TEXTSPLIT(Table21215[[#This Row],[Selection Options]:[Selection Options]],","))),,U$11),"")</f>
        <v/>
      </c>
      <c r="V203" s="29" t="str" cm="1">
        <f t="array" ref="V203">IFERROR(INDEX(_xlfn.UNIQUE(TRIM(_xlfn.TEXTSPLIT(Table21215[[#This Row],[Selection Options]:[Selection Options]],","))),,V$11),"")</f>
        <v/>
      </c>
      <c r="W203" s="29" t="str" cm="1">
        <f t="array" ref="W203">IFERROR(INDEX(_xlfn.UNIQUE(TRIM(_xlfn.TEXTSPLIT(Table21215[[#This Row],[Selection Options]:[Selection Options]],","))),,W$11),"")</f>
        <v/>
      </c>
      <c r="X203" s="29" t="str" cm="1">
        <f t="array" ref="X203">IFERROR(INDEX(_xlfn.UNIQUE(TRIM(_xlfn.TEXTSPLIT(Table21215[[#This Row],[Selection Options]:[Selection Options]],","))),,X$11),"")</f>
        <v/>
      </c>
      <c r="Y203" s="30" cm="1">
        <f t="array" ref="Y203">IF(Table21215[[#This Row],[1]]="","",Table21215[[#This Row],[Weight]:[Weight]]-(Table21215[[#This Row],[Weight]:[Weight]]*((_xlfn.XMATCH(Table21215[[#This Row],[1]],Table21215[[#This Row],[1]:[11]],0))-1)/(COUNTA(Table21215[[#This Row],[1]:[11]])-COUNTBLANK(Table21215[[#This Row],[1]:[11]])-1)))</f>
        <v>4.7656870532168391E-3</v>
      </c>
      <c r="Z203" s="30" cm="1">
        <f t="array" ref="Z203">IF(Table21215[[#This Row],[2]]="","",Table21215[[#This Row],[Weight]:[Weight]]-(Table21215[[#This Row],[Weight]:[Weight]]*((_xlfn.XMATCH(Table21215[[#This Row],[2]],Table21215[[#This Row],[1]:[11]],0))-1)/(COUNTA(Table21215[[#This Row],[1]:[11]])-COUNTBLANK(Table21215[[#This Row],[1]:[11]])-1)))</f>
        <v>3.1771247021445594E-3</v>
      </c>
      <c r="AA203" s="30" cm="1">
        <f t="array" ref="AA203">IF(Table21215[[#This Row],[3]]="","",Table21215[[#This Row],[Weight]:[Weight]]-(Table21215[[#This Row],[Weight]:[Weight]]*((_xlfn.XMATCH(Table21215[[#This Row],[3]],Table21215[[#This Row],[1]:[11]],0))-1)/(COUNTA(Table21215[[#This Row],[1]:[11]])-COUNTBLANK(Table21215[[#This Row],[1]:[11]])-1)))</f>
        <v>1.5885623510722797E-3</v>
      </c>
      <c r="AB203" s="30" cm="1">
        <f t="array" ref="AB203">IF(Table21215[[#This Row],[4]]="","",Table21215[[#This Row],[Weight]:[Weight]]-(Table21215[[#This Row],[Weight]:[Weight]]*((_xlfn.XMATCH(Table21215[[#This Row],[4]],Table21215[[#This Row],[1]:[11]],0))-1)/(COUNTA(Table21215[[#This Row],[1]:[11]])-COUNTBLANK(Table21215[[#This Row],[1]:[11]])-1)))</f>
        <v>0</v>
      </c>
      <c r="AC203" s="30" t="str" cm="1">
        <f t="array" ref="AC203">IF(Table21215[[#This Row],[5]]="","",Table21215[[#This Row],[Weight]:[Weight]]-(Table21215[[#This Row],[Weight]:[Weight]]*((_xlfn.XMATCH(Table21215[[#This Row],[5]],Table21215[[#This Row],[1]:[11]],0))-1)/(COUNTA(Table21215[[#This Row],[1]:[11]])-COUNTBLANK(Table21215[[#This Row],[1]:[11]])-1)))</f>
        <v/>
      </c>
      <c r="AD203" s="30" t="str" cm="1">
        <f t="array" ref="AD203">IF(Table21215[[#This Row],[6]]="","",Table21215[[#This Row],[Weight]:[Weight]]-(Table21215[[#This Row],[Weight]:[Weight]]*((_xlfn.XMATCH(Table21215[[#This Row],[6]],Table21215[[#This Row],[1]:[11]],0))-1)/(COUNTA(Table21215[[#This Row],[1]:[11]])-COUNTBLANK(Table21215[[#This Row],[1]:[11]])-1)))</f>
        <v/>
      </c>
      <c r="AE203" s="30" t="str" cm="1">
        <f t="array" ref="AE203">IF(Table21215[[#This Row],[7]]="","",Table21215[[#This Row],[Weight]:[Weight]]-(Table21215[[#This Row],[Weight]:[Weight]]*((_xlfn.XMATCH(Table21215[[#This Row],[7]],Table21215[[#This Row],[1]:[11]],0))-1)/(COUNTA(Table21215[[#This Row],[1]:[11]])-COUNTBLANK(Table21215[[#This Row],[1]:[11]])-1)))</f>
        <v/>
      </c>
      <c r="AF203" s="30" t="str" cm="1">
        <f t="array" ref="AF203">IF(Table21215[[#This Row],[8]]="","",Table21215[[#This Row],[Weight]:[Weight]]-(Table21215[[#This Row],[Weight]:[Weight]]*((_xlfn.XMATCH(Table21215[[#This Row],[8]],Table21215[[#This Row],[1]:[11]],0))-1)/(COUNTA(Table21215[[#This Row],[1]:[11]])-COUNTBLANK(Table21215[[#This Row],[1]:[11]])-1)))</f>
        <v/>
      </c>
      <c r="AG203" s="30" t="str" cm="1">
        <f t="array" ref="AG203">IF(Table21215[[#This Row],[9]]="","",Table21215[[#This Row],[Weight]:[Weight]]-(Table21215[[#This Row],[Weight]:[Weight]]*((_xlfn.XMATCH(Table21215[[#This Row],[9]],Table21215[[#This Row],[1]:[11]],0))-1)/(COUNTA(Table21215[[#This Row],[1]:[11]])-COUNTBLANK(Table21215[[#This Row],[1]:[11]])-1)))</f>
        <v/>
      </c>
      <c r="AH203" s="30" t="str" cm="1">
        <f t="array" ref="AH203">IF(Table21215[[#This Row],[10]]="","",Table21215[[#This Row],[Weight]:[Weight]]-(Table21215[[#This Row],[Weight]:[Weight]]*((_xlfn.XMATCH(Table21215[[#This Row],[10]],Table21215[[#This Row],[1]:[11]],0))-1)/(COUNTA(Table21215[[#This Row],[1]:[11]])-COUNTBLANK(Table21215[[#This Row],[1]:[11]])-1)))</f>
        <v/>
      </c>
      <c r="AI203" s="30" t="str" cm="1">
        <f t="array" ref="AI203">IF(Table21215[[#This Row],[11]]="","",Table21215[[#This Row],[Weight]:[Weight]]-(Table21215[[#This Row],[Weight]:[Weight]]*((_xlfn.XMATCH(Table21215[[#This Row],[11]],Table21215[[#This Row],[1]:[11]],0))-1)/(COUNTA(Table21215[[#This Row],[1]:[11]])-COUNTBLANK(Table21215[[#This Row],[1]:[11]])-1)))</f>
        <v/>
      </c>
    </row>
    <row r="204" spans="1:35" ht="108" x14ac:dyDescent="0.2">
      <c r="A204" s="20">
        <v>192</v>
      </c>
      <c r="B204" s="165" t="s">
        <v>1021</v>
      </c>
      <c r="C204" s="21" t="s">
        <v>826</v>
      </c>
      <c r="D204" s="38"/>
      <c r="E204" s="38"/>
      <c r="F204" s="159" t="s">
        <v>60</v>
      </c>
      <c r="G204" s="160" cm="1">
        <f t="array" ref="G204">_xlfn.IFS(F204="","",F204="No interest",0,F204="Nice to have",1,F204="Useful",2,F204="Important",3,F204="Very important",4,F204="Critical",5,F204="Show stopper",6)</f>
        <v>6</v>
      </c>
      <c r="H204" s="161">
        <f t="shared" si="4"/>
        <v>4.7656870532168391E-3</v>
      </c>
      <c r="I204" s="157" t="s">
        <v>827</v>
      </c>
      <c r="J204" s="35" t="str" cm="1">
        <f t="array" ref="J204">_xlfn.TEXTJOIN(","&amp;CHAR(10),,TEXT(Table21215[[#This Row],[12]:[22]],"0,00%"))</f>
        <v>0,00%,
0,00%,
0,00%,
0,00%</v>
      </c>
      <c r="K204" s="36"/>
      <c r="L204" s="37" t="e">
        <f>H204-(H204*((MATCH(Table21215[[#This Row],[Evaluators Response (SELECT)]],Table21215[[#This Row],[1]:[11]],0)-1)/(COUNTA(Table21215[[#This Row],[1]:[11]])-COUNTBLANK(Table21215[[#This Row],[1]:[11]])-1)))</f>
        <v>#N/A</v>
      </c>
      <c r="M204" s="38"/>
      <c r="N204" s="29" t="s">
        <v>828</v>
      </c>
      <c r="O204" s="29" t="s">
        <v>829</v>
      </c>
      <c r="P204" s="29" t="s">
        <v>830</v>
      </c>
      <c r="Q204" s="29" t="str" cm="1">
        <f t="array" ref="Q204">IFERROR(INDEX(_xlfn.UNIQUE(TRIM(_xlfn.TEXTSPLIT(Table21215[[#This Row],[Selection Options]:[Selection Options]],","))),,Q$11),"")</f>
        <v xml:space="preserve">
 0%: Not currently supported</v>
      </c>
      <c r="R204" s="29" t="str" cm="1">
        <f t="array" ref="R204">IFERROR(INDEX(_xlfn.UNIQUE(TRIM(_xlfn.TEXTSPLIT(Table21215[[#This Row],[Selection Options]:[Selection Options]],","))),,R$11),"")</f>
        <v/>
      </c>
      <c r="S204" s="29" t="str" cm="1">
        <f t="array" ref="S204">IFERROR(INDEX(_xlfn.UNIQUE(TRIM(_xlfn.TEXTSPLIT(Table21215[[#This Row],[Selection Options]:[Selection Options]],","))),,S$11),"")</f>
        <v/>
      </c>
      <c r="T204" s="29" t="str" cm="1">
        <f t="array" ref="T204">IFERROR(INDEX(_xlfn.UNIQUE(TRIM(_xlfn.TEXTSPLIT(Table21215[[#This Row],[Selection Options]:[Selection Options]],","))),,T$11),"")</f>
        <v/>
      </c>
      <c r="U204" s="29" t="str" cm="1">
        <f t="array" ref="U204">IFERROR(INDEX(_xlfn.UNIQUE(TRIM(_xlfn.TEXTSPLIT(Table21215[[#This Row],[Selection Options]:[Selection Options]],","))),,U$11),"")</f>
        <v/>
      </c>
      <c r="V204" s="29" t="str" cm="1">
        <f t="array" ref="V204">IFERROR(INDEX(_xlfn.UNIQUE(TRIM(_xlfn.TEXTSPLIT(Table21215[[#This Row],[Selection Options]:[Selection Options]],","))),,V$11),"")</f>
        <v/>
      </c>
      <c r="W204" s="29" t="str" cm="1">
        <f t="array" ref="W204">IFERROR(INDEX(_xlfn.UNIQUE(TRIM(_xlfn.TEXTSPLIT(Table21215[[#This Row],[Selection Options]:[Selection Options]],","))),,W$11),"")</f>
        <v/>
      </c>
      <c r="X204" s="29" t="str" cm="1">
        <f t="array" ref="X204">IFERROR(INDEX(_xlfn.UNIQUE(TRIM(_xlfn.TEXTSPLIT(Table21215[[#This Row],[Selection Options]:[Selection Options]],","))),,X$11),"")</f>
        <v/>
      </c>
      <c r="Y204" s="30" cm="1">
        <f t="array" ref="Y204">IF(Table21215[[#This Row],[1]]="","",Table21215[[#This Row],[Weight]:[Weight]]-(Table21215[[#This Row],[Weight]:[Weight]]*((_xlfn.XMATCH(Table21215[[#This Row],[1]],Table21215[[#This Row],[1]:[11]],0))-1)/(COUNTA(Table21215[[#This Row],[1]:[11]])-COUNTBLANK(Table21215[[#This Row],[1]:[11]])-1)))</f>
        <v>4.7656870532168391E-3</v>
      </c>
      <c r="Z204" s="30" cm="1">
        <f t="array" ref="Z204">IF(Table21215[[#This Row],[2]]="","",Table21215[[#This Row],[Weight]:[Weight]]-(Table21215[[#This Row],[Weight]:[Weight]]*((_xlfn.XMATCH(Table21215[[#This Row],[2]],Table21215[[#This Row],[1]:[11]],0))-1)/(COUNTA(Table21215[[#This Row],[1]:[11]])-COUNTBLANK(Table21215[[#This Row],[1]:[11]])-1)))</f>
        <v>3.1771247021445594E-3</v>
      </c>
      <c r="AA204" s="30" cm="1">
        <f t="array" ref="AA204">IF(Table21215[[#This Row],[3]]="","",Table21215[[#This Row],[Weight]:[Weight]]-(Table21215[[#This Row],[Weight]:[Weight]]*((_xlfn.XMATCH(Table21215[[#This Row],[3]],Table21215[[#This Row],[1]:[11]],0))-1)/(COUNTA(Table21215[[#This Row],[1]:[11]])-COUNTBLANK(Table21215[[#This Row],[1]:[11]])-1)))</f>
        <v>1.5885623510722797E-3</v>
      </c>
      <c r="AB204" s="30" cm="1">
        <f t="array" ref="AB204">IF(Table21215[[#This Row],[4]]="","",Table21215[[#This Row],[Weight]:[Weight]]-(Table21215[[#This Row],[Weight]:[Weight]]*((_xlfn.XMATCH(Table21215[[#This Row],[4]],Table21215[[#This Row],[1]:[11]],0))-1)/(COUNTA(Table21215[[#This Row],[1]:[11]])-COUNTBLANK(Table21215[[#This Row],[1]:[11]])-1)))</f>
        <v>0</v>
      </c>
      <c r="AC204" s="30" t="str" cm="1">
        <f t="array" ref="AC204">IF(Table21215[[#This Row],[5]]="","",Table21215[[#This Row],[Weight]:[Weight]]-(Table21215[[#This Row],[Weight]:[Weight]]*((_xlfn.XMATCH(Table21215[[#This Row],[5]],Table21215[[#This Row],[1]:[11]],0))-1)/(COUNTA(Table21215[[#This Row],[1]:[11]])-COUNTBLANK(Table21215[[#This Row],[1]:[11]])-1)))</f>
        <v/>
      </c>
      <c r="AD204" s="30" t="str" cm="1">
        <f t="array" ref="AD204">IF(Table21215[[#This Row],[6]]="","",Table21215[[#This Row],[Weight]:[Weight]]-(Table21215[[#This Row],[Weight]:[Weight]]*((_xlfn.XMATCH(Table21215[[#This Row],[6]],Table21215[[#This Row],[1]:[11]],0))-1)/(COUNTA(Table21215[[#This Row],[1]:[11]])-COUNTBLANK(Table21215[[#This Row],[1]:[11]])-1)))</f>
        <v/>
      </c>
      <c r="AE204" s="30" t="str" cm="1">
        <f t="array" ref="AE204">IF(Table21215[[#This Row],[7]]="","",Table21215[[#This Row],[Weight]:[Weight]]-(Table21215[[#This Row],[Weight]:[Weight]]*((_xlfn.XMATCH(Table21215[[#This Row],[7]],Table21215[[#This Row],[1]:[11]],0))-1)/(COUNTA(Table21215[[#This Row],[1]:[11]])-COUNTBLANK(Table21215[[#This Row],[1]:[11]])-1)))</f>
        <v/>
      </c>
      <c r="AF204" s="30" t="str" cm="1">
        <f t="array" ref="AF204">IF(Table21215[[#This Row],[8]]="","",Table21215[[#This Row],[Weight]:[Weight]]-(Table21215[[#This Row],[Weight]:[Weight]]*((_xlfn.XMATCH(Table21215[[#This Row],[8]],Table21215[[#This Row],[1]:[11]],0))-1)/(COUNTA(Table21215[[#This Row],[1]:[11]])-COUNTBLANK(Table21215[[#This Row],[1]:[11]])-1)))</f>
        <v/>
      </c>
      <c r="AG204" s="30" t="str" cm="1">
        <f t="array" ref="AG204">IF(Table21215[[#This Row],[9]]="","",Table21215[[#This Row],[Weight]:[Weight]]-(Table21215[[#This Row],[Weight]:[Weight]]*((_xlfn.XMATCH(Table21215[[#This Row],[9]],Table21215[[#This Row],[1]:[11]],0))-1)/(COUNTA(Table21215[[#This Row],[1]:[11]])-COUNTBLANK(Table21215[[#This Row],[1]:[11]])-1)))</f>
        <v/>
      </c>
      <c r="AH204" s="30" t="str" cm="1">
        <f t="array" ref="AH204">IF(Table21215[[#This Row],[10]]="","",Table21215[[#This Row],[Weight]:[Weight]]-(Table21215[[#This Row],[Weight]:[Weight]]*((_xlfn.XMATCH(Table21215[[#This Row],[10]],Table21215[[#This Row],[1]:[11]],0))-1)/(COUNTA(Table21215[[#This Row],[1]:[11]])-COUNTBLANK(Table21215[[#This Row],[1]:[11]])-1)))</f>
        <v/>
      </c>
      <c r="AI204" s="30" t="str" cm="1">
        <f t="array" ref="AI204">IF(Table21215[[#This Row],[11]]="","",Table21215[[#This Row],[Weight]:[Weight]]-(Table21215[[#This Row],[Weight]:[Weight]]*((_xlfn.XMATCH(Table21215[[#This Row],[11]],Table21215[[#This Row],[1]:[11]],0))-1)/(COUNTA(Table21215[[#This Row],[1]:[11]])-COUNTBLANK(Table21215[[#This Row],[1]:[11]])-1)))</f>
        <v/>
      </c>
    </row>
    <row r="205" spans="1:35" ht="108" x14ac:dyDescent="0.2">
      <c r="A205" s="20">
        <v>193</v>
      </c>
      <c r="B205" s="165" t="s">
        <v>1022</v>
      </c>
      <c r="C205" s="21" t="s">
        <v>826</v>
      </c>
      <c r="D205" s="38"/>
      <c r="E205" s="38"/>
      <c r="F205" s="159" t="s">
        <v>60</v>
      </c>
      <c r="G205" s="160" cm="1">
        <f t="array" ref="G205">_xlfn.IFS(F205="","",F205="No interest",0,F205="Nice to have",1,F205="Useful",2,F205="Important",3,F205="Very important",4,F205="Critical",5,F205="Show stopper",6)</f>
        <v>6</v>
      </c>
      <c r="H205" s="161">
        <f t="shared" si="4"/>
        <v>4.7656870532168391E-3</v>
      </c>
      <c r="I205" s="157" t="s">
        <v>827</v>
      </c>
      <c r="J205" s="35" t="str" cm="1">
        <f t="array" ref="J205">_xlfn.TEXTJOIN(","&amp;CHAR(10),,TEXT(Table21215[[#This Row],[12]:[22]],"0,00%"))</f>
        <v>0,00%,
0,00%,
0,00%,
0,00%</v>
      </c>
      <c r="K205" s="36"/>
      <c r="L205" s="37" t="e">
        <f>H205-(H205*((MATCH(Table21215[[#This Row],[Evaluators Response (SELECT)]],Table21215[[#This Row],[1]:[11]],0)-1)/(COUNTA(Table21215[[#This Row],[1]:[11]])-COUNTBLANK(Table21215[[#This Row],[1]:[11]])-1)))</f>
        <v>#N/A</v>
      </c>
      <c r="M205" s="38"/>
      <c r="N205" s="29" t="s">
        <v>828</v>
      </c>
      <c r="O205" s="29" t="s">
        <v>829</v>
      </c>
      <c r="P205" s="29" t="s">
        <v>830</v>
      </c>
      <c r="Q205" s="29" t="str" cm="1">
        <f t="array" ref="Q205">IFERROR(INDEX(_xlfn.UNIQUE(TRIM(_xlfn.TEXTSPLIT(Table21215[[#This Row],[Selection Options]:[Selection Options]],","))),,Q$11),"")</f>
        <v xml:space="preserve">
 0%: Not currently supported</v>
      </c>
      <c r="R205" s="29" t="str" cm="1">
        <f t="array" ref="R205">IFERROR(INDEX(_xlfn.UNIQUE(TRIM(_xlfn.TEXTSPLIT(Table21215[[#This Row],[Selection Options]:[Selection Options]],","))),,R$11),"")</f>
        <v/>
      </c>
      <c r="S205" s="29" t="str" cm="1">
        <f t="array" ref="S205">IFERROR(INDEX(_xlfn.UNIQUE(TRIM(_xlfn.TEXTSPLIT(Table21215[[#This Row],[Selection Options]:[Selection Options]],","))),,S$11),"")</f>
        <v/>
      </c>
      <c r="T205" s="29" t="str" cm="1">
        <f t="array" ref="T205">IFERROR(INDEX(_xlfn.UNIQUE(TRIM(_xlfn.TEXTSPLIT(Table21215[[#This Row],[Selection Options]:[Selection Options]],","))),,T$11),"")</f>
        <v/>
      </c>
      <c r="U205" s="29" t="str" cm="1">
        <f t="array" ref="U205">IFERROR(INDEX(_xlfn.UNIQUE(TRIM(_xlfn.TEXTSPLIT(Table21215[[#This Row],[Selection Options]:[Selection Options]],","))),,U$11),"")</f>
        <v/>
      </c>
      <c r="V205" s="29" t="str" cm="1">
        <f t="array" ref="V205">IFERROR(INDEX(_xlfn.UNIQUE(TRIM(_xlfn.TEXTSPLIT(Table21215[[#This Row],[Selection Options]:[Selection Options]],","))),,V$11),"")</f>
        <v/>
      </c>
      <c r="W205" s="29" t="str" cm="1">
        <f t="array" ref="W205">IFERROR(INDEX(_xlfn.UNIQUE(TRIM(_xlfn.TEXTSPLIT(Table21215[[#This Row],[Selection Options]:[Selection Options]],","))),,W$11),"")</f>
        <v/>
      </c>
      <c r="X205" s="29" t="str" cm="1">
        <f t="array" ref="X205">IFERROR(INDEX(_xlfn.UNIQUE(TRIM(_xlfn.TEXTSPLIT(Table21215[[#This Row],[Selection Options]:[Selection Options]],","))),,X$11),"")</f>
        <v/>
      </c>
      <c r="Y205" s="30" cm="1">
        <f t="array" ref="Y205">IF(Table21215[[#This Row],[1]]="","",Table21215[[#This Row],[Weight]:[Weight]]-(Table21215[[#This Row],[Weight]:[Weight]]*((_xlfn.XMATCH(Table21215[[#This Row],[1]],Table21215[[#This Row],[1]:[11]],0))-1)/(COUNTA(Table21215[[#This Row],[1]:[11]])-COUNTBLANK(Table21215[[#This Row],[1]:[11]])-1)))</f>
        <v>4.7656870532168391E-3</v>
      </c>
      <c r="Z205" s="30" cm="1">
        <f t="array" ref="Z205">IF(Table21215[[#This Row],[2]]="","",Table21215[[#This Row],[Weight]:[Weight]]-(Table21215[[#This Row],[Weight]:[Weight]]*((_xlfn.XMATCH(Table21215[[#This Row],[2]],Table21215[[#This Row],[1]:[11]],0))-1)/(COUNTA(Table21215[[#This Row],[1]:[11]])-COUNTBLANK(Table21215[[#This Row],[1]:[11]])-1)))</f>
        <v>3.1771247021445594E-3</v>
      </c>
      <c r="AA205" s="30" cm="1">
        <f t="array" ref="AA205">IF(Table21215[[#This Row],[3]]="","",Table21215[[#This Row],[Weight]:[Weight]]-(Table21215[[#This Row],[Weight]:[Weight]]*((_xlfn.XMATCH(Table21215[[#This Row],[3]],Table21215[[#This Row],[1]:[11]],0))-1)/(COUNTA(Table21215[[#This Row],[1]:[11]])-COUNTBLANK(Table21215[[#This Row],[1]:[11]])-1)))</f>
        <v>1.5885623510722797E-3</v>
      </c>
      <c r="AB205" s="30" cm="1">
        <f t="array" ref="AB205">IF(Table21215[[#This Row],[4]]="","",Table21215[[#This Row],[Weight]:[Weight]]-(Table21215[[#This Row],[Weight]:[Weight]]*((_xlfn.XMATCH(Table21215[[#This Row],[4]],Table21215[[#This Row],[1]:[11]],0))-1)/(COUNTA(Table21215[[#This Row],[1]:[11]])-COUNTBLANK(Table21215[[#This Row],[1]:[11]])-1)))</f>
        <v>0</v>
      </c>
      <c r="AC205" s="30" t="str" cm="1">
        <f t="array" ref="AC205">IF(Table21215[[#This Row],[5]]="","",Table21215[[#This Row],[Weight]:[Weight]]-(Table21215[[#This Row],[Weight]:[Weight]]*((_xlfn.XMATCH(Table21215[[#This Row],[5]],Table21215[[#This Row],[1]:[11]],0))-1)/(COUNTA(Table21215[[#This Row],[1]:[11]])-COUNTBLANK(Table21215[[#This Row],[1]:[11]])-1)))</f>
        <v/>
      </c>
      <c r="AD205" s="30" t="str" cm="1">
        <f t="array" ref="AD205">IF(Table21215[[#This Row],[6]]="","",Table21215[[#This Row],[Weight]:[Weight]]-(Table21215[[#This Row],[Weight]:[Weight]]*((_xlfn.XMATCH(Table21215[[#This Row],[6]],Table21215[[#This Row],[1]:[11]],0))-1)/(COUNTA(Table21215[[#This Row],[1]:[11]])-COUNTBLANK(Table21215[[#This Row],[1]:[11]])-1)))</f>
        <v/>
      </c>
      <c r="AE205" s="30" t="str" cm="1">
        <f t="array" ref="AE205">IF(Table21215[[#This Row],[7]]="","",Table21215[[#This Row],[Weight]:[Weight]]-(Table21215[[#This Row],[Weight]:[Weight]]*((_xlfn.XMATCH(Table21215[[#This Row],[7]],Table21215[[#This Row],[1]:[11]],0))-1)/(COUNTA(Table21215[[#This Row],[1]:[11]])-COUNTBLANK(Table21215[[#This Row],[1]:[11]])-1)))</f>
        <v/>
      </c>
      <c r="AF205" s="30" t="str" cm="1">
        <f t="array" ref="AF205">IF(Table21215[[#This Row],[8]]="","",Table21215[[#This Row],[Weight]:[Weight]]-(Table21215[[#This Row],[Weight]:[Weight]]*((_xlfn.XMATCH(Table21215[[#This Row],[8]],Table21215[[#This Row],[1]:[11]],0))-1)/(COUNTA(Table21215[[#This Row],[1]:[11]])-COUNTBLANK(Table21215[[#This Row],[1]:[11]])-1)))</f>
        <v/>
      </c>
      <c r="AG205" s="30" t="str" cm="1">
        <f t="array" ref="AG205">IF(Table21215[[#This Row],[9]]="","",Table21215[[#This Row],[Weight]:[Weight]]-(Table21215[[#This Row],[Weight]:[Weight]]*((_xlfn.XMATCH(Table21215[[#This Row],[9]],Table21215[[#This Row],[1]:[11]],0))-1)/(COUNTA(Table21215[[#This Row],[1]:[11]])-COUNTBLANK(Table21215[[#This Row],[1]:[11]])-1)))</f>
        <v/>
      </c>
      <c r="AH205" s="30" t="str" cm="1">
        <f t="array" ref="AH205">IF(Table21215[[#This Row],[10]]="","",Table21215[[#This Row],[Weight]:[Weight]]-(Table21215[[#This Row],[Weight]:[Weight]]*((_xlfn.XMATCH(Table21215[[#This Row],[10]],Table21215[[#This Row],[1]:[11]],0))-1)/(COUNTA(Table21215[[#This Row],[1]:[11]])-COUNTBLANK(Table21215[[#This Row],[1]:[11]])-1)))</f>
        <v/>
      </c>
      <c r="AI205" s="30" t="str" cm="1">
        <f t="array" ref="AI205">IF(Table21215[[#This Row],[11]]="","",Table21215[[#This Row],[Weight]:[Weight]]-(Table21215[[#This Row],[Weight]:[Weight]]*((_xlfn.XMATCH(Table21215[[#This Row],[11]],Table21215[[#This Row],[1]:[11]],0))-1)/(COUNTA(Table21215[[#This Row],[1]:[11]])-COUNTBLANK(Table21215[[#This Row],[1]:[11]])-1)))</f>
        <v/>
      </c>
    </row>
    <row r="206" spans="1:35" ht="108" x14ac:dyDescent="0.2">
      <c r="A206" s="20">
        <v>194</v>
      </c>
      <c r="B206" s="165" t="s">
        <v>1023</v>
      </c>
      <c r="C206" s="21" t="s">
        <v>826</v>
      </c>
      <c r="D206" s="38"/>
      <c r="E206" s="38"/>
      <c r="F206" s="159" t="s">
        <v>60</v>
      </c>
      <c r="G206" s="160" cm="1">
        <f t="array" ref="G206">_xlfn.IFS(F206="","",F206="No interest",0,F206="Nice to have",1,F206="Useful",2,F206="Important",3,F206="Very important",4,F206="Critical",5,F206="Show stopper",6)</f>
        <v>6</v>
      </c>
      <c r="H206" s="161">
        <f t="shared" si="4"/>
        <v>4.7656870532168391E-3</v>
      </c>
      <c r="I206" s="157" t="s">
        <v>827</v>
      </c>
      <c r="J206" s="35" t="str" cm="1">
        <f t="array" ref="J206">_xlfn.TEXTJOIN(","&amp;CHAR(10),,TEXT(Table21215[[#This Row],[12]:[22]],"0,00%"))</f>
        <v>0,00%,
0,00%,
0,00%,
0,00%</v>
      </c>
      <c r="K206" s="36"/>
      <c r="L206" s="37" t="e">
        <f>H206-(H206*((MATCH(Table21215[[#This Row],[Evaluators Response (SELECT)]],Table21215[[#This Row],[1]:[11]],0)-1)/(COUNTA(Table21215[[#This Row],[1]:[11]])-COUNTBLANK(Table21215[[#This Row],[1]:[11]])-1)))</f>
        <v>#N/A</v>
      </c>
      <c r="M206" s="38"/>
      <c r="N206" s="29" t="s">
        <v>828</v>
      </c>
      <c r="O206" s="29" t="s">
        <v>829</v>
      </c>
      <c r="P206" s="29" t="s">
        <v>830</v>
      </c>
      <c r="Q206" s="29" t="str" cm="1">
        <f t="array" ref="Q206">IFERROR(INDEX(_xlfn.UNIQUE(TRIM(_xlfn.TEXTSPLIT(Table21215[[#This Row],[Selection Options]:[Selection Options]],","))),,Q$11),"")</f>
        <v xml:space="preserve">
 0%: Not currently supported</v>
      </c>
      <c r="R206" s="29" t="str" cm="1">
        <f t="array" ref="R206">IFERROR(INDEX(_xlfn.UNIQUE(TRIM(_xlfn.TEXTSPLIT(Table21215[[#This Row],[Selection Options]:[Selection Options]],","))),,R$11),"")</f>
        <v/>
      </c>
      <c r="S206" s="29" t="str" cm="1">
        <f t="array" ref="S206">IFERROR(INDEX(_xlfn.UNIQUE(TRIM(_xlfn.TEXTSPLIT(Table21215[[#This Row],[Selection Options]:[Selection Options]],","))),,S$11),"")</f>
        <v/>
      </c>
      <c r="T206" s="29" t="str" cm="1">
        <f t="array" ref="T206">IFERROR(INDEX(_xlfn.UNIQUE(TRIM(_xlfn.TEXTSPLIT(Table21215[[#This Row],[Selection Options]:[Selection Options]],","))),,T$11),"")</f>
        <v/>
      </c>
      <c r="U206" s="29" t="str" cm="1">
        <f t="array" ref="U206">IFERROR(INDEX(_xlfn.UNIQUE(TRIM(_xlfn.TEXTSPLIT(Table21215[[#This Row],[Selection Options]:[Selection Options]],","))),,U$11),"")</f>
        <v/>
      </c>
      <c r="V206" s="29" t="str" cm="1">
        <f t="array" ref="V206">IFERROR(INDEX(_xlfn.UNIQUE(TRIM(_xlfn.TEXTSPLIT(Table21215[[#This Row],[Selection Options]:[Selection Options]],","))),,V$11),"")</f>
        <v/>
      </c>
      <c r="W206" s="29" t="str" cm="1">
        <f t="array" ref="W206">IFERROR(INDEX(_xlfn.UNIQUE(TRIM(_xlfn.TEXTSPLIT(Table21215[[#This Row],[Selection Options]:[Selection Options]],","))),,W$11),"")</f>
        <v/>
      </c>
      <c r="X206" s="29" t="str" cm="1">
        <f t="array" ref="X206">IFERROR(INDEX(_xlfn.UNIQUE(TRIM(_xlfn.TEXTSPLIT(Table21215[[#This Row],[Selection Options]:[Selection Options]],","))),,X$11),"")</f>
        <v/>
      </c>
      <c r="Y206" s="30" cm="1">
        <f t="array" ref="Y206">IF(Table21215[[#This Row],[1]]="","",Table21215[[#This Row],[Weight]:[Weight]]-(Table21215[[#This Row],[Weight]:[Weight]]*((_xlfn.XMATCH(Table21215[[#This Row],[1]],Table21215[[#This Row],[1]:[11]],0))-1)/(COUNTA(Table21215[[#This Row],[1]:[11]])-COUNTBLANK(Table21215[[#This Row],[1]:[11]])-1)))</f>
        <v>4.7656870532168391E-3</v>
      </c>
      <c r="Z206" s="30" cm="1">
        <f t="array" ref="Z206">IF(Table21215[[#This Row],[2]]="","",Table21215[[#This Row],[Weight]:[Weight]]-(Table21215[[#This Row],[Weight]:[Weight]]*((_xlfn.XMATCH(Table21215[[#This Row],[2]],Table21215[[#This Row],[1]:[11]],0))-1)/(COUNTA(Table21215[[#This Row],[1]:[11]])-COUNTBLANK(Table21215[[#This Row],[1]:[11]])-1)))</f>
        <v>3.1771247021445594E-3</v>
      </c>
      <c r="AA206" s="30" cm="1">
        <f t="array" ref="AA206">IF(Table21215[[#This Row],[3]]="","",Table21215[[#This Row],[Weight]:[Weight]]-(Table21215[[#This Row],[Weight]:[Weight]]*((_xlfn.XMATCH(Table21215[[#This Row],[3]],Table21215[[#This Row],[1]:[11]],0))-1)/(COUNTA(Table21215[[#This Row],[1]:[11]])-COUNTBLANK(Table21215[[#This Row],[1]:[11]])-1)))</f>
        <v>1.5885623510722797E-3</v>
      </c>
      <c r="AB206" s="30" cm="1">
        <f t="array" ref="AB206">IF(Table21215[[#This Row],[4]]="","",Table21215[[#This Row],[Weight]:[Weight]]-(Table21215[[#This Row],[Weight]:[Weight]]*((_xlfn.XMATCH(Table21215[[#This Row],[4]],Table21215[[#This Row],[1]:[11]],0))-1)/(COUNTA(Table21215[[#This Row],[1]:[11]])-COUNTBLANK(Table21215[[#This Row],[1]:[11]])-1)))</f>
        <v>0</v>
      </c>
      <c r="AC206" s="30" t="str" cm="1">
        <f t="array" ref="AC206">IF(Table21215[[#This Row],[5]]="","",Table21215[[#This Row],[Weight]:[Weight]]-(Table21215[[#This Row],[Weight]:[Weight]]*((_xlfn.XMATCH(Table21215[[#This Row],[5]],Table21215[[#This Row],[1]:[11]],0))-1)/(COUNTA(Table21215[[#This Row],[1]:[11]])-COUNTBLANK(Table21215[[#This Row],[1]:[11]])-1)))</f>
        <v/>
      </c>
      <c r="AD206" s="30" t="str" cm="1">
        <f t="array" ref="AD206">IF(Table21215[[#This Row],[6]]="","",Table21215[[#This Row],[Weight]:[Weight]]-(Table21215[[#This Row],[Weight]:[Weight]]*((_xlfn.XMATCH(Table21215[[#This Row],[6]],Table21215[[#This Row],[1]:[11]],0))-1)/(COUNTA(Table21215[[#This Row],[1]:[11]])-COUNTBLANK(Table21215[[#This Row],[1]:[11]])-1)))</f>
        <v/>
      </c>
      <c r="AE206" s="30" t="str" cm="1">
        <f t="array" ref="AE206">IF(Table21215[[#This Row],[7]]="","",Table21215[[#This Row],[Weight]:[Weight]]-(Table21215[[#This Row],[Weight]:[Weight]]*((_xlfn.XMATCH(Table21215[[#This Row],[7]],Table21215[[#This Row],[1]:[11]],0))-1)/(COUNTA(Table21215[[#This Row],[1]:[11]])-COUNTBLANK(Table21215[[#This Row],[1]:[11]])-1)))</f>
        <v/>
      </c>
      <c r="AF206" s="30" t="str" cm="1">
        <f t="array" ref="AF206">IF(Table21215[[#This Row],[8]]="","",Table21215[[#This Row],[Weight]:[Weight]]-(Table21215[[#This Row],[Weight]:[Weight]]*((_xlfn.XMATCH(Table21215[[#This Row],[8]],Table21215[[#This Row],[1]:[11]],0))-1)/(COUNTA(Table21215[[#This Row],[1]:[11]])-COUNTBLANK(Table21215[[#This Row],[1]:[11]])-1)))</f>
        <v/>
      </c>
      <c r="AG206" s="30" t="str" cm="1">
        <f t="array" ref="AG206">IF(Table21215[[#This Row],[9]]="","",Table21215[[#This Row],[Weight]:[Weight]]-(Table21215[[#This Row],[Weight]:[Weight]]*((_xlfn.XMATCH(Table21215[[#This Row],[9]],Table21215[[#This Row],[1]:[11]],0))-1)/(COUNTA(Table21215[[#This Row],[1]:[11]])-COUNTBLANK(Table21215[[#This Row],[1]:[11]])-1)))</f>
        <v/>
      </c>
      <c r="AH206" s="30" t="str" cm="1">
        <f t="array" ref="AH206">IF(Table21215[[#This Row],[10]]="","",Table21215[[#This Row],[Weight]:[Weight]]-(Table21215[[#This Row],[Weight]:[Weight]]*((_xlfn.XMATCH(Table21215[[#This Row],[10]],Table21215[[#This Row],[1]:[11]],0))-1)/(COUNTA(Table21215[[#This Row],[1]:[11]])-COUNTBLANK(Table21215[[#This Row],[1]:[11]])-1)))</f>
        <v/>
      </c>
      <c r="AI206" s="30" t="str" cm="1">
        <f t="array" ref="AI206">IF(Table21215[[#This Row],[11]]="","",Table21215[[#This Row],[Weight]:[Weight]]-(Table21215[[#This Row],[Weight]:[Weight]]*((_xlfn.XMATCH(Table21215[[#This Row],[11]],Table21215[[#This Row],[1]:[11]],0))-1)/(COUNTA(Table21215[[#This Row],[1]:[11]])-COUNTBLANK(Table21215[[#This Row],[1]:[11]])-1)))</f>
        <v/>
      </c>
    </row>
    <row r="207" spans="1:35" ht="108" x14ac:dyDescent="0.2">
      <c r="A207" s="20">
        <v>195</v>
      </c>
      <c r="B207" s="165" t="s">
        <v>1024</v>
      </c>
      <c r="C207" s="21" t="s">
        <v>826</v>
      </c>
      <c r="D207" s="38"/>
      <c r="E207" s="38"/>
      <c r="F207" s="159" t="s">
        <v>188</v>
      </c>
      <c r="G207" s="160" cm="1">
        <f t="array" ref="G207">_xlfn.IFS(F207="","",F207="No interest",0,F207="Nice to have",1,F207="Useful",2,F207="Important",3,F207="Very important",4,F207="Critical",5,F207="Show stopper",6)</f>
        <v>5</v>
      </c>
      <c r="H207" s="161">
        <f t="shared" si="4"/>
        <v>3.9714058776806989E-3</v>
      </c>
      <c r="I207" s="157" t="s">
        <v>827</v>
      </c>
      <c r="J207" s="35" t="str" cm="1">
        <f t="array" ref="J207">_xlfn.TEXTJOIN(","&amp;CHAR(10),,TEXT(Table21215[[#This Row],[12]:[22]],"0,00%"))</f>
        <v>0,00%,
0,00%,
0,00%,
0,00%</v>
      </c>
      <c r="K207" s="36"/>
      <c r="L207" s="37" t="e">
        <f>H207-(H207*((MATCH(Table21215[[#This Row],[Evaluators Response (SELECT)]],Table21215[[#This Row],[1]:[11]],0)-1)/(COUNTA(Table21215[[#This Row],[1]:[11]])-COUNTBLANK(Table21215[[#This Row],[1]:[11]])-1)))</f>
        <v>#N/A</v>
      </c>
      <c r="M207" s="38"/>
      <c r="N207" s="29" t="s">
        <v>828</v>
      </c>
      <c r="O207" s="29" t="s">
        <v>829</v>
      </c>
      <c r="P207" s="29" t="s">
        <v>830</v>
      </c>
      <c r="Q207" s="29" t="str" cm="1">
        <f t="array" ref="Q207">IFERROR(INDEX(_xlfn.UNIQUE(TRIM(_xlfn.TEXTSPLIT(Table21215[[#This Row],[Selection Options]:[Selection Options]],","))),,Q$11),"")</f>
        <v xml:space="preserve">
 0%: Not currently supported</v>
      </c>
      <c r="R207" s="29" t="str" cm="1">
        <f t="array" ref="R207">IFERROR(INDEX(_xlfn.UNIQUE(TRIM(_xlfn.TEXTSPLIT(Table21215[[#This Row],[Selection Options]:[Selection Options]],","))),,R$11),"")</f>
        <v/>
      </c>
      <c r="S207" s="29" t="str" cm="1">
        <f t="array" ref="S207">IFERROR(INDEX(_xlfn.UNIQUE(TRIM(_xlfn.TEXTSPLIT(Table21215[[#This Row],[Selection Options]:[Selection Options]],","))),,S$11),"")</f>
        <v/>
      </c>
      <c r="T207" s="29" t="str" cm="1">
        <f t="array" ref="T207">IFERROR(INDEX(_xlfn.UNIQUE(TRIM(_xlfn.TEXTSPLIT(Table21215[[#This Row],[Selection Options]:[Selection Options]],","))),,T$11),"")</f>
        <v/>
      </c>
      <c r="U207" s="29" t="str" cm="1">
        <f t="array" ref="U207">IFERROR(INDEX(_xlfn.UNIQUE(TRIM(_xlfn.TEXTSPLIT(Table21215[[#This Row],[Selection Options]:[Selection Options]],","))),,U$11),"")</f>
        <v/>
      </c>
      <c r="V207" s="29" t="str" cm="1">
        <f t="array" ref="V207">IFERROR(INDEX(_xlfn.UNIQUE(TRIM(_xlfn.TEXTSPLIT(Table21215[[#This Row],[Selection Options]:[Selection Options]],","))),,V$11),"")</f>
        <v/>
      </c>
      <c r="W207" s="29" t="str" cm="1">
        <f t="array" ref="W207">IFERROR(INDEX(_xlfn.UNIQUE(TRIM(_xlfn.TEXTSPLIT(Table21215[[#This Row],[Selection Options]:[Selection Options]],","))),,W$11),"")</f>
        <v/>
      </c>
      <c r="X207" s="29" t="str" cm="1">
        <f t="array" ref="X207">IFERROR(INDEX(_xlfn.UNIQUE(TRIM(_xlfn.TEXTSPLIT(Table21215[[#This Row],[Selection Options]:[Selection Options]],","))),,X$11),"")</f>
        <v/>
      </c>
      <c r="Y207" s="30" cm="1">
        <f t="array" ref="Y207">IF(Table21215[[#This Row],[1]]="","",Table21215[[#This Row],[Weight]:[Weight]]-(Table21215[[#This Row],[Weight]:[Weight]]*((_xlfn.XMATCH(Table21215[[#This Row],[1]],Table21215[[#This Row],[1]:[11]],0))-1)/(COUNTA(Table21215[[#This Row],[1]:[11]])-COUNTBLANK(Table21215[[#This Row],[1]:[11]])-1)))</f>
        <v>3.9714058776806989E-3</v>
      </c>
      <c r="Z207" s="30" cm="1">
        <f t="array" ref="Z207">IF(Table21215[[#This Row],[2]]="","",Table21215[[#This Row],[Weight]:[Weight]]-(Table21215[[#This Row],[Weight]:[Weight]]*((_xlfn.XMATCH(Table21215[[#This Row],[2]],Table21215[[#This Row],[1]:[11]],0))-1)/(COUNTA(Table21215[[#This Row],[1]:[11]])-COUNTBLANK(Table21215[[#This Row],[1]:[11]])-1)))</f>
        <v>2.6476039184537992E-3</v>
      </c>
      <c r="AA207" s="30" cm="1">
        <f t="array" ref="AA207">IF(Table21215[[#This Row],[3]]="","",Table21215[[#This Row],[Weight]:[Weight]]-(Table21215[[#This Row],[Weight]:[Weight]]*((_xlfn.XMATCH(Table21215[[#This Row],[3]],Table21215[[#This Row],[1]:[11]],0))-1)/(COUNTA(Table21215[[#This Row],[1]:[11]])-COUNTBLANK(Table21215[[#This Row],[1]:[11]])-1)))</f>
        <v>1.3238019592268996E-3</v>
      </c>
      <c r="AB207" s="30" cm="1">
        <f t="array" ref="AB207">IF(Table21215[[#This Row],[4]]="","",Table21215[[#This Row],[Weight]:[Weight]]-(Table21215[[#This Row],[Weight]:[Weight]]*((_xlfn.XMATCH(Table21215[[#This Row],[4]],Table21215[[#This Row],[1]:[11]],0))-1)/(COUNTA(Table21215[[#This Row],[1]:[11]])-COUNTBLANK(Table21215[[#This Row],[1]:[11]])-1)))</f>
        <v>0</v>
      </c>
      <c r="AC207" s="30" t="str" cm="1">
        <f t="array" ref="AC207">IF(Table21215[[#This Row],[5]]="","",Table21215[[#This Row],[Weight]:[Weight]]-(Table21215[[#This Row],[Weight]:[Weight]]*((_xlfn.XMATCH(Table21215[[#This Row],[5]],Table21215[[#This Row],[1]:[11]],0))-1)/(COUNTA(Table21215[[#This Row],[1]:[11]])-COUNTBLANK(Table21215[[#This Row],[1]:[11]])-1)))</f>
        <v/>
      </c>
      <c r="AD207" s="30" t="str" cm="1">
        <f t="array" ref="AD207">IF(Table21215[[#This Row],[6]]="","",Table21215[[#This Row],[Weight]:[Weight]]-(Table21215[[#This Row],[Weight]:[Weight]]*((_xlfn.XMATCH(Table21215[[#This Row],[6]],Table21215[[#This Row],[1]:[11]],0))-1)/(COUNTA(Table21215[[#This Row],[1]:[11]])-COUNTBLANK(Table21215[[#This Row],[1]:[11]])-1)))</f>
        <v/>
      </c>
      <c r="AE207" s="30" t="str" cm="1">
        <f t="array" ref="AE207">IF(Table21215[[#This Row],[7]]="","",Table21215[[#This Row],[Weight]:[Weight]]-(Table21215[[#This Row],[Weight]:[Weight]]*((_xlfn.XMATCH(Table21215[[#This Row],[7]],Table21215[[#This Row],[1]:[11]],0))-1)/(COUNTA(Table21215[[#This Row],[1]:[11]])-COUNTBLANK(Table21215[[#This Row],[1]:[11]])-1)))</f>
        <v/>
      </c>
      <c r="AF207" s="30" t="str" cm="1">
        <f t="array" ref="AF207">IF(Table21215[[#This Row],[8]]="","",Table21215[[#This Row],[Weight]:[Weight]]-(Table21215[[#This Row],[Weight]:[Weight]]*((_xlfn.XMATCH(Table21215[[#This Row],[8]],Table21215[[#This Row],[1]:[11]],0))-1)/(COUNTA(Table21215[[#This Row],[1]:[11]])-COUNTBLANK(Table21215[[#This Row],[1]:[11]])-1)))</f>
        <v/>
      </c>
      <c r="AG207" s="30" t="str" cm="1">
        <f t="array" ref="AG207">IF(Table21215[[#This Row],[9]]="","",Table21215[[#This Row],[Weight]:[Weight]]-(Table21215[[#This Row],[Weight]:[Weight]]*((_xlfn.XMATCH(Table21215[[#This Row],[9]],Table21215[[#This Row],[1]:[11]],0))-1)/(COUNTA(Table21215[[#This Row],[1]:[11]])-COUNTBLANK(Table21215[[#This Row],[1]:[11]])-1)))</f>
        <v/>
      </c>
      <c r="AH207" s="30" t="str" cm="1">
        <f t="array" ref="AH207">IF(Table21215[[#This Row],[10]]="","",Table21215[[#This Row],[Weight]:[Weight]]-(Table21215[[#This Row],[Weight]:[Weight]]*((_xlfn.XMATCH(Table21215[[#This Row],[10]],Table21215[[#This Row],[1]:[11]],0))-1)/(COUNTA(Table21215[[#This Row],[1]:[11]])-COUNTBLANK(Table21215[[#This Row],[1]:[11]])-1)))</f>
        <v/>
      </c>
      <c r="AI207" s="30" t="str" cm="1">
        <f t="array" ref="AI207">IF(Table21215[[#This Row],[11]]="","",Table21215[[#This Row],[Weight]:[Weight]]-(Table21215[[#This Row],[Weight]:[Weight]]*((_xlfn.XMATCH(Table21215[[#This Row],[11]],Table21215[[#This Row],[1]:[11]],0))-1)/(COUNTA(Table21215[[#This Row],[1]:[11]])-COUNTBLANK(Table21215[[#This Row],[1]:[11]])-1)))</f>
        <v/>
      </c>
    </row>
    <row r="208" spans="1:35" ht="108" x14ac:dyDescent="0.2">
      <c r="A208" s="20">
        <v>196</v>
      </c>
      <c r="B208" s="165" t="s">
        <v>1025</v>
      </c>
      <c r="C208" s="21" t="s">
        <v>826</v>
      </c>
      <c r="D208" s="38"/>
      <c r="E208" s="38"/>
      <c r="F208" s="159" t="s">
        <v>188</v>
      </c>
      <c r="G208" s="160" cm="1">
        <f t="array" ref="G208">_xlfn.IFS(F208="","",F208="No interest",0,F208="Nice to have",1,F208="Useful",2,F208="Important",3,F208="Very important",4,F208="Critical",5,F208="Show stopper",6)</f>
        <v>5</v>
      </c>
      <c r="H208" s="161">
        <f t="shared" si="4"/>
        <v>3.9714058776806989E-3</v>
      </c>
      <c r="I208" s="157" t="s">
        <v>827</v>
      </c>
      <c r="J208" s="35" t="str" cm="1">
        <f t="array" ref="J208">_xlfn.TEXTJOIN(","&amp;CHAR(10),,TEXT(Table21215[[#This Row],[12]:[22]],"0,00%"))</f>
        <v>0,00%,
0,00%,
0,00%,
0,00%</v>
      </c>
      <c r="K208" s="36"/>
      <c r="L208" s="37" t="e">
        <f>H208-(H208*((MATCH(Table21215[[#This Row],[Evaluators Response (SELECT)]],Table21215[[#This Row],[1]:[11]],0)-1)/(COUNTA(Table21215[[#This Row],[1]:[11]])-COUNTBLANK(Table21215[[#This Row],[1]:[11]])-1)))</f>
        <v>#N/A</v>
      </c>
      <c r="M208" s="38"/>
      <c r="N208" s="29" t="s">
        <v>828</v>
      </c>
      <c r="O208" s="29" t="s">
        <v>829</v>
      </c>
      <c r="P208" s="29" t="s">
        <v>830</v>
      </c>
      <c r="Q208" s="29" t="str" cm="1">
        <f t="array" ref="Q208">IFERROR(INDEX(_xlfn.UNIQUE(TRIM(_xlfn.TEXTSPLIT(Table21215[[#This Row],[Selection Options]:[Selection Options]],","))),,Q$11),"")</f>
        <v xml:space="preserve">
 0%: Not currently supported</v>
      </c>
      <c r="R208" s="29" t="str" cm="1">
        <f t="array" ref="R208">IFERROR(INDEX(_xlfn.UNIQUE(TRIM(_xlfn.TEXTSPLIT(Table21215[[#This Row],[Selection Options]:[Selection Options]],","))),,R$11),"")</f>
        <v/>
      </c>
      <c r="S208" s="29" t="str" cm="1">
        <f t="array" ref="S208">IFERROR(INDEX(_xlfn.UNIQUE(TRIM(_xlfn.TEXTSPLIT(Table21215[[#This Row],[Selection Options]:[Selection Options]],","))),,S$11),"")</f>
        <v/>
      </c>
      <c r="T208" s="29" t="str" cm="1">
        <f t="array" ref="T208">IFERROR(INDEX(_xlfn.UNIQUE(TRIM(_xlfn.TEXTSPLIT(Table21215[[#This Row],[Selection Options]:[Selection Options]],","))),,T$11),"")</f>
        <v/>
      </c>
      <c r="U208" s="29" t="str" cm="1">
        <f t="array" ref="U208">IFERROR(INDEX(_xlfn.UNIQUE(TRIM(_xlfn.TEXTSPLIT(Table21215[[#This Row],[Selection Options]:[Selection Options]],","))),,U$11),"")</f>
        <v/>
      </c>
      <c r="V208" s="29" t="str" cm="1">
        <f t="array" ref="V208">IFERROR(INDEX(_xlfn.UNIQUE(TRIM(_xlfn.TEXTSPLIT(Table21215[[#This Row],[Selection Options]:[Selection Options]],","))),,V$11),"")</f>
        <v/>
      </c>
      <c r="W208" s="29" t="str" cm="1">
        <f t="array" ref="W208">IFERROR(INDEX(_xlfn.UNIQUE(TRIM(_xlfn.TEXTSPLIT(Table21215[[#This Row],[Selection Options]:[Selection Options]],","))),,W$11),"")</f>
        <v/>
      </c>
      <c r="X208" s="29" t="str" cm="1">
        <f t="array" ref="X208">IFERROR(INDEX(_xlfn.UNIQUE(TRIM(_xlfn.TEXTSPLIT(Table21215[[#This Row],[Selection Options]:[Selection Options]],","))),,X$11),"")</f>
        <v/>
      </c>
      <c r="Y208" s="30" cm="1">
        <f t="array" ref="Y208">IF(Table21215[[#This Row],[1]]="","",Table21215[[#This Row],[Weight]:[Weight]]-(Table21215[[#This Row],[Weight]:[Weight]]*((_xlfn.XMATCH(Table21215[[#This Row],[1]],Table21215[[#This Row],[1]:[11]],0))-1)/(COUNTA(Table21215[[#This Row],[1]:[11]])-COUNTBLANK(Table21215[[#This Row],[1]:[11]])-1)))</f>
        <v>3.9714058776806989E-3</v>
      </c>
      <c r="Z208" s="30" cm="1">
        <f t="array" ref="Z208">IF(Table21215[[#This Row],[2]]="","",Table21215[[#This Row],[Weight]:[Weight]]-(Table21215[[#This Row],[Weight]:[Weight]]*((_xlfn.XMATCH(Table21215[[#This Row],[2]],Table21215[[#This Row],[1]:[11]],0))-1)/(COUNTA(Table21215[[#This Row],[1]:[11]])-COUNTBLANK(Table21215[[#This Row],[1]:[11]])-1)))</f>
        <v>2.6476039184537992E-3</v>
      </c>
      <c r="AA208" s="30" cm="1">
        <f t="array" ref="AA208">IF(Table21215[[#This Row],[3]]="","",Table21215[[#This Row],[Weight]:[Weight]]-(Table21215[[#This Row],[Weight]:[Weight]]*((_xlfn.XMATCH(Table21215[[#This Row],[3]],Table21215[[#This Row],[1]:[11]],0))-1)/(COUNTA(Table21215[[#This Row],[1]:[11]])-COUNTBLANK(Table21215[[#This Row],[1]:[11]])-1)))</f>
        <v>1.3238019592268996E-3</v>
      </c>
      <c r="AB208" s="30" cm="1">
        <f t="array" ref="AB208">IF(Table21215[[#This Row],[4]]="","",Table21215[[#This Row],[Weight]:[Weight]]-(Table21215[[#This Row],[Weight]:[Weight]]*((_xlfn.XMATCH(Table21215[[#This Row],[4]],Table21215[[#This Row],[1]:[11]],0))-1)/(COUNTA(Table21215[[#This Row],[1]:[11]])-COUNTBLANK(Table21215[[#This Row],[1]:[11]])-1)))</f>
        <v>0</v>
      </c>
      <c r="AC208" s="30" t="str" cm="1">
        <f t="array" ref="AC208">IF(Table21215[[#This Row],[5]]="","",Table21215[[#This Row],[Weight]:[Weight]]-(Table21215[[#This Row],[Weight]:[Weight]]*((_xlfn.XMATCH(Table21215[[#This Row],[5]],Table21215[[#This Row],[1]:[11]],0))-1)/(COUNTA(Table21215[[#This Row],[1]:[11]])-COUNTBLANK(Table21215[[#This Row],[1]:[11]])-1)))</f>
        <v/>
      </c>
      <c r="AD208" s="30" t="str" cm="1">
        <f t="array" ref="AD208">IF(Table21215[[#This Row],[6]]="","",Table21215[[#This Row],[Weight]:[Weight]]-(Table21215[[#This Row],[Weight]:[Weight]]*((_xlfn.XMATCH(Table21215[[#This Row],[6]],Table21215[[#This Row],[1]:[11]],0))-1)/(COUNTA(Table21215[[#This Row],[1]:[11]])-COUNTBLANK(Table21215[[#This Row],[1]:[11]])-1)))</f>
        <v/>
      </c>
      <c r="AE208" s="30" t="str" cm="1">
        <f t="array" ref="AE208">IF(Table21215[[#This Row],[7]]="","",Table21215[[#This Row],[Weight]:[Weight]]-(Table21215[[#This Row],[Weight]:[Weight]]*((_xlfn.XMATCH(Table21215[[#This Row],[7]],Table21215[[#This Row],[1]:[11]],0))-1)/(COUNTA(Table21215[[#This Row],[1]:[11]])-COUNTBLANK(Table21215[[#This Row],[1]:[11]])-1)))</f>
        <v/>
      </c>
      <c r="AF208" s="30" t="str" cm="1">
        <f t="array" ref="AF208">IF(Table21215[[#This Row],[8]]="","",Table21215[[#This Row],[Weight]:[Weight]]-(Table21215[[#This Row],[Weight]:[Weight]]*((_xlfn.XMATCH(Table21215[[#This Row],[8]],Table21215[[#This Row],[1]:[11]],0))-1)/(COUNTA(Table21215[[#This Row],[1]:[11]])-COUNTBLANK(Table21215[[#This Row],[1]:[11]])-1)))</f>
        <v/>
      </c>
      <c r="AG208" s="30" t="str" cm="1">
        <f t="array" ref="AG208">IF(Table21215[[#This Row],[9]]="","",Table21215[[#This Row],[Weight]:[Weight]]-(Table21215[[#This Row],[Weight]:[Weight]]*((_xlfn.XMATCH(Table21215[[#This Row],[9]],Table21215[[#This Row],[1]:[11]],0))-1)/(COUNTA(Table21215[[#This Row],[1]:[11]])-COUNTBLANK(Table21215[[#This Row],[1]:[11]])-1)))</f>
        <v/>
      </c>
      <c r="AH208" s="30" t="str" cm="1">
        <f t="array" ref="AH208">IF(Table21215[[#This Row],[10]]="","",Table21215[[#This Row],[Weight]:[Weight]]-(Table21215[[#This Row],[Weight]:[Weight]]*((_xlfn.XMATCH(Table21215[[#This Row],[10]],Table21215[[#This Row],[1]:[11]],0))-1)/(COUNTA(Table21215[[#This Row],[1]:[11]])-COUNTBLANK(Table21215[[#This Row],[1]:[11]])-1)))</f>
        <v/>
      </c>
      <c r="AI208" s="30" t="str" cm="1">
        <f t="array" ref="AI208">IF(Table21215[[#This Row],[11]]="","",Table21215[[#This Row],[Weight]:[Weight]]-(Table21215[[#This Row],[Weight]:[Weight]]*((_xlfn.XMATCH(Table21215[[#This Row],[11]],Table21215[[#This Row],[1]:[11]],0))-1)/(COUNTA(Table21215[[#This Row],[1]:[11]])-COUNTBLANK(Table21215[[#This Row],[1]:[11]])-1)))</f>
        <v/>
      </c>
    </row>
    <row r="209" spans="1:35" ht="108" x14ac:dyDescent="0.2">
      <c r="A209" s="20">
        <v>197</v>
      </c>
      <c r="B209" s="165" t="s">
        <v>1026</v>
      </c>
      <c r="C209" s="21" t="s">
        <v>826</v>
      </c>
      <c r="D209" s="38"/>
      <c r="E209" s="38"/>
      <c r="F209" s="159" t="s">
        <v>60</v>
      </c>
      <c r="G209" s="160" cm="1">
        <f t="array" ref="G209">_xlfn.IFS(F209="","",F209="No interest",0,F209="Nice to have",1,F209="Useful",2,F209="Important",3,F209="Very important",4,F209="Critical",5,F209="Show stopper",6)</f>
        <v>6</v>
      </c>
      <c r="H209" s="161">
        <f t="shared" si="4"/>
        <v>4.7656870532168391E-3</v>
      </c>
      <c r="I209" s="157" t="s">
        <v>827</v>
      </c>
      <c r="J209" s="35" t="str" cm="1">
        <f t="array" ref="J209">_xlfn.TEXTJOIN(","&amp;CHAR(10),,TEXT(Table21215[[#This Row],[12]:[22]],"0,00%"))</f>
        <v>0,00%,
0,00%,
0,00%,
0,00%</v>
      </c>
      <c r="K209" s="36"/>
      <c r="L209" s="37" t="e">
        <f>H209-(H209*((MATCH(Table21215[[#This Row],[Evaluators Response (SELECT)]],Table21215[[#This Row],[1]:[11]],0)-1)/(COUNTA(Table21215[[#This Row],[1]:[11]])-COUNTBLANK(Table21215[[#This Row],[1]:[11]])-1)))</f>
        <v>#N/A</v>
      </c>
      <c r="M209" s="38"/>
      <c r="N209" s="29" t="s">
        <v>828</v>
      </c>
      <c r="O209" s="29" t="s">
        <v>829</v>
      </c>
      <c r="P209" s="29" t="s">
        <v>830</v>
      </c>
      <c r="Q209" s="29" t="str" cm="1">
        <f t="array" ref="Q209">IFERROR(INDEX(_xlfn.UNIQUE(TRIM(_xlfn.TEXTSPLIT(Table21215[[#This Row],[Selection Options]:[Selection Options]],","))),,Q$11),"")</f>
        <v xml:space="preserve">
 0%: Not currently supported</v>
      </c>
      <c r="R209" s="29" t="str" cm="1">
        <f t="array" ref="R209">IFERROR(INDEX(_xlfn.UNIQUE(TRIM(_xlfn.TEXTSPLIT(Table21215[[#This Row],[Selection Options]:[Selection Options]],","))),,R$11),"")</f>
        <v/>
      </c>
      <c r="S209" s="29" t="str" cm="1">
        <f t="array" ref="S209">IFERROR(INDEX(_xlfn.UNIQUE(TRIM(_xlfn.TEXTSPLIT(Table21215[[#This Row],[Selection Options]:[Selection Options]],","))),,S$11),"")</f>
        <v/>
      </c>
      <c r="T209" s="29" t="str" cm="1">
        <f t="array" ref="T209">IFERROR(INDEX(_xlfn.UNIQUE(TRIM(_xlfn.TEXTSPLIT(Table21215[[#This Row],[Selection Options]:[Selection Options]],","))),,T$11),"")</f>
        <v/>
      </c>
      <c r="U209" s="29" t="str" cm="1">
        <f t="array" ref="U209">IFERROR(INDEX(_xlfn.UNIQUE(TRIM(_xlfn.TEXTSPLIT(Table21215[[#This Row],[Selection Options]:[Selection Options]],","))),,U$11),"")</f>
        <v/>
      </c>
      <c r="V209" s="29" t="str" cm="1">
        <f t="array" ref="V209">IFERROR(INDEX(_xlfn.UNIQUE(TRIM(_xlfn.TEXTSPLIT(Table21215[[#This Row],[Selection Options]:[Selection Options]],","))),,V$11),"")</f>
        <v/>
      </c>
      <c r="W209" s="29" t="str" cm="1">
        <f t="array" ref="W209">IFERROR(INDEX(_xlfn.UNIQUE(TRIM(_xlfn.TEXTSPLIT(Table21215[[#This Row],[Selection Options]:[Selection Options]],","))),,W$11),"")</f>
        <v/>
      </c>
      <c r="X209" s="29" t="str" cm="1">
        <f t="array" ref="X209">IFERROR(INDEX(_xlfn.UNIQUE(TRIM(_xlfn.TEXTSPLIT(Table21215[[#This Row],[Selection Options]:[Selection Options]],","))),,X$11),"")</f>
        <v/>
      </c>
      <c r="Y209" s="30" cm="1">
        <f t="array" ref="Y209">IF(Table21215[[#This Row],[1]]="","",Table21215[[#This Row],[Weight]:[Weight]]-(Table21215[[#This Row],[Weight]:[Weight]]*((_xlfn.XMATCH(Table21215[[#This Row],[1]],Table21215[[#This Row],[1]:[11]],0))-1)/(COUNTA(Table21215[[#This Row],[1]:[11]])-COUNTBLANK(Table21215[[#This Row],[1]:[11]])-1)))</f>
        <v>4.7656870532168391E-3</v>
      </c>
      <c r="Z209" s="30" cm="1">
        <f t="array" ref="Z209">IF(Table21215[[#This Row],[2]]="","",Table21215[[#This Row],[Weight]:[Weight]]-(Table21215[[#This Row],[Weight]:[Weight]]*((_xlfn.XMATCH(Table21215[[#This Row],[2]],Table21215[[#This Row],[1]:[11]],0))-1)/(COUNTA(Table21215[[#This Row],[1]:[11]])-COUNTBLANK(Table21215[[#This Row],[1]:[11]])-1)))</f>
        <v>3.1771247021445594E-3</v>
      </c>
      <c r="AA209" s="30" cm="1">
        <f t="array" ref="AA209">IF(Table21215[[#This Row],[3]]="","",Table21215[[#This Row],[Weight]:[Weight]]-(Table21215[[#This Row],[Weight]:[Weight]]*((_xlfn.XMATCH(Table21215[[#This Row],[3]],Table21215[[#This Row],[1]:[11]],0))-1)/(COUNTA(Table21215[[#This Row],[1]:[11]])-COUNTBLANK(Table21215[[#This Row],[1]:[11]])-1)))</f>
        <v>1.5885623510722797E-3</v>
      </c>
      <c r="AB209" s="30" cm="1">
        <f t="array" ref="AB209">IF(Table21215[[#This Row],[4]]="","",Table21215[[#This Row],[Weight]:[Weight]]-(Table21215[[#This Row],[Weight]:[Weight]]*((_xlfn.XMATCH(Table21215[[#This Row],[4]],Table21215[[#This Row],[1]:[11]],0))-1)/(COUNTA(Table21215[[#This Row],[1]:[11]])-COUNTBLANK(Table21215[[#This Row],[1]:[11]])-1)))</f>
        <v>0</v>
      </c>
      <c r="AC209" s="30" t="str" cm="1">
        <f t="array" ref="AC209">IF(Table21215[[#This Row],[5]]="","",Table21215[[#This Row],[Weight]:[Weight]]-(Table21215[[#This Row],[Weight]:[Weight]]*((_xlfn.XMATCH(Table21215[[#This Row],[5]],Table21215[[#This Row],[1]:[11]],0))-1)/(COUNTA(Table21215[[#This Row],[1]:[11]])-COUNTBLANK(Table21215[[#This Row],[1]:[11]])-1)))</f>
        <v/>
      </c>
      <c r="AD209" s="30" t="str" cm="1">
        <f t="array" ref="AD209">IF(Table21215[[#This Row],[6]]="","",Table21215[[#This Row],[Weight]:[Weight]]-(Table21215[[#This Row],[Weight]:[Weight]]*((_xlfn.XMATCH(Table21215[[#This Row],[6]],Table21215[[#This Row],[1]:[11]],0))-1)/(COUNTA(Table21215[[#This Row],[1]:[11]])-COUNTBLANK(Table21215[[#This Row],[1]:[11]])-1)))</f>
        <v/>
      </c>
      <c r="AE209" s="30" t="str" cm="1">
        <f t="array" ref="AE209">IF(Table21215[[#This Row],[7]]="","",Table21215[[#This Row],[Weight]:[Weight]]-(Table21215[[#This Row],[Weight]:[Weight]]*((_xlfn.XMATCH(Table21215[[#This Row],[7]],Table21215[[#This Row],[1]:[11]],0))-1)/(COUNTA(Table21215[[#This Row],[1]:[11]])-COUNTBLANK(Table21215[[#This Row],[1]:[11]])-1)))</f>
        <v/>
      </c>
      <c r="AF209" s="30" t="str" cm="1">
        <f t="array" ref="AF209">IF(Table21215[[#This Row],[8]]="","",Table21215[[#This Row],[Weight]:[Weight]]-(Table21215[[#This Row],[Weight]:[Weight]]*((_xlfn.XMATCH(Table21215[[#This Row],[8]],Table21215[[#This Row],[1]:[11]],0))-1)/(COUNTA(Table21215[[#This Row],[1]:[11]])-COUNTBLANK(Table21215[[#This Row],[1]:[11]])-1)))</f>
        <v/>
      </c>
      <c r="AG209" s="30" t="str" cm="1">
        <f t="array" ref="AG209">IF(Table21215[[#This Row],[9]]="","",Table21215[[#This Row],[Weight]:[Weight]]-(Table21215[[#This Row],[Weight]:[Weight]]*((_xlfn.XMATCH(Table21215[[#This Row],[9]],Table21215[[#This Row],[1]:[11]],0))-1)/(COUNTA(Table21215[[#This Row],[1]:[11]])-COUNTBLANK(Table21215[[#This Row],[1]:[11]])-1)))</f>
        <v/>
      </c>
      <c r="AH209" s="30" t="str" cm="1">
        <f t="array" ref="AH209">IF(Table21215[[#This Row],[10]]="","",Table21215[[#This Row],[Weight]:[Weight]]-(Table21215[[#This Row],[Weight]:[Weight]]*((_xlfn.XMATCH(Table21215[[#This Row],[10]],Table21215[[#This Row],[1]:[11]],0))-1)/(COUNTA(Table21215[[#This Row],[1]:[11]])-COUNTBLANK(Table21215[[#This Row],[1]:[11]])-1)))</f>
        <v/>
      </c>
      <c r="AI209" s="30" t="str" cm="1">
        <f t="array" ref="AI209">IF(Table21215[[#This Row],[11]]="","",Table21215[[#This Row],[Weight]:[Weight]]-(Table21215[[#This Row],[Weight]:[Weight]]*((_xlfn.XMATCH(Table21215[[#This Row],[11]],Table21215[[#This Row],[1]:[11]],0))-1)/(COUNTA(Table21215[[#This Row],[1]:[11]])-COUNTBLANK(Table21215[[#This Row],[1]:[11]])-1)))</f>
        <v/>
      </c>
    </row>
    <row r="210" spans="1:35" ht="108" x14ac:dyDescent="0.2">
      <c r="A210" s="20">
        <v>198</v>
      </c>
      <c r="B210" s="165" t="s">
        <v>1027</v>
      </c>
      <c r="C210" s="21" t="s">
        <v>826</v>
      </c>
      <c r="D210" s="38"/>
      <c r="E210" s="38"/>
      <c r="F210" s="159" t="s">
        <v>60</v>
      </c>
      <c r="G210" s="160" cm="1">
        <f t="array" ref="G210">_xlfn.IFS(F210="","",F210="No interest",0,F210="Nice to have",1,F210="Useful",2,F210="Important",3,F210="Very important",4,F210="Critical",5,F210="Show stopper",6)</f>
        <v>6</v>
      </c>
      <c r="H210" s="161">
        <f t="shared" si="4"/>
        <v>4.7656870532168391E-3</v>
      </c>
      <c r="I210" s="157" t="s">
        <v>827</v>
      </c>
      <c r="J210" s="35" t="str" cm="1">
        <f t="array" ref="J210">_xlfn.TEXTJOIN(","&amp;CHAR(10),,TEXT(Table21215[[#This Row],[12]:[22]],"0,00%"))</f>
        <v>0,00%,
0,00%,
0,00%,
0,00%</v>
      </c>
      <c r="K210" s="36"/>
      <c r="L210" s="37" t="e">
        <f>H210-(H210*((MATCH(Table21215[[#This Row],[Evaluators Response (SELECT)]],Table21215[[#This Row],[1]:[11]],0)-1)/(COUNTA(Table21215[[#This Row],[1]:[11]])-COUNTBLANK(Table21215[[#This Row],[1]:[11]])-1)))</f>
        <v>#N/A</v>
      </c>
      <c r="M210" s="38"/>
      <c r="N210" s="29" t="s">
        <v>828</v>
      </c>
      <c r="O210" s="29" t="s">
        <v>829</v>
      </c>
      <c r="P210" s="29" t="s">
        <v>830</v>
      </c>
      <c r="Q210" s="29" t="str" cm="1">
        <f t="array" ref="Q210">IFERROR(INDEX(_xlfn.UNIQUE(TRIM(_xlfn.TEXTSPLIT(Table21215[[#This Row],[Selection Options]:[Selection Options]],","))),,Q$11),"")</f>
        <v xml:space="preserve">
 0%: Not currently supported</v>
      </c>
      <c r="R210" s="29" t="str" cm="1">
        <f t="array" ref="R210">IFERROR(INDEX(_xlfn.UNIQUE(TRIM(_xlfn.TEXTSPLIT(Table21215[[#This Row],[Selection Options]:[Selection Options]],","))),,R$11),"")</f>
        <v/>
      </c>
      <c r="S210" s="29" t="str" cm="1">
        <f t="array" ref="S210">IFERROR(INDEX(_xlfn.UNIQUE(TRIM(_xlfn.TEXTSPLIT(Table21215[[#This Row],[Selection Options]:[Selection Options]],","))),,S$11),"")</f>
        <v/>
      </c>
      <c r="T210" s="29" t="str" cm="1">
        <f t="array" ref="T210">IFERROR(INDEX(_xlfn.UNIQUE(TRIM(_xlfn.TEXTSPLIT(Table21215[[#This Row],[Selection Options]:[Selection Options]],","))),,T$11),"")</f>
        <v/>
      </c>
      <c r="U210" s="29" t="str" cm="1">
        <f t="array" ref="U210">IFERROR(INDEX(_xlfn.UNIQUE(TRIM(_xlfn.TEXTSPLIT(Table21215[[#This Row],[Selection Options]:[Selection Options]],","))),,U$11),"")</f>
        <v/>
      </c>
      <c r="V210" s="29" t="str" cm="1">
        <f t="array" ref="V210">IFERROR(INDEX(_xlfn.UNIQUE(TRIM(_xlfn.TEXTSPLIT(Table21215[[#This Row],[Selection Options]:[Selection Options]],","))),,V$11),"")</f>
        <v/>
      </c>
      <c r="W210" s="29" t="str" cm="1">
        <f t="array" ref="W210">IFERROR(INDEX(_xlfn.UNIQUE(TRIM(_xlfn.TEXTSPLIT(Table21215[[#This Row],[Selection Options]:[Selection Options]],","))),,W$11),"")</f>
        <v/>
      </c>
      <c r="X210" s="29" t="str" cm="1">
        <f t="array" ref="X210">IFERROR(INDEX(_xlfn.UNIQUE(TRIM(_xlfn.TEXTSPLIT(Table21215[[#This Row],[Selection Options]:[Selection Options]],","))),,X$11),"")</f>
        <v/>
      </c>
      <c r="Y210" s="30" cm="1">
        <f t="array" ref="Y210">IF(Table21215[[#This Row],[1]]="","",Table21215[[#This Row],[Weight]:[Weight]]-(Table21215[[#This Row],[Weight]:[Weight]]*((_xlfn.XMATCH(Table21215[[#This Row],[1]],Table21215[[#This Row],[1]:[11]],0))-1)/(COUNTA(Table21215[[#This Row],[1]:[11]])-COUNTBLANK(Table21215[[#This Row],[1]:[11]])-1)))</f>
        <v>4.7656870532168391E-3</v>
      </c>
      <c r="Z210" s="30" cm="1">
        <f t="array" ref="Z210">IF(Table21215[[#This Row],[2]]="","",Table21215[[#This Row],[Weight]:[Weight]]-(Table21215[[#This Row],[Weight]:[Weight]]*((_xlfn.XMATCH(Table21215[[#This Row],[2]],Table21215[[#This Row],[1]:[11]],0))-1)/(COUNTA(Table21215[[#This Row],[1]:[11]])-COUNTBLANK(Table21215[[#This Row],[1]:[11]])-1)))</f>
        <v>3.1771247021445594E-3</v>
      </c>
      <c r="AA210" s="30" cm="1">
        <f t="array" ref="AA210">IF(Table21215[[#This Row],[3]]="","",Table21215[[#This Row],[Weight]:[Weight]]-(Table21215[[#This Row],[Weight]:[Weight]]*((_xlfn.XMATCH(Table21215[[#This Row],[3]],Table21215[[#This Row],[1]:[11]],0))-1)/(COUNTA(Table21215[[#This Row],[1]:[11]])-COUNTBLANK(Table21215[[#This Row],[1]:[11]])-1)))</f>
        <v>1.5885623510722797E-3</v>
      </c>
      <c r="AB210" s="30" cm="1">
        <f t="array" ref="AB210">IF(Table21215[[#This Row],[4]]="","",Table21215[[#This Row],[Weight]:[Weight]]-(Table21215[[#This Row],[Weight]:[Weight]]*((_xlfn.XMATCH(Table21215[[#This Row],[4]],Table21215[[#This Row],[1]:[11]],0))-1)/(COUNTA(Table21215[[#This Row],[1]:[11]])-COUNTBLANK(Table21215[[#This Row],[1]:[11]])-1)))</f>
        <v>0</v>
      </c>
      <c r="AC210" s="30" t="str" cm="1">
        <f t="array" ref="AC210">IF(Table21215[[#This Row],[5]]="","",Table21215[[#This Row],[Weight]:[Weight]]-(Table21215[[#This Row],[Weight]:[Weight]]*((_xlfn.XMATCH(Table21215[[#This Row],[5]],Table21215[[#This Row],[1]:[11]],0))-1)/(COUNTA(Table21215[[#This Row],[1]:[11]])-COUNTBLANK(Table21215[[#This Row],[1]:[11]])-1)))</f>
        <v/>
      </c>
      <c r="AD210" s="30" t="str" cm="1">
        <f t="array" ref="AD210">IF(Table21215[[#This Row],[6]]="","",Table21215[[#This Row],[Weight]:[Weight]]-(Table21215[[#This Row],[Weight]:[Weight]]*((_xlfn.XMATCH(Table21215[[#This Row],[6]],Table21215[[#This Row],[1]:[11]],0))-1)/(COUNTA(Table21215[[#This Row],[1]:[11]])-COUNTBLANK(Table21215[[#This Row],[1]:[11]])-1)))</f>
        <v/>
      </c>
      <c r="AE210" s="30" t="str" cm="1">
        <f t="array" ref="AE210">IF(Table21215[[#This Row],[7]]="","",Table21215[[#This Row],[Weight]:[Weight]]-(Table21215[[#This Row],[Weight]:[Weight]]*((_xlfn.XMATCH(Table21215[[#This Row],[7]],Table21215[[#This Row],[1]:[11]],0))-1)/(COUNTA(Table21215[[#This Row],[1]:[11]])-COUNTBLANK(Table21215[[#This Row],[1]:[11]])-1)))</f>
        <v/>
      </c>
      <c r="AF210" s="30" t="str" cm="1">
        <f t="array" ref="AF210">IF(Table21215[[#This Row],[8]]="","",Table21215[[#This Row],[Weight]:[Weight]]-(Table21215[[#This Row],[Weight]:[Weight]]*((_xlfn.XMATCH(Table21215[[#This Row],[8]],Table21215[[#This Row],[1]:[11]],0))-1)/(COUNTA(Table21215[[#This Row],[1]:[11]])-COUNTBLANK(Table21215[[#This Row],[1]:[11]])-1)))</f>
        <v/>
      </c>
      <c r="AG210" s="30" t="str" cm="1">
        <f t="array" ref="AG210">IF(Table21215[[#This Row],[9]]="","",Table21215[[#This Row],[Weight]:[Weight]]-(Table21215[[#This Row],[Weight]:[Weight]]*((_xlfn.XMATCH(Table21215[[#This Row],[9]],Table21215[[#This Row],[1]:[11]],0))-1)/(COUNTA(Table21215[[#This Row],[1]:[11]])-COUNTBLANK(Table21215[[#This Row],[1]:[11]])-1)))</f>
        <v/>
      </c>
      <c r="AH210" s="30" t="str" cm="1">
        <f t="array" ref="AH210">IF(Table21215[[#This Row],[10]]="","",Table21215[[#This Row],[Weight]:[Weight]]-(Table21215[[#This Row],[Weight]:[Weight]]*((_xlfn.XMATCH(Table21215[[#This Row],[10]],Table21215[[#This Row],[1]:[11]],0))-1)/(COUNTA(Table21215[[#This Row],[1]:[11]])-COUNTBLANK(Table21215[[#This Row],[1]:[11]])-1)))</f>
        <v/>
      </c>
      <c r="AI210" s="30" t="str" cm="1">
        <f t="array" ref="AI210">IF(Table21215[[#This Row],[11]]="","",Table21215[[#This Row],[Weight]:[Weight]]-(Table21215[[#This Row],[Weight]:[Weight]]*((_xlfn.XMATCH(Table21215[[#This Row],[11]],Table21215[[#This Row],[1]:[11]],0))-1)/(COUNTA(Table21215[[#This Row],[1]:[11]])-COUNTBLANK(Table21215[[#This Row],[1]:[11]])-1)))</f>
        <v/>
      </c>
    </row>
    <row r="211" spans="1:35" ht="108" x14ac:dyDescent="0.2">
      <c r="A211" s="20">
        <v>199</v>
      </c>
      <c r="B211" s="165" t="s">
        <v>1028</v>
      </c>
      <c r="C211" s="21" t="s">
        <v>826</v>
      </c>
      <c r="D211" s="38"/>
      <c r="E211" s="38"/>
      <c r="F211" s="159" t="s">
        <v>188</v>
      </c>
      <c r="G211" s="160" cm="1">
        <f t="array" ref="G211">_xlfn.IFS(F211="","",F211="No interest",0,F211="Nice to have",1,F211="Useful",2,F211="Important",3,F211="Very important",4,F211="Critical",5,F211="Show stopper",6)</f>
        <v>5</v>
      </c>
      <c r="H211" s="161">
        <f t="shared" si="4"/>
        <v>3.9714058776806989E-3</v>
      </c>
      <c r="I211" s="157" t="s">
        <v>827</v>
      </c>
      <c r="J211" s="35" t="str" cm="1">
        <f t="array" ref="J211">_xlfn.TEXTJOIN(","&amp;CHAR(10),,TEXT(Table21215[[#This Row],[12]:[22]],"0,00%"))</f>
        <v>0,00%,
0,00%,
0,00%,
0,00%</v>
      </c>
      <c r="K211" s="36"/>
      <c r="L211" s="37" t="e">
        <f>H211-(H211*((MATCH(Table21215[[#This Row],[Evaluators Response (SELECT)]],Table21215[[#This Row],[1]:[11]],0)-1)/(COUNTA(Table21215[[#This Row],[1]:[11]])-COUNTBLANK(Table21215[[#This Row],[1]:[11]])-1)))</f>
        <v>#N/A</v>
      </c>
      <c r="M211" s="38"/>
      <c r="N211" s="29" t="s">
        <v>828</v>
      </c>
      <c r="O211" s="29" t="s">
        <v>829</v>
      </c>
      <c r="P211" s="29" t="s">
        <v>830</v>
      </c>
      <c r="Q211" s="29" t="str" cm="1">
        <f t="array" ref="Q211">IFERROR(INDEX(_xlfn.UNIQUE(TRIM(_xlfn.TEXTSPLIT(Table21215[[#This Row],[Selection Options]:[Selection Options]],","))),,Q$11),"")</f>
        <v xml:space="preserve">
 0%: Not currently supported</v>
      </c>
      <c r="R211" s="29" t="str" cm="1">
        <f t="array" ref="R211">IFERROR(INDEX(_xlfn.UNIQUE(TRIM(_xlfn.TEXTSPLIT(Table21215[[#This Row],[Selection Options]:[Selection Options]],","))),,R$11),"")</f>
        <v/>
      </c>
      <c r="S211" s="29" t="str" cm="1">
        <f t="array" ref="S211">IFERROR(INDEX(_xlfn.UNIQUE(TRIM(_xlfn.TEXTSPLIT(Table21215[[#This Row],[Selection Options]:[Selection Options]],","))),,S$11),"")</f>
        <v/>
      </c>
      <c r="T211" s="29" t="str" cm="1">
        <f t="array" ref="T211">IFERROR(INDEX(_xlfn.UNIQUE(TRIM(_xlfn.TEXTSPLIT(Table21215[[#This Row],[Selection Options]:[Selection Options]],","))),,T$11),"")</f>
        <v/>
      </c>
      <c r="U211" s="29" t="str" cm="1">
        <f t="array" ref="U211">IFERROR(INDEX(_xlfn.UNIQUE(TRIM(_xlfn.TEXTSPLIT(Table21215[[#This Row],[Selection Options]:[Selection Options]],","))),,U$11),"")</f>
        <v/>
      </c>
      <c r="V211" s="29" t="str" cm="1">
        <f t="array" ref="V211">IFERROR(INDEX(_xlfn.UNIQUE(TRIM(_xlfn.TEXTSPLIT(Table21215[[#This Row],[Selection Options]:[Selection Options]],","))),,V$11),"")</f>
        <v/>
      </c>
      <c r="W211" s="29" t="str" cm="1">
        <f t="array" ref="W211">IFERROR(INDEX(_xlfn.UNIQUE(TRIM(_xlfn.TEXTSPLIT(Table21215[[#This Row],[Selection Options]:[Selection Options]],","))),,W$11),"")</f>
        <v/>
      </c>
      <c r="X211" s="29" t="str" cm="1">
        <f t="array" ref="X211">IFERROR(INDEX(_xlfn.UNIQUE(TRIM(_xlfn.TEXTSPLIT(Table21215[[#This Row],[Selection Options]:[Selection Options]],","))),,X$11),"")</f>
        <v/>
      </c>
      <c r="Y211" s="30" cm="1">
        <f t="array" ref="Y211">IF(Table21215[[#This Row],[1]]="","",Table21215[[#This Row],[Weight]:[Weight]]-(Table21215[[#This Row],[Weight]:[Weight]]*((_xlfn.XMATCH(Table21215[[#This Row],[1]],Table21215[[#This Row],[1]:[11]],0))-1)/(COUNTA(Table21215[[#This Row],[1]:[11]])-COUNTBLANK(Table21215[[#This Row],[1]:[11]])-1)))</f>
        <v>3.9714058776806989E-3</v>
      </c>
      <c r="Z211" s="30" cm="1">
        <f t="array" ref="Z211">IF(Table21215[[#This Row],[2]]="","",Table21215[[#This Row],[Weight]:[Weight]]-(Table21215[[#This Row],[Weight]:[Weight]]*((_xlfn.XMATCH(Table21215[[#This Row],[2]],Table21215[[#This Row],[1]:[11]],0))-1)/(COUNTA(Table21215[[#This Row],[1]:[11]])-COUNTBLANK(Table21215[[#This Row],[1]:[11]])-1)))</f>
        <v>2.6476039184537992E-3</v>
      </c>
      <c r="AA211" s="30" cm="1">
        <f t="array" ref="AA211">IF(Table21215[[#This Row],[3]]="","",Table21215[[#This Row],[Weight]:[Weight]]-(Table21215[[#This Row],[Weight]:[Weight]]*((_xlfn.XMATCH(Table21215[[#This Row],[3]],Table21215[[#This Row],[1]:[11]],0))-1)/(COUNTA(Table21215[[#This Row],[1]:[11]])-COUNTBLANK(Table21215[[#This Row],[1]:[11]])-1)))</f>
        <v>1.3238019592268996E-3</v>
      </c>
      <c r="AB211" s="30" cm="1">
        <f t="array" ref="AB211">IF(Table21215[[#This Row],[4]]="","",Table21215[[#This Row],[Weight]:[Weight]]-(Table21215[[#This Row],[Weight]:[Weight]]*((_xlfn.XMATCH(Table21215[[#This Row],[4]],Table21215[[#This Row],[1]:[11]],0))-1)/(COUNTA(Table21215[[#This Row],[1]:[11]])-COUNTBLANK(Table21215[[#This Row],[1]:[11]])-1)))</f>
        <v>0</v>
      </c>
      <c r="AC211" s="30" t="str" cm="1">
        <f t="array" ref="AC211">IF(Table21215[[#This Row],[5]]="","",Table21215[[#This Row],[Weight]:[Weight]]-(Table21215[[#This Row],[Weight]:[Weight]]*((_xlfn.XMATCH(Table21215[[#This Row],[5]],Table21215[[#This Row],[1]:[11]],0))-1)/(COUNTA(Table21215[[#This Row],[1]:[11]])-COUNTBLANK(Table21215[[#This Row],[1]:[11]])-1)))</f>
        <v/>
      </c>
      <c r="AD211" s="30" t="str" cm="1">
        <f t="array" ref="AD211">IF(Table21215[[#This Row],[6]]="","",Table21215[[#This Row],[Weight]:[Weight]]-(Table21215[[#This Row],[Weight]:[Weight]]*((_xlfn.XMATCH(Table21215[[#This Row],[6]],Table21215[[#This Row],[1]:[11]],0))-1)/(COUNTA(Table21215[[#This Row],[1]:[11]])-COUNTBLANK(Table21215[[#This Row],[1]:[11]])-1)))</f>
        <v/>
      </c>
      <c r="AE211" s="30" t="str" cm="1">
        <f t="array" ref="AE211">IF(Table21215[[#This Row],[7]]="","",Table21215[[#This Row],[Weight]:[Weight]]-(Table21215[[#This Row],[Weight]:[Weight]]*((_xlfn.XMATCH(Table21215[[#This Row],[7]],Table21215[[#This Row],[1]:[11]],0))-1)/(COUNTA(Table21215[[#This Row],[1]:[11]])-COUNTBLANK(Table21215[[#This Row],[1]:[11]])-1)))</f>
        <v/>
      </c>
      <c r="AF211" s="30" t="str" cm="1">
        <f t="array" ref="AF211">IF(Table21215[[#This Row],[8]]="","",Table21215[[#This Row],[Weight]:[Weight]]-(Table21215[[#This Row],[Weight]:[Weight]]*((_xlfn.XMATCH(Table21215[[#This Row],[8]],Table21215[[#This Row],[1]:[11]],0))-1)/(COUNTA(Table21215[[#This Row],[1]:[11]])-COUNTBLANK(Table21215[[#This Row],[1]:[11]])-1)))</f>
        <v/>
      </c>
      <c r="AG211" s="30" t="str" cm="1">
        <f t="array" ref="AG211">IF(Table21215[[#This Row],[9]]="","",Table21215[[#This Row],[Weight]:[Weight]]-(Table21215[[#This Row],[Weight]:[Weight]]*((_xlfn.XMATCH(Table21215[[#This Row],[9]],Table21215[[#This Row],[1]:[11]],0))-1)/(COUNTA(Table21215[[#This Row],[1]:[11]])-COUNTBLANK(Table21215[[#This Row],[1]:[11]])-1)))</f>
        <v/>
      </c>
      <c r="AH211" s="30" t="str" cm="1">
        <f t="array" ref="AH211">IF(Table21215[[#This Row],[10]]="","",Table21215[[#This Row],[Weight]:[Weight]]-(Table21215[[#This Row],[Weight]:[Weight]]*((_xlfn.XMATCH(Table21215[[#This Row],[10]],Table21215[[#This Row],[1]:[11]],0))-1)/(COUNTA(Table21215[[#This Row],[1]:[11]])-COUNTBLANK(Table21215[[#This Row],[1]:[11]])-1)))</f>
        <v/>
      </c>
      <c r="AI211" s="30" t="str" cm="1">
        <f t="array" ref="AI211">IF(Table21215[[#This Row],[11]]="","",Table21215[[#This Row],[Weight]:[Weight]]-(Table21215[[#This Row],[Weight]:[Weight]]*((_xlfn.XMATCH(Table21215[[#This Row],[11]],Table21215[[#This Row],[1]:[11]],0))-1)/(COUNTA(Table21215[[#This Row],[1]:[11]])-COUNTBLANK(Table21215[[#This Row],[1]:[11]])-1)))</f>
        <v/>
      </c>
    </row>
    <row r="212" spans="1:35" ht="108" x14ac:dyDescent="0.2">
      <c r="A212" s="20">
        <v>200</v>
      </c>
      <c r="B212" s="165" t="s">
        <v>1029</v>
      </c>
      <c r="C212" s="21" t="s">
        <v>826</v>
      </c>
      <c r="D212" s="38"/>
      <c r="E212" s="38"/>
      <c r="F212" s="159" t="s">
        <v>188</v>
      </c>
      <c r="G212" s="160" cm="1">
        <f t="array" ref="G212">_xlfn.IFS(F212="","",F212="No interest",0,F212="Nice to have",1,F212="Useful",2,F212="Important",3,F212="Very important",4,F212="Critical",5,F212="Show stopper",6)</f>
        <v>5</v>
      </c>
      <c r="H212" s="161">
        <f t="shared" si="4"/>
        <v>3.9714058776806989E-3</v>
      </c>
      <c r="I212" s="157" t="s">
        <v>827</v>
      </c>
      <c r="J212" s="35" t="str" cm="1">
        <f t="array" ref="J212">_xlfn.TEXTJOIN(","&amp;CHAR(10),,TEXT(Table21215[[#This Row],[12]:[22]],"0,00%"))</f>
        <v>0,00%,
0,00%,
0,00%,
0,00%</v>
      </c>
      <c r="K212" s="36"/>
      <c r="L212" s="37" t="e">
        <f>H212-(H212*((MATCH(Table21215[[#This Row],[Evaluators Response (SELECT)]],Table21215[[#This Row],[1]:[11]],0)-1)/(COUNTA(Table21215[[#This Row],[1]:[11]])-COUNTBLANK(Table21215[[#This Row],[1]:[11]])-1)))</f>
        <v>#N/A</v>
      </c>
      <c r="M212" s="38"/>
      <c r="N212" s="29" t="s">
        <v>828</v>
      </c>
      <c r="O212" s="29" t="s">
        <v>829</v>
      </c>
      <c r="P212" s="29" t="s">
        <v>830</v>
      </c>
      <c r="Q212" s="29" t="str" cm="1">
        <f t="array" ref="Q212">IFERROR(INDEX(_xlfn.UNIQUE(TRIM(_xlfn.TEXTSPLIT(Table21215[[#This Row],[Selection Options]:[Selection Options]],","))),,Q$11),"")</f>
        <v xml:space="preserve">
 0%: Not currently supported</v>
      </c>
      <c r="R212" s="29" t="str" cm="1">
        <f t="array" ref="R212">IFERROR(INDEX(_xlfn.UNIQUE(TRIM(_xlfn.TEXTSPLIT(Table21215[[#This Row],[Selection Options]:[Selection Options]],","))),,R$11),"")</f>
        <v/>
      </c>
      <c r="S212" s="29" t="str" cm="1">
        <f t="array" ref="S212">IFERROR(INDEX(_xlfn.UNIQUE(TRIM(_xlfn.TEXTSPLIT(Table21215[[#This Row],[Selection Options]:[Selection Options]],","))),,S$11),"")</f>
        <v/>
      </c>
      <c r="T212" s="29" t="str" cm="1">
        <f t="array" ref="T212">IFERROR(INDEX(_xlfn.UNIQUE(TRIM(_xlfn.TEXTSPLIT(Table21215[[#This Row],[Selection Options]:[Selection Options]],","))),,T$11),"")</f>
        <v/>
      </c>
      <c r="U212" s="29" t="str" cm="1">
        <f t="array" ref="U212">IFERROR(INDEX(_xlfn.UNIQUE(TRIM(_xlfn.TEXTSPLIT(Table21215[[#This Row],[Selection Options]:[Selection Options]],","))),,U$11),"")</f>
        <v/>
      </c>
      <c r="V212" s="29" t="str" cm="1">
        <f t="array" ref="V212">IFERROR(INDEX(_xlfn.UNIQUE(TRIM(_xlfn.TEXTSPLIT(Table21215[[#This Row],[Selection Options]:[Selection Options]],","))),,V$11),"")</f>
        <v/>
      </c>
      <c r="W212" s="29" t="str" cm="1">
        <f t="array" ref="W212">IFERROR(INDEX(_xlfn.UNIQUE(TRIM(_xlfn.TEXTSPLIT(Table21215[[#This Row],[Selection Options]:[Selection Options]],","))),,W$11),"")</f>
        <v/>
      </c>
      <c r="X212" s="29" t="str" cm="1">
        <f t="array" ref="X212">IFERROR(INDEX(_xlfn.UNIQUE(TRIM(_xlfn.TEXTSPLIT(Table21215[[#This Row],[Selection Options]:[Selection Options]],","))),,X$11),"")</f>
        <v/>
      </c>
      <c r="Y212" s="30" cm="1">
        <f t="array" ref="Y212">IF(Table21215[[#This Row],[1]]="","",Table21215[[#This Row],[Weight]:[Weight]]-(Table21215[[#This Row],[Weight]:[Weight]]*((_xlfn.XMATCH(Table21215[[#This Row],[1]],Table21215[[#This Row],[1]:[11]],0))-1)/(COUNTA(Table21215[[#This Row],[1]:[11]])-COUNTBLANK(Table21215[[#This Row],[1]:[11]])-1)))</f>
        <v>3.9714058776806989E-3</v>
      </c>
      <c r="Z212" s="30" cm="1">
        <f t="array" ref="Z212">IF(Table21215[[#This Row],[2]]="","",Table21215[[#This Row],[Weight]:[Weight]]-(Table21215[[#This Row],[Weight]:[Weight]]*((_xlfn.XMATCH(Table21215[[#This Row],[2]],Table21215[[#This Row],[1]:[11]],0))-1)/(COUNTA(Table21215[[#This Row],[1]:[11]])-COUNTBLANK(Table21215[[#This Row],[1]:[11]])-1)))</f>
        <v>2.6476039184537992E-3</v>
      </c>
      <c r="AA212" s="30" cm="1">
        <f t="array" ref="AA212">IF(Table21215[[#This Row],[3]]="","",Table21215[[#This Row],[Weight]:[Weight]]-(Table21215[[#This Row],[Weight]:[Weight]]*((_xlfn.XMATCH(Table21215[[#This Row],[3]],Table21215[[#This Row],[1]:[11]],0))-1)/(COUNTA(Table21215[[#This Row],[1]:[11]])-COUNTBLANK(Table21215[[#This Row],[1]:[11]])-1)))</f>
        <v>1.3238019592268996E-3</v>
      </c>
      <c r="AB212" s="30" cm="1">
        <f t="array" ref="AB212">IF(Table21215[[#This Row],[4]]="","",Table21215[[#This Row],[Weight]:[Weight]]-(Table21215[[#This Row],[Weight]:[Weight]]*((_xlfn.XMATCH(Table21215[[#This Row],[4]],Table21215[[#This Row],[1]:[11]],0))-1)/(COUNTA(Table21215[[#This Row],[1]:[11]])-COUNTBLANK(Table21215[[#This Row],[1]:[11]])-1)))</f>
        <v>0</v>
      </c>
      <c r="AC212" s="30" t="str" cm="1">
        <f t="array" ref="AC212">IF(Table21215[[#This Row],[5]]="","",Table21215[[#This Row],[Weight]:[Weight]]-(Table21215[[#This Row],[Weight]:[Weight]]*((_xlfn.XMATCH(Table21215[[#This Row],[5]],Table21215[[#This Row],[1]:[11]],0))-1)/(COUNTA(Table21215[[#This Row],[1]:[11]])-COUNTBLANK(Table21215[[#This Row],[1]:[11]])-1)))</f>
        <v/>
      </c>
      <c r="AD212" s="30" t="str" cm="1">
        <f t="array" ref="AD212">IF(Table21215[[#This Row],[6]]="","",Table21215[[#This Row],[Weight]:[Weight]]-(Table21215[[#This Row],[Weight]:[Weight]]*((_xlfn.XMATCH(Table21215[[#This Row],[6]],Table21215[[#This Row],[1]:[11]],0))-1)/(COUNTA(Table21215[[#This Row],[1]:[11]])-COUNTBLANK(Table21215[[#This Row],[1]:[11]])-1)))</f>
        <v/>
      </c>
      <c r="AE212" s="30" t="str" cm="1">
        <f t="array" ref="AE212">IF(Table21215[[#This Row],[7]]="","",Table21215[[#This Row],[Weight]:[Weight]]-(Table21215[[#This Row],[Weight]:[Weight]]*((_xlfn.XMATCH(Table21215[[#This Row],[7]],Table21215[[#This Row],[1]:[11]],0))-1)/(COUNTA(Table21215[[#This Row],[1]:[11]])-COUNTBLANK(Table21215[[#This Row],[1]:[11]])-1)))</f>
        <v/>
      </c>
      <c r="AF212" s="30" t="str" cm="1">
        <f t="array" ref="AF212">IF(Table21215[[#This Row],[8]]="","",Table21215[[#This Row],[Weight]:[Weight]]-(Table21215[[#This Row],[Weight]:[Weight]]*((_xlfn.XMATCH(Table21215[[#This Row],[8]],Table21215[[#This Row],[1]:[11]],0))-1)/(COUNTA(Table21215[[#This Row],[1]:[11]])-COUNTBLANK(Table21215[[#This Row],[1]:[11]])-1)))</f>
        <v/>
      </c>
      <c r="AG212" s="30" t="str" cm="1">
        <f t="array" ref="AG212">IF(Table21215[[#This Row],[9]]="","",Table21215[[#This Row],[Weight]:[Weight]]-(Table21215[[#This Row],[Weight]:[Weight]]*((_xlfn.XMATCH(Table21215[[#This Row],[9]],Table21215[[#This Row],[1]:[11]],0))-1)/(COUNTA(Table21215[[#This Row],[1]:[11]])-COUNTBLANK(Table21215[[#This Row],[1]:[11]])-1)))</f>
        <v/>
      </c>
      <c r="AH212" s="30" t="str" cm="1">
        <f t="array" ref="AH212">IF(Table21215[[#This Row],[10]]="","",Table21215[[#This Row],[Weight]:[Weight]]-(Table21215[[#This Row],[Weight]:[Weight]]*((_xlfn.XMATCH(Table21215[[#This Row],[10]],Table21215[[#This Row],[1]:[11]],0))-1)/(COUNTA(Table21215[[#This Row],[1]:[11]])-COUNTBLANK(Table21215[[#This Row],[1]:[11]])-1)))</f>
        <v/>
      </c>
      <c r="AI212" s="30" t="str" cm="1">
        <f t="array" ref="AI212">IF(Table21215[[#This Row],[11]]="","",Table21215[[#This Row],[Weight]:[Weight]]-(Table21215[[#This Row],[Weight]:[Weight]]*((_xlfn.XMATCH(Table21215[[#This Row],[11]],Table21215[[#This Row],[1]:[11]],0))-1)/(COUNTA(Table21215[[#This Row],[1]:[11]])-COUNTBLANK(Table21215[[#This Row],[1]:[11]])-1)))</f>
        <v/>
      </c>
    </row>
    <row r="213" spans="1:35" ht="108" x14ac:dyDescent="0.2">
      <c r="A213" s="20">
        <v>201</v>
      </c>
      <c r="B213" s="165" t="s">
        <v>1030</v>
      </c>
      <c r="C213" s="21" t="s">
        <v>826</v>
      </c>
      <c r="D213" s="38"/>
      <c r="E213" s="38"/>
      <c r="F213" s="159" t="s">
        <v>60</v>
      </c>
      <c r="G213" s="160" cm="1">
        <f t="array" ref="G213">_xlfn.IFS(F213="","",F213="No interest",0,F213="Nice to have",1,F213="Useful",2,F213="Important",3,F213="Very important",4,F213="Critical",5,F213="Show stopper",6)</f>
        <v>6</v>
      </c>
      <c r="H213" s="161">
        <f t="shared" si="4"/>
        <v>4.7656870532168391E-3</v>
      </c>
      <c r="I213" s="157" t="s">
        <v>827</v>
      </c>
      <c r="J213" s="35" t="str" cm="1">
        <f t="array" ref="J213">_xlfn.TEXTJOIN(","&amp;CHAR(10),,TEXT(Table21215[[#This Row],[12]:[22]],"0,00%"))</f>
        <v>0,00%,
0,00%,
0,00%,
0,00%</v>
      </c>
      <c r="K213" s="36"/>
      <c r="L213" s="37" t="e">
        <f>H213-(H213*((MATCH(Table21215[[#This Row],[Evaluators Response (SELECT)]],Table21215[[#This Row],[1]:[11]],0)-1)/(COUNTA(Table21215[[#This Row],[1]:[11]])-COUNTBLANK(Table21215[[#This Row],[1]:[11]])-1)))</f>
        <v>#N/A</v>
      </c>
      <c r="M213" s="38"/>
      <c r="N213" s="29" t="s">
        <v>828</v>
      </c>
      <c r="O213" s="29" t="s">
        <v>829</v>
      </c>
      <c r="P213" s="29" t="s">
        <v>830</v>
      </c>
      <c r="Q213" s="29" t="str" cm="1">
        <f t="array" ref="Q213">IFERROR(INDEX(_xlfn.UNIQUE(TRIM(_xlfn.TEXTSPLIT(Table21215[[#This Row],[Selection Options]:[Selection Options]],","))),,Q$11),"")</f>
        <v xml:space="preserve">
 0%: Not currently supported</v>
      </c>
      <c r="R213" s="29" t="str" cm="1">
        <f t="array" ref="R213">IFERROR(INDEX(_xlfn.UNIQUE(TRIM(_xlfn.TEXTSPLIT(Table21215[[#This Row],[Selection Options]:[Selection Options]],","))),,R$11),"")</f>
        <v/>
      </c>
      <c r="S213" s="29" t="str" cm="1">
        <f t="array" ref="S213">IFERROR(INDEX(_xlfn.UNIQUE(TRIM(_xlfn.TEXTSPLIT(Table21215[[#This Row],[Selection Options]:[Selection Options]],","))),,S$11),"")</f>
        <v/>
      </c>
      <c r="T213" s="29" t="str" cm="1">
        <f t="array" ref="T213">IFERROR(INDEX(_xlfn.UNIQUE(TRIM(_xlfn.TEXTSPLIT(Table21215[[#This Row],[Selection Options]:[Selection Options]],","))),,T$11),"")</f>
        <v/>
      </c>
      <c r="U213" s="29" t="str" cm="1">
        <f t="array" ref="U213">IFERROR(INDEX(_xlfn.UNIQUE(TRIM(_xlfn.TEXTSPLIT(Table21215[[#This Row],[Selection Options]:[Selection Options]],","))),,U$11),"")</f>
        <v/>
      </c>
      <c r="V213" s="29" t="str" cm="1">
        <f t="array" ref="V213">IFERROR(INDEX(_xlfn.UNIQUE(TRIM(_xlfn.TEXTSPLIT(Table21215[[#This Row],[Selection Options]:[Selection Options]],","))),,V$11),"")</f>
        <v/>
      </c>
      <c r="W213" s="29" t="str" cm="1">
        <f t="array" ref="W213">IFERROR(INDEX(_xlfn.UNIQUE(TRIM(_xlfn.TEXTSPLIT(Table21215[[#This Row],[Selection Options]:[Selection Options]],","))),,W$11),"")</f>
        <v/>
      </c>
      <c r="X213" s="29" t="str" cm="1">
        <f t="array" ref="X213">IFERROR(INDEX(_xlfn.UNIQUE(TRIM(_xlfn.TEXTSPLIT(Table21215[[#This Row],[Selection Options]:[Selection Options]],","))),,X$11),"")</f>
        <v/>
      </c>
      <c r="Y213" s="30" cm="1">
        <f t="array" ref="Y213">IF(Table21215[[#This Row],[1]]="","",Table21215[[#This Row],[Weight]:[Weight]]-(Table21215[[#This Row],[Weight]:[Weight]]*((_xlfn.XMATCH(Table21215[[#This Row],[1]],Table21215[[#This Row],[1]:[11]],0))-1)/(COUNTA(Table21215[[#This Row],[1]:[11]])-COUNTBLANK(Table21215[[#This Row],[1]:[11]])-1)))</f>
        <v>4.7656870532168391E-3</v>
      </c>
      <c r="Z213" s="30" cm="1">
        <f t="array" ref="Z213">IF(Table21215[[#This Row],[2]]="","",Table21215[[#This Row],[Weight]:[Weight]]-(Table21215[[#This Row],[Weight]:[Weight]]*((_xlfn.XMATCH(Table21215[[#This Row],[2]],Table21215[[#This Row],[1]:[11]],0))-1)/(COUNTA(Table21215[[#This Row],[1]:[11]])-COUNTBLANK(Table21215[[#This Row],[1]:[11]])-1)))</f>
        <v>3.1771247021445594E-3</v>
      </c>
      <c r="AA213" s="30" cm="1">
        <f t="array" ref="AA213">IF(Table21215[[#This Row],[3]]="","",Table21215[[#This Row],[Weight]:[Weight]]-(Table21215[[#This Row],[Weight]:[Weight]]*((_xlfn.XMATCH(Table21215[[#This Row],[3]],Table21215[[#This Row],[1]:[11]],0))-1)/(COUNTA(Table21215[[#This Row],[1]:[11]])-COUNTBLANK(Table21215[[#This Row],[1]:[11]])-1)))</f>
        <v>1.5885623510722797E-3</v>
      </c>
      <c r="AB213" s="30" cm="1">
        <f t="array" ref="AB213">IF(Table21215[[#This Row],[4]]="","",Table21215[[#This Row],[Weight]:[Weight]]-(Table21215[[#This Row],[Weight]:[Weight]]*((_xlfn.XMATCH(Table21215[[#This Row],[4]],Table21215[[#This Row],[1]:[11]],0))-1)/(COUNTA(Table21215[[#This Row],[1]:[11]])-COUNTBLANK(Table21215[[#This Row],[1]:[11]])-1)))</f>
        <v>0</v>
      </c>
      <c r="AC213" s="30" t="str" cm="1">
        <f t="array" ref="AC213">IF(Table21215[[#This Row],[5]]="","",Table21215[[#This Row],[Weight]:[Weight]]-(Table21215[[#This Row],[Weight]:[Weight]]*((_xlfn.XMATCH(Table21215[[#This Row],[5]],Table21215[[#This Row],[1]:[11]],0))-1)/(COUNTA(Table21215[[#This Row],[1]:[11]])-COUNTBLANK(Table21215[[#This Row],[1]:[11]])-1)))</f>
        <v/>
      </c>
      <c r="AD213" s="30" t="str" cm="1">
        <f t="array" ref="AD213">IF(Table21215[[#This Row],[6]]="","",Table21215[[#This Row],[Weight]:[Weight]]-(Table21215[[#This Row],[Weight]:[Weight]]*((_xlfn.XMATCH(Table21215[[#This Row],[6]],Table21215[[#This Row],[1]:[11]],0))-1)/(COUNTA(Table21215[[#This Row],[1]:[11]])-COUNTBLANK(Table21215[[#This Row],[1]:[11]])-1)))</f>
        <v/>
      </c>
      <c r="AE213" s="30" t="str" cm="1">
        <f t="array" ref="AE213">IF(Table21215[[#This Row],[7]]="","",Table21215[[#This Row],[Weight]:[Weight]]-(Table21215[[#This Row],[Weight]:[Weight]]*((_xlfn.XMATCH(Table21215[[#This Row],[7]],Table21215[[#This Row],[1]:[11]],0))-1)/(COUNTA(Table21215[[#This Row],[1]:[11]])-COUNTBLANK(Table21215[[#This Row],[1]:[11]])-1)))</f>
        <v/>
      </c>
      <c r="AF213" s="30" t="str" cm="1">
        <f t="array" ref="AF213">IF(Table21215[[#This Row],[8]]="","",Table21215[[#This Row],[Weight]:[Weight]]-(Table21215[[#This Row],[Weight]:[Weight]]*((_xlfn.XMATCH(Table21215[[#This Row],[8]],Table21215[[#This Row],[1]:[11]],0))-1)/(COUNTA(Table21215[[#This Row],[1]:[11]])-COUNTBLANK(Table21215[[#This Row],[1]:[11]])-1)))</f>
        <v/>
      </c>
      <c r="AG213" s="30" t="str" cm="1">
        <f t="array" ref="AG213">IF(Table21215[[#This Row],[9]]="","",Table21215[[#This Row],[Weight]:[Weight]]-(Table21215[[#This Row],[Weight]:[Weight]]*((_xlfn.XMATCH(Table21215[[#This Row],[9]],Table21215[[#This Row],[1]:[11]],0))-1)/(COUNTA(Table21215[[#This Row],[1]:[11]])-COUNTBLANK(Table21215[[#This Row],[1]:[11]])-1)))</f>
        <v/>
      </c>
      <c r="AH213" s="30" t="str" cm="1">
        <f t="array" ref="AH213">IF(Table21215[[#This Row],[10]]="","",Table21215[[#This Row],[Weight]:[Weight]]-(Table21215[[#This Row],[Weight]:[Weight]]*((_xlfn.XMATCH(Table21215[[#This Row],[10]],Table21215[[#This Row],[1]:[11]],0))-1)/(COUNTA(Table21215[[#This Row],[1]:[11]])-COUNTBLANK(Table21215[[#This Row],[1]:[11]])-1)))</f>
        <v/>
      </c>
      <c r="AI213" s="30" t="str" cm="1">
        <f t="array" ref="AI213">IF(Table21215[[#This Row],[11]]="","",Table21215[[#This Row],[Weight]:[Weight]]-(Table21215[[#This Row],[Weight]:[Weight]]*((_xlfn.XMATCH(Table21215[[#This Row],[11]],Table21215[[#This Row],[1]:[11]],0))-1)/(COUNTA(Table21215[[#This Row],[1]:[11]])-COUNTBLANK(Table21215[[#This Row],[1]:[11]])-1)))</f>
        <v/>
      </c>
    </row>
    <row r="214" spans="1:35" ht="108" x14ac:dyDescent="0.2">
      <c r="A214" s="20">
        <v>202</v>
      </c>
      <c r="B214" s="165" t="s">
        <v>1031</v>
      </c>
      <c r="C214" s="21" t="s">
        <v>826</v>
      </c>
      <c r="D214" s="38"/>
      <c r="E214" s="38"/>
      <c r="F214" s="159" t="s">
        <v>60</v>
      </c>
      <c r="G214" s="160" cm="1">
        <f t="array" ref="G214">_xlfn.IFS(F214="","",F214="No interest",0,F214="Nice to have",1,F214="Useful",2,F214="Important",3,F214="Very important",4,F214="Critical",5,F214="Show stopper",6)</f>
        <v>6</v>
      </c>
      <c r="H214" s="161">
        <f t="shared" si="4"/>
        <v>4.7656870532168391E-3</v>
      </c>
      <c r="I214" s="157" t="s">
        <v>827</v>
      </c>
      <c r="J214" s="35" t="str" cm="1">
        <f t="array" ref="J214">_xlfn.TEXTJOIN(","&amp;CHAR(10),,TEXT(Table21215[[#This Row],[12]:[22]],"0,00%"))</f>
        <v>0,00%,
0,00%,
0,00%,
0,00%</v>
      </c>
      <c r="K214" s="36"/>
      <c r="L214" s="37" t="e">
        <f>H214-(H214*((MATCH(Table21215[[#This Row],[Evaluators Response (SELECT)]],Table21215[[#This Row],[1]:[11]],0)-1)/(COUNTA(Table21215[[#This Row],[1]:[11]])-COUNTBLANK(Table21215[[#This Row],[1]:[11]])-1)))</f>
        <v>#N/A</v>
      </c>
      <c r="M214" s="38"/>
      <c r="N214" s="29" t="s">
        <v>828</v>
      </c>
      <c r="O214" s="29" t="s">
        <v>829</v>
      </c>
      <c r="P214" s="29" t="s">
        <v>830</v>
      </c>
      <c r="Q214" s="29" t="str" cm="1">
        <f t="array" ref="Q214">IFERROR(INDEX(_xlfn.UNIQUE(TRIM(_xlfn.TEXTSPLIT(Table21215[[#This Row],[Selection Options]:[Selection Options]],","))),,Q$11),"")</f>
        <v xml:space="preserve">
 0%: Not currently supported</v>
      </c>
      <c r="R214" s="29" t="str" cm="1">
        <f t="array" ref="R214">IFERROR(INDEX(_xlfn.UNIQUE(TRIM(_xlfn.TEXTSPLIT(Table21215[[#This Row],[Selection Options]:[Selection Options]],","))),,R$11),"")</f>
        <v/>
      </c>
      <c r="S214" s="29" t="str" cm="1">
        <f t="array" ref="S214">IFERROR(INDEX(_xlfn.UNIQUE(TRIM(_xlfn.TEXTSPLIT(Table21215[[#This Row],[Selection Options]:[Selection Options]],","))),,S$11),"")</f>
        <v/>
      </c>
      <c r="T214" s="29" t="str" cm="1">
        <f t="array" ref="T214">IFERROR(INDEX(_xlfn.UNIQUE(TRIM(_xlfn.TEXTSPLIT(Table21215[[#This Row],[Selection Options]:[Selection Options]],","))),,T$11),"")</f>
        <v/>
      </c>
      <c r="U214" s="29" t="str" cm="1">
        <f t="array" ref="U214">IFERROR(INDEX(_xlfn.UNIQUE(TRIM(_xlfn.TEXTSPLIT(Table21215[[#This Row],[Selection Options]:[Selection Options]],","))),,U$11),"")</f>
        <v/>
      </c>
      <c r="V214" s="29" t="str" cm="1">
        <f t="array" ref="V214">IFERROR(INDEX(_xlfn.UNIQUE(TRIM(_xlfn.TEXTSPLIT(Table21215[[#This Row],[Selection Options]:[Selection Options]],","))),,V$11),"")</f>
        <v/>
      </c>
      <c r="W214" s="29" t="str" cm="1">
        <f t="array" ref="W214">IFERROR(INDEX(_xlfn.UNIQUE(TRIM(_xlfn.TEXTSPLIT(Table21215[[#This Row],[Selection Options]:[Selection Options]],","))),,W$11),"")</f>
        <v/>
      </c>
      <c r="X214" s="29" t="str" cm="1">
        <f t="array" ref="X214">IFERROR(INDEX(_xlfn.UNIQUE(TRIM(_xlfn.TEXTSPLIT(Table21215[[#This Row],[Selection Options]:[Selection Options]],","))),,X$11),"")</f>
        <v/>
      </c>
      <c r="Y214" s="30" cm="1">
        <f t="array" ref="Y214">IF(Table21215[[#This Row],[1]]="","",Table21215[[#This Row],[Weight]:[Weight]]-(Table21215[[#This Row],[Weight]:[Weight]]*((_xlfn.XMATCH(Table21215[[#This Row],[1]],Table21215[[#This Row],[1]:[11]],0))-1)/(COUNTA(Table21215[[#This Row],[1]:[11]])-COUNTBLANK(Table21215[[#This Row],[1]:[11]])-1)))</f>
        <v>4.7656870532168391E-3</v>
      </c>
      <c r="Z214" s="30" cm="1">
        <f t="array" ref="Z214">IF(Table21215[[#This Row],[2]]="","",Table21215[[#This Row],[Weight]:[Weight]]-(Table21215[[#This Row],[Weight]:[Weight]]*((_xlfn.XMATCH(Table21215[[#This Row],[2]],Table21215[[#This Row],[1]:[11]],0))-1)/(COUNTA(Table21215[[#This Row],[1]:[11]])-COUNTBLANK(Table21215[[#This Row],[1]:[11]])-1)))</f>
        <v>3.1771247021445594E-3</v>
      </c>
      <c r="AA214" s="30" cm="1">
        <f t="array" ref="AA214">IF(Table21215[[#This Row],[3]]="","",Table21215[[#This Row],[Weight]:[Weight]]-(Table21215[[#This Row],[Weight]:[Weight]]*((_xlfn.XMATCH(Table21215[[#This Row],[3]],Table21215[[#This Row],[1]:[11]],0))-1)/(COUNTA(Table21215[[#This Row],[1]:[11]])-COUNTBLANK(Table21215[[#This Row],[1]:[11]])-1)))</f>
        <v>1.5885623510722797E-3</v>
      </c>
      <c r="AB214" s="30" cm="1">
        <f t="array" ref="AB214">IF(Table21215[[#This Row],[4]]="","",Table21215[[#This Row],[Weight]:[Weight]]-(Table21215[[#This Row],[Weight]:[Weight]]*((_xlfn.XMATCH(Table21215[[#This Row],[4]],Table21215[[#This Row],[1]:[11]],0))-1)/(COUNTA(Table21215[[#This Row],[1]:[11]])-COUNTBLANK(Table21215[[#This Row],[1]:[11]])-1)))</f>
        <v>0</v>
      </c>
      <c r="AC214" s="30" t="str" cm="1">
        <f t="array" ref="AC214">IF(Table21215[[#This Row],[5]]="","",Table21215[[#This Row],[Weight]:[Weight]]-(Table21215[[#This Row],[Weight]:[Weight]]*((_xlfn.XMATCH(Table21215[[#This Row],[5]],Table21215[[#This Row],[1]:[11]],0))-1)/(COUNTA(Table21215[[#This Row],[1]:[11]])-COUNTBLANK(Table21215[[#This Row],[1]:[11]])-1)))</f>
        <v/>
      </c>
      <c r="AD214" s="30" t="str" cm="1">
        <f t="array" ref="AD214">IF(Table21215[[#This Row],[6]]="","",Table21215[[#This Row],[Weight]:[Weight]]-(Table21215[[#This Row],[Weight]:[Weight]]*((_xlfn.XMATCH(Table21215[[#This Row],[6]],Table21215[[#This Row],[1]:[11]],0))-1)/(COUNTA(Table21215[[#This Row],[1]:[11]])-COUNTBLANK(Table21215[[#This Row],[1]:[11]])-1)))</f>
        <v/>
      </c>
      <c r="AE214" s="30" t="str" cm="1">
        <f t="array" ref="AE214">IF(Table21215[[#This Row],[7]]="","",Table21215[[#This Row],[Weight]:[Weight]]-(Table21215[[#This Row],[Weight]:[Weight]]*((_xlfn.XMATCH(Table21215[[#This Row],[7]],Table21215[[#This Row],[1]:[11]],0))-1)/(COUNTA(Table21215[[#This Row],[1]:[11]])-COUNTBLANK(Table21215[[#This Row],[1]:[11]])-1)))</f>
        <v/>
      </c>
      <c r="AF214" s="30" t="str" cm="1">
        <f t="array" ref="AF214">IF(Table21215[[#This Row],[8]]="","",Table21215[[#This Row],[Weight]:[Weight]]-(Table21215[[#This Row],[Weight]:[Weight]]*((_xlfn.XMATCH(Table21215[[#This Row],[8]],Table21215[[#This Row],[1]:[11]],0))-1)/(COUNTA(Table21215[[#This Row],[1]:[11]])-COUNTBLANK(Table21215[[#This Row],[1]:[11]])-1)))</f>
        <v/>
      </c>
      <c r="AG214" s="30" t="str" cm="1">
        <f t="array" ref="AG214">IF(Table21215[[#This Row],[9]]="","",Table21215[[#This Row],[Weight]:[Weight]]-(Table21215[[#This Row],[Weight]:[Weight]]*((_xlfn.XMATCH(Table21215[[#This Row],[9]],Table21215[[#This Row],[1]:[11]],0))-1)/(COUNTA(Table21215[[#This Row],[1]:[11]])-COUNTBLANK(Table21215[[#This Row],[1]:[11]])-1)))</f>
        <v/>
      </c>
      <c r="AH214" s="30" t="str" cm="1">
        <f t="array" ref="AH214">IF(Table21215[[#This Row],[10]]="","",Table21215[[#This Row],[Weight]:[Weight]]-(Table21215[[#This Row],[Weight]:[Weight]]*((_xlfn.XMATCH(Table21215[[#This Row],[10]],Table21215[[#This Row],[1]:[11]],0))-1)/(COUNTA(Table21215[[#This Row],[1]:[11]])-COUNTBLANK(Table21215[[#This Row],[1]:[11]])-1)))</f>
        <v/>
      </c>
      <c r="AI214" s="30" t="str" cm="1">
        <f t="array" ref="AI214">IF(Table21215[[#This Row],[11]]="","",Table21215[[#This Row],[Weight]:[Weight]]-(Table21215[[#This Row],[Weight]:[Weight]]*((_xlfn.XMATCH(Table21215[[#This Row],[11]],Table21215[[#This Row],[1]:[11]],0))-1)/(COUNTA(Table21215[[#This Row],[1]:[11]])-COUNTBLANK(Table21215[[#This Row],[1]:[11]])-1)))</f>
        <v/>
      </c>
    </row>
    <row r="215" spans="1:35" ht="108" x14ac:dyDescent="0.2">
      <c r="A215" s="20">
        <v>203</v>
      </c>
      <c r="B215" s="165" t="s">
        <v>1032</v>
      </c>
      <c r="C215" s="21" t="s">
        <v>826</v>
      </c>
      <c r="D215" s="38"/>
      <c r="E215" s="38"/>
      <c r="F215" s="159" t="s">
        <v>60</v>
      </c>
      <c r="G215" s="160" cm="1">
        <f t="array" ref="G215">_xlfn.IFS(F215="","",F215="No interest",0,F215="Nice to have",1,F215="Useful",2,F215="Important",3,F215="Very important",4,F215="Critical",5,F215="Show stopper",6)</f>
        <v>6</v>
      </c>
      <c r="H215" s="161">
        <f t="shared" si="4"/>
        <v>4.7656870532168391E-3</v>
      </c>
      <c r="I215" s="157" t="s">
        <v>827</v>
      </c>
      <c r="J215" s="35" t="str" cm="1">
        <f t="array" ref="J215">_xlfn.TEXTJOIN(","&amp;CHAR(10),,TEXT(Table21215[[#This Row],[12]:[22]],"0,00%"))</f>
        <v>0,00%,
0,00%,
0,00%,
0,00%</v>
      </c>
      <c r="K215" s="36"/>
      <c r="L215" s="37" t="e">
        <f>H215-(H215*((MATCH(Table21215[[#This Row],[Evaluators Response (SELECT)]],Table21215[[#This Row],[1]:[11]],0)-1)/(COUNTA(Table21215[[#This Row],[1]:[11]])-COUNTBLANK(Table21215[[#This Row],[1]:[11]])-1)))</f>
        <v>#N/A</v>
      </c>
      <c r="M215" s="38"/>
      <c r="N215" s="29" t="s">
        <v>828</v>
      </c>
      <c r="O215" s="29" t="s">
        <v>829</v>
      </c>
      <c r="P215" s="29" t="s">
        <v>830</v>
      </c>
      <c r="Q215" s="29" t="str" cm="1">
        <f t="array" ref="Q215">IFERROR(INDEX(_xlfn.UNIQUE(TRIM(_xlfn.TEXTSPLIT(Table21215[[#This Row],[Selection Options]:[Selection Options]],","))),,Q$11),"")</f>
        <v xml:space="preserve">
 0%: Not currently supported</v>
      </c>
      <c r="R215" s="29" t="str" cm="1">
        <f t="array" ref="R215">IFERROR(INDEX(_xlfn.UNIQUE(TRIM(_xlfn.TEXTSPLIT(Table21215[[#This Row],[Selection Options]:[Selection Options]],","))),,R$11),"")</f>
        <v/>
      </c>
      <c r="S215" s="29" t="str" cm="1">
        <f t="array" ref="S215">IFERROR(INDEX(_xlfn.UNIQUE(TRIM(_xlfn.TEXTSPLIT(Table21215[[#This Row],[Selection Options]:[Selection Options]],","))),,S$11),"")</f>
        <v/>
      </c>
      <c r="T215" s="29" t="str" cm="1">
        <f t="array" ref="T215">IFERROR(INDEX(_xlfn.UNIQUE(TRIM(_xlfn.TEXTSPLIT(Table21215[[#This Row],[Selection Options]:[Selection Options]],","))),,T$11),"")</f>
        <v/>
      </c>
      <c r="U215" s="29" t="str" cm="1">
        <f t="array" ref="U215">IFERROR(INDEX(_xlfn.UNIQUE(TRIM(_xlfn.TEXTSPLIT(Table21215[[#This Row],[Selection Options]:[Selection Options]],","))),,U$11),"")</f>
        <v/>
      </c>
      <c r="V215" s="29" t="str" cm="1">
        <f t="array" ref="V215">IFERROR(INDEX(_xlfn.UNIQUE(TRIM(_xlfn.TEXTSPLIT(Table21215[[#This Row],[Selection Options]:[Selection Options]],","))),,V$11),"")</f>
        <v/>
      </c>
      <c r="W215" s="29" t="str" cm="1">
        <f t="array" ref="W215">IFERROR(INDEX(_xlfn.UNIQUE(TRIM(_xlfn.TEXTSPLIT(Table21215[[#This Row],[Selection Options]:[Selection Options]],","))),,W$11),"")</f>
        <v/>
      </c>
      <c r="X215" s="29" t="str" cm="1">
        <f t="array" ref="X215">IFERROR(INDEX(_xlfn.UNIQUE(TRIM(_xlfn.TEXTSPLIT(Table21215[[#This Row],[Selection Options]:[Selection Options]],","))),,X$11),"")</f>
        <v/>
      </c>
      <c r="Y215" s="30" cm="1">
        <f t="array" ref="Y215">IF(Table21215[[#This Row],[1]]="","",Table21215[[#This Row],[Weight]:[Weight]]-(Table21215[[#This Row],[Weight]:[Weight]]*((_xlfn.XMATCH(Table21215[[#This Row],[1]],Table21215[[#This Row],[1]:[11]],0))-1)/(COUNTA(Table21215[[#This Row],[1]:[11]])-COUNTBLANK(Table21215[[#This Row],[1]:[11]])-1)))</f>
        <v>4.7656870532168391E-3</v>
      </c>
      <c r="Z215" s="30" cm="1">
        <f t="array" ref="Z215">IF(Table21215[[#This Row],[2]]="","",Table21215[[#This Row],[Weight]:[Weight]]-(Table21215[[#This Row],[Weight]:[Weight]]*((_xlfn.XMATCH(Table21215[[#This Row],[2]],Table21215[[#This Row],[1]:[11]],0))-1)/(COUNTA(Table21215[[#This Row],[1]:[11]])-COUNTBLANK(Table21215[[#This Row],[1]:[11]])-1)))</f>
        <v>3.1771247021445594E-3</v>
      </c>
      <c r="AA215" s="30" cm="1">
        <f t="array" ref="AA215">IF(Table21215[[#This Row],[3]]="","",Table21215[[#This Row],[Weight]:[Weight]]-(Table21215[[#This Row],[Weight]:[Weight]]*((_xlfn.XMATCH(Table21215[[#This Row],[3]],Table21215[[#This Row],[1]:[11]],0))-1)/(COUNTA(Table21215[[#This Row],[1]:[11]])-COUNTBLANK(Table21215[[#This Row],[1]:[11]])-1)))</f>
        <v>1.5885623510722797E-3</v>
      </c>
      <c r="AB215" s="30" cm="1">
        <f t="array" ref="AB215">IF(Table21215[[#This Row],[4]]="","",Table21215[[#This Row],[Weight]:[Weight]]-(Table21215[[#This Row],[Weight]:[Weight]]*((_xlfn.XMATCH(Table21215[[#This Row],[4]],Table21215[[#This Row],[1]:[11]],0))-1)/(COUNTA(Table21215[[#This Row],[1]:[11]])-COUNTBLANK(Table21215[[#This Row],[1]:[11]])-1)))</f>
        <v>0</v>
      </c>
      <c r="AC215" s="30" t="str" cm="1">
        <f t="array" ref="AC215">IF(Table21215[[#This Row],[5]]="","",Table21215[[#This Row],[Weight]:[Weight]]-(Table21215[[#This Row],[Weight]:[Weight]]*((_xlfn.XMATCH(Table21215[[#This Row],[5]],Table21215[[#This Row],[1]:[11]],0))-1)/(COUNTA(Table21215[[#This Row],[1]:[11]])-COUNTBLANK(Table21215[[#This Row],[1]:[11]])-1)))</f>
        <v/>
      </c>
      <c r="AD215" s="30" t="str" cm="1">
        <f t="array" ref="AD215">IF(Table21215[[#This Row],[6]]="","",Table21215[[#This Row],[Weight]:[Weight]]-(Table21215[[#This Row],[Weight]:[Weight]]*((_xlfn.XMATCH(Table21215[[#This Row],[6]],Table21215[[#This Row],[1]:[11]],0))-1)/(COUNTA(Table21215[[#This Row],[1]:[11]])-COUNTBLANK(Table21215[[#This Row],[1]:[11]])-1)))</f>
        <v/>
      </c>
      <c r="AE215" s="30" t="str" cm="1">
        <f t="array" ref="AE215">IF(Table21215[[#This Row],[7]]="","",Table21215[[#This Row],[Weight]:[Weight]]-(Table21215[[#This Row],[Weight]:[Weight]]*((_xlfn.XMATCH(Table21215[[#This Row],[7]],Table21215[[#This Row],[1]:[11]],0))-1)/(COUNTA(Table21215[[#This Row],[1]:[11]])-COUNTBLANK(Table21215[[#This Row],[1]:[11]])-1)))</f>
        <v/>
      </c>
      <c r="AF215" s="30" t="str" cm="1">
        <f t="array" ref="AF215">IF(Table21215[[#This Row],[8]]="","",Table21215[[#This Row],[Weight]:[Weight]]-(Table21215[[#This Row],[Weight]:[Weight]]*((_xlfn.XMATCH(Table21215[[#This Row],[8]],Table21215[[#This Row],[1]:[11]],0))-1)/(COUNTA(Table21215[[#This Row],[1]:[11]])-COUNTBLANK(Table21215[[#This Row],[1]:[11]])-1)))</f>
        <v/>
      </c>
      <c r="AG215" s="30" t="str" cm="1">
        <f t="array" ref="AG215">IF(Table21215[[#This Row],[9]]="","",Table21215[[#This Row],[Weight]:[Weight]]-(Table21215[[#This Row],[Weight]:[Weight]]*((_xlfn.XMATCH(Table21215[[#This Row],[9]],Table21215[[#This Row],[1]:[11]],0))-1)/(COUNTA(Table21215[[#This Row],[1]:[11]])-COUNTBLANK(Table21215[[#This Row],[1]:[11]])-1)))</f>
        <v/>
      </c>
      <c r="AH215" s="30" t="str" cm="1">
        <f t="array" ref="AH215">IF(Table21215[[#This Row],[10]]="","",Table21215[[#This Row],[Weight]:[Weight]]-(Table21215[[#This Row],[Weight]:[Weight]]*((_xlfn.XMATCH(Table21215[[#This Row],[10]],Table21215[[#This Row],[1]:[11]],0))-1)/(COUNTA(Table21215[[#This Row],[1]:[11]])-COUNTBLANK(Table21215[[#This Row],[1]:[11]])-1)))</f>
        <v/>
      </c>
      <c r="AI215" s="30" t="str" cm="1">
        <f t="array" ref="AI215">IF(Table21215[[#This Row],[11]]="","",Table21215[[#This Row],[Weight]:[Weight]]-(Table21215[[#This Row],[Weight]:[Weight]]*((_xlfn.XMATCH(Table21215[[#This Row],[11]],Table21215[[#This Row],[1]:[11]],0))-1)/(COUNTA(Table21215[[#This Row],[1]:[11]])-COUNTBLANK(Table21215[[#This Row],[1]:[11]])-1)))</f>
        <v/>
      </c>
    </row>
    <row r="216" spans="1:35" ht="108" x14ac:dyDescent="0.2">
      <c r="A216" s="20">
        <v>204</v>
      </c>
      <c r="B216" s="165" t="s">
        <v>1033</v>
      </c>
      <c r="C216" s="21" t="s">
        <v>826</v>
      </c>
      <c r="D216" s="38"/>
      <c r="E216" s="38"/>
      <c r="F216" s="159" t="s">
        <v>60</v>
      </c>
      <c r="G216" s="160" cm="1">
        <f t="array" ref="G216">_xlfn.IFS(F216="","",F216="No interest",0,F216="Nice to have",1,F216="Useful",2,F216="Important",3,F216="Very important",4,F216="Critical",5,F216="Show stopper",6)</f>
        <v>6</v>
      </c>
      <c r="H216" s="161">
        <f t="shared" si="4"/>
        <v>4.7656870532168391E-3</v>
      </c>
      <c r="I216" s="157" t="s">
        <v>827</v>
      </c>
      <c r="J216" s="35" t="str" cm="1">
        <f t="array" ref="J216">_xlfn.TEXTJOIN(","&amp;CHAR(10),,TEXT(Table21215[[#This Row],[12]:[22]],"0,00%"))</f>
        <v>0,00%,
0,00%,
0,00%,
0,00%</v>
      </c>
      <c r="K216" s="36"/>
      <c r="L216" s="37" t="e">
        <f>H216-(H216*((MATCH(Table21215[[#This Row],[Evaluators Response (SELECT)]],Table21215[[#This Row],[1]:[11]],0)-1)/(COUNTA(Table21215[[#This Row],[1]:[11]])-COUNTBLANK(Table21215[[#This Row],[1]:[11]])-1)))</f>
        <v>#N/A</v>
      </c>
      <c r="M216" s="38"/>
      <c r="N216" s="29" t="s">
        <v>828</v>
      </c>
      <c r="O216" s="29" t="s">
        <v>829</v>
      </c>
      <c r="P216" s="29" t="s">
        <v>830</v>
      </c>
      <c r="Q216" s="29" t="str" cm="1">
        <f t="array" ref="Q216">IFERROR(INDEX(_xlfn.UNIQUE(TRIM(_xlfn.TEXTSPLIT(Table21215[[#This Row],[Selection Options]:[Selection Options]],","))),,Q$11),"")</f>
        <v xml:space="preserve">
 0%: Not currently supported</v>
      </c>
      <c r="R216" s="29" t="str" cm="1">
        <f t="array" ref="R216">IFERROR(INDEX(_xlfn.UNIQUE(TRIM(_xlfn.TEXTSPLIT(Table21215[[#This Row],[Selection Options]:[Selection Options]],","))),,R$11),"")</f>
        <v/>
      </c>
      <c r="S216" s="29" t="str" cm="1">
        <f t="array" ref="S216">IFERROR(INDEX(_xlfn.UNIQUE(TRIM(_xlfn.TEXTSPLIT(Table21215[[#This Row],[Selection Options]:[Selection Options]],","))),,S$11),"")</f>
        <v/>
      </c>
      <c r="T216" s="29" t="str" cm="1">
        <f t="array" ref="T216">IFERROR(INDEX(_xlfn.UNIQUE(TRIM(_xlfn.TEXTSPLIT(Table21215[[#This Row],[Selection Options]:[Selection Options]],","))),,T$11),"")</f>
        <v/>
      </c>
      <c r="U216" s="29" t="str" cm="1">
        <f t="array" ref="U216">IFERROR(INDEX(_xlfn.UNIQUE(TRIM(_xlfn.TEXTSPLIT(Table21215[[#This Row],[Selection Options]:[Selection Options]],","))),,U$11),"")</f>
        <v/>
      </c>
      <c r="V216" s="29" t="str" cm="1">
        <f t="array" ref="V216">IFERROR(INDEX(_xlfn.UNIQUE(TRIM(_xlfn.TEXTSPLIT(Table21215[[#This Row],[Selection Options]:[Selection Options]],","))),,V$11),"")</f>
        <v/>
      </c>
      <c r="W216" s="29" t="str" cm="1">
        <f t="array" ref="W216">IFERROR(INDEX(_xlfn.UNIQUE(TRIM(_xlfn.TEXTSPLIT(Table21215[[#This Row],[Selection Options]:[Selection Options]],","))),,W$11),"")</f>
        <v/>
      </c>
      <c r="X216" s="29" t="str" cm="1">
        <f t="array" ref="X216">IFERROR(INDEX(_xlfn.UNIQUE(TRIM(_xlfn.TEXTSPLIT(Table21215[[#This Row],[Selection Options]:[Selection Options]],","))),,X$11),"")</f>
        <v/>
      </c>
      <c r="Y216" s="30" cm="1">
        <f t="array" ref="Y216">IF(Table21215[[#This Row],[1]]="","",Table21215[[#This Row],[Weight]:[Weight]]-(Table21215[[#This Row],[Weight]:[Weight]]*((_xlfn.XMATCH(Table21215[[#This Row],[1]],Table21215[[#This Row],[1]:[11]],0))-1)/(COUNTA(Table21215[[#This Row],[1]:[11]])-COUNTBLANK(Table21215[[#This Row],[1]:[11]])-1)))</f>
        <v>4.7656870532168391E-3</v>
      </c>
      <c r="Z216" s="30" cm="1">
        <f t="array" ref="Z216">IF(Table21215[[#This Row],[2]]="","",Table21215[[#This Row],[Weight]:[Weight]]-(Table21215[[#This Row],[Weight]:[Weight]]*((_xlfn.XMATCH(Table21215[[#This Row],[2]],Table21215[[#This Row],[1]:[11]],0))-1)/(COUNTA(Table21215[[#This Row],[1]:[11]])-COUNTBLANK(Table21215[[#This Row],[1]:[11]])-1)))</f>
        <v>3.1771247021445594E-3</v>
      </c>
      <c r="AA216" s="30" cm="1">
        <f t="array" ref="AA216">IF(Table21215[[#This Row],[3]]="","",Table21215[[#This Row],[Weight]:[Weight]]-(Table21215[[#This Row],[Weight]:[Weight]]*((_xlfn.XMATCH(Table21215[[#This Row],[3]],Table21215[[#This Row],[1]:[11]],0))-1)/(COUNTA(Table21215[[#This Row],[1]:[11]])-COUNTBLANK(Table21215[[#This Row],[1]:[11]])-1)))</f>
        <v>1.5885623510722797E-3</v>
      </c>
      <c r="AB216" s="30" cm="1">
        <f t="array" ref="AB216">IF(Table21215[[#This Row],[4]]="","",Table21215[[#This Row],[Weight]:[Weight]]-(Table21215[[#This Row],[Weight]:[Weight]]*((_xlfn.XMATCH(Table21215[[#This Row],[4]],Table21215[[#This Row],[1]:[11]],0))-1)/(COUNTA(Table21215[[#This Row],[1]:[11]])-COUNTBLANK(Table21215[[#This Row],[1]:[11]])-1)))</f>
        <v>0</v>
      </c>
      <c r="AC216" s="30" t="str" cm="1">
        <f t="array" ref="AC216">IF(Table21215[[#This Row],[5]]="","",Table21215[[#This Row],[Weight]:[Weight]]-(Table21215[[#This Row],[Weight]:[Weight]]*((_xlfn.XMATCH(Table21215[[#This Row],[5]],Table21215[[#This Row],[1]:[11]],0))-1)/(COUNTA(Table21215[[#This Row],[1]:[11]])-COUNTBLANK(Table21215[[#This Row],[1]:[11]])-1)))</f>
        <v/>
      </c>
      <c r="AD216" s="30" t="str" cm="1">
        <f t="array" ref="AD216">IF(Table21215[[#This Row],[6]]="","",Table21215[[#This Row],[Weight]:[Weight]]-(Table21215[[#This Row],[Weight]:[Weight]]*((_xlfn.XMATCH(Table21215[[#This Row],[6]],Table21215[[#This Row],[1]:[11]],0))-1)/(COUNTA(Table21215[[#This Row],[1]:[11]])-COUNTBLANK(Table21215[[#This Row],[1]:[11]])-1)))</f>
        <v/>
      </c>
      <c r="AE216" s="30" t="str" cm="1">
        <f t="array" ref="AE216">IF(Table21215[[#This Row],[7]]="","",Table21215[[#This Row],[Weight]:[Weight]]-(Table21215[[#This Row],[Weight]:[Weight]]*((_xlfn.XMATCH(Table21215[[#This Row],[7]],Table21215[[#This Row],[1]:[11]],0))-1)/(COUNTA(Table21215[[#This Row],[1]:[11]])-COUNTBLANK(Table21215[[#This Row],[1]:[11]])-1)))</f>
        <v/>
      </c>
      <c r="AF216" s="30" t="str" cm="1">
        <f t="array" ref="AF216">IF(Table21215[[#This Row],[8]]="","",Table21215[[#This Row],[Weight]:[Weight]]-(Table21215[[#This Row],[Weight]:[Weight]]*((_xlfn.XMATCH(Table21215[[#This Row],[8]],Table21215[[#This Row],[1]:[11]],0))-1)/(COUNTA(Table21215[[#This Row],[1]:[11]])-COUNTBLANK(Table21215[[#This Row],[1]:[11]])-1)))</f>
        <v/>
      </c>
      <c r="AG216" s="30" t="str" cm="1">
        <f t="array" ref="AG216">IF(Table21215[[#This Row],[9]]="","",Table21215[[#This Row],[Weight]:[Weight]]-(Table21215[[#This Row],[Weight]:[Weight]]*((_xlfn.XMATCH(Table21215[[#This Row],[9]],Table21215[[#This Row],[1]:[11]],0))-1)/(COUNTA(Table21215[[#This Row],[1]:[11]])-COUNTBLANK(Table21215[[#This Row],[1]:[11]])-1)))</f>
        <v/>
      </c>
      <c r="AH216" s="30" t="str" cm="1">
        <f t="array" ref="AH216">IF(Table21215[[#This Row],[10]]="","",Table21215[[#This Row],[Weight]:[Weight]]-(Table21215[[#This Row],[Weight]:[Weight]]*((_xlfn.XMATCH(Table21215[[#This Row],[10]],Table21215[[#This Row],[1]:[11]],0))-1)/(COUNTA(Table21215[[#This Row],[1]:[11]])-COUNTBLANK(Table21215[[#This Row],[1]:[11]])-1)))</f>
        <v/>
      </c>
      <c r="AI216" s="30" t="str" cm="1">
        <f t="array" ref="AI216">IF(Table21215[[#This Row],[11]]="","",Table21215[[#This Row],[Weight]:[Weight]]-(Table21215[[#This Row],[Weight]:[Weight]]*((_xlfn.XMATCH(Table21215[[#This Row],[11]],Table21215[[#This Row],[1]:[11]],0))-1)/(COUNTA(Table21215[[#This Row],[1]:[11]])-COUNTBLANK(Table21215[[#This Row],[1]:[11]])-1)))</f>
        <v/>
      </c>
    </row>
    <row r="217" spans="1:35" ht="108" x14ac:dyDescent="0.2">
      <c r="A217" s="20">
        <v>205</v>
      </c>
      <c r="B217" s="165" t="s">
        <v>1034</v>
      </c>
      <c r="C217" s="21" t="s">
        <v>826</v>
      </c>
      <c r="D217" s="38"/>
      <c r="E217" s="38"/>
      <c r="F217" s="159" t="s">
        <v>188</v>
      </c>
      <c r="G217" s="160" cm="1">
        <f t="array" ref="G217">_xlfn.IFS(F217="","",F217="No interest",0,F217="Nice to have",1,F217="Useful",2,F217="Important",3,F217="Very important",4,F217="Critical",5,F217="Show stopper",6)</f>
        <v>5</v>
      </c>
      <c r="H217" s="161">
        <f t="shared" si="4"/>
        <v>3.9714058776806989E-3</v>
      </c>
      <c r="I217" s="157" t="s">
        <v>827</v>
      </c>
      <c r="J217" s="35" t="str" cm="1">
        <f t="array" ref="J217">_xlfn.TEXTJOIN(","&amp;CHAR(10),,TEXT(Table21215[[#This Row],[12]:[22]],"0,00%"))</f>
        <v>0,00%,
0,00%,
0,00%,
0,00%</v>
      </c>
      <c r="K217" s="36"/>
      <c r="L217" s="37" t="e">
        <f>H217-(H217*((MATCH(Table21215[[#This Row],[Evaluators Response (SELECT)]],Table21215[[#This Row],[1]:[11]],0)-1)/(COUNTA(Table21215[[#This Row],[1]:[11]])-COUNTBLANK(Table21215[[#This Row],[1]:[11]])-1)))</f>
        <v>#N/A</v>
      </c>
      <c r="M217" s="38"/>
      <c r="N217" s="29" t="s">
        <v>828</v>
      </c>
      <c r="O217" s="29" t="s">
        <v>829</v>
      </c>
      <c r="P217" s="29" t="s">
        <v>830</v>
      </c>
      <c r="Q217" s="29" t="str" cm="1">
        <f t="array" ref="Q217">IFERROR(INDEX(_xlfn.UNIQUE(TRIM(_xlfn.TEXTSPLIT(Table21215[[#This Row],[Selection Options]:[Selection Options]],","))),,Q$11),"")</f>
        <v xml:space="preserve">
 0%: Not currently supported</v>
      </c>
      <c r="R217" s="29" t="str" cm="1">
        <f t="array" ref="R217">IFERROR(INDEX(_xlfn.UNIQUE(TRIM(_xlfn.TEXTSPLIT(Table21215[[#This Row],[Selection Options]:[Selection Options]],","))),,R$11),"")</f>
        <v/>
      </c>
      <c r="S217" s="29" t="str" cm="1">
        <f t="array" ref="S217">IFERROR(INDEX(_xlfn.UNIQUE(TRIM(_xlfn.TEXTSPLIT(Table21215[[#This Row],[Selection Options]:[Selection Options]],","))),,S$11),"")</f>
        <v/>
      </c>
      <c r="T217" s="29" t="str" cm="1">
        <f t="array" ref="T217">IFERROR(INDEX(_xlfn.UNIQUE(TRIM(_xlfn.TEXTSPLIT(Table21215[[#This Row],[Selection Options]:[Selection Options]],","))),,T$11),"")</f>
        <v/>
      </c>
      <c r="U217" s="29" t="str" cm="1">
        <f t="array" ref="U217">IFERROR(INDEX(_xlfn.UNIQUE(TRIM(_xlfn.TEXTSPLIT(Table21215[[#This Row],[Selection Options]:[Selection Options]],","))),,U$11),"")</f>
        <v/>
      </c>
      <c r="V217" s="29" t="str" cm="1">
        <f t="array" ref="V217">IFERROR(INDEX(_xlfn.UNIQUE(TRIM(_xlfn.TEXTSPLIT(Table21215[[#This Row],[Selection Options]:[Selection Options]],","))),,V$11),"")</f>
        <v/>
      </c>
      <c r="W217" s="29" t="str" cm="1">
        <f t="array" ref="W217">IFERROR(INDEX(_xlfn.UNIQUE(TRIM(_xlfn.TEXTSPLIT(Table21215[[#This Row],[Selection Options]:[Selection Options]],","))),,W$11),"")</f>
        <v/>
      </c>
      <c r="X217" s="29" t="str" cm="1">
        <f t="array" ref="X217">IFERROR(INDEX(_xlfn.UNIQUE(TRIM(_xlfn.TEXTSPLIT(Table21215[[#This Row],[Selection Options]:[Selection Options]],","))),,X$11),"")</f>
        <v/>
      </c>
      <c r="Y217" s="30" cm="1">
        <f t="array" ref="Y217">IF(Table21215[[#This Row],[1]]="","",Table21215[[#This Row],[Weight]:[Weight]]-(Table21215[[#This Row],[Weight]:[Weight]]*((_xlfn.XMATCH(Table21215[[#This Row],[1]],Table21215[[#This Row],[1]:[11]],0))-1)/(COUNTA(Table21215[[#This Row],[1]:[11]])-COUNTBLANK(Table21215[[#This Row],[1]:[11]])-1)))</f>
        <v>3.9714058776806989E-3</v>
      </c>
      <c r="Z217" s="30" cm="1">
        <f t="array" ref="Z217">IF(Table21215[[#This Row],[2]]="","",Table21215[[#This Row],[Weight]:[Weight]]-(Table21215[[#This Row],[Weight]:[Weight]]*((_xlfn.XMATCH(Table21215[[#This Row],[2]],Table21215[[#This Row],[1]:[11]],0))-1)/(COUNTA(Table21215[[#This Row],[1]:[11]])-COUNTBLANK(Table21215[[#This Row],[1]:[11]])-1)))</f>
        <v>2.6476039184537992E-3</v>
      </c>
      <c r="AA217" s="30" cm="1">
        <f t="array" ref="AA217">IF(Table21215[[#This Row],[3]]="","",Table21215[[#This Row],[Weight]:[Weight]]-(Table21215[[#This Row],[Weight]:[Weight]]*((_xlfn.XMATCH(Table21215[[#This Row],[3]],Table21215[[#This Row],[1]:[11]],0))-1)/(COUNTA(Table21215[[#This Row],[1]:[11]])-COUNTBLANK(Table21215[[#This Row],[1]:[11]])-1)))</f>
        <v>1.3238019592268996E-3</v>
      </c>
      <c r="AB217" s="30" cm="1">
        <f t="array" ref="AB217">IF(Table21215[[#This Row],[4]]="","",Table21215[[#This Row],[Weight]:[Weight]]-(Table21215[[#This Row],[Weight]:[Weight]]*((_xlfn.XMATCH(Table21215[[#This Row],[4]],Table21215[[#This Row],[1]:[11]],0))-1)/(COUNTA(Table21215[[#This Row],[1]:[11]])-COUNTBLANK(Table21215[[#This Row],[1]:[11]])-1)))</f>
        <v>0</v>
      </c>
      <c r="AC217" s="30" t="str" cm="1">
        <f t="array" ref="AC217">IF(Table21215[[#This Row],[5]]="","",Table21215[[#This Row],[Weight]:[Weight]]-(Table21215[[#This Row],[Weight]:[Weight]]*((_xlfn.XMATCH(Table21215[[#This Row],[5]],Table21215[[#This Row],[1]:[11]],0))-1)/(COUNTA(Table21215[[#This Row],[1]:[11]])-COUNTBLANK(Table21215[[#This Row],[1]:[11]])-1)))</f>
        <v/>
      </c>
      <c r="AD217" s="30" t="str" cm="1">
        <f t="array" ref="AD217">IF(Table21215[[#This Row],[6]]="","",Table21215[[#This Row],[Weight]:[Weight]]-(Table21215[[#This Row],[Weight]:[Weight]]*((_xlfn.XMATCH(Table21215[[#This Row],[6]],Table21215[[#This Row],[1]:[11]],0))-1)/(COUNTA(Table21215[[#This Row],[1]:[11]])-COUNTBLANK(Table21215[[#This Row],[1]:[11]])-1)))</f>
        <v/>
      </c>
      <c r="AE217" s="30" t="str" cm="1">
        <f t="array" ref="AE217">IF(Table21215[[#This Row],[7]]="","",Table21215[[#This Row],[Weight]:[Weight]]-(Table21215[[#This Row],[Weight]:[Weight]]*((_xlfn.XMATCH(Table21215[[#This Row],[7]],Table21215[[#This Row],[1]:[11]],0))-1)/(COUNTA(Table21215[[#This Row],[1]:[11]])-COUNTBLANK(Table21215[[#This Row],[1]:[11]])-1)))</f>
        <v/>
      </c>
      <c r="AF217" s="30" t="str" cm="1">
        <f t="array" ref="AF217">IF(Table21215[[#This Row],[8]]="","",Table21215[[#This Row],[Weight]:[Weight]]-(Table21215[[#This Row],[Weight]:[Weight]]*((_xlfn.XMATCH(Table21215[[#This Row],[8]],Table21215[[#This Row],[1]:[11]],0))-1)/(COUNTA(Table21215[[#This Row],[1]:[11]])-COUNTBLANK(Table21215[[#This Row],[1]:[11]])-1)))</f>
        <v/>
      </c>
      <c r="AG217" s="30" t="str" cm="1">
        <f t="array" ref="AG217">IF(Table21215[[#This Row],[9]]="","",Table21215[[#This Row],[Weight]:[Weight]]-(Table21215[[#This Row],[Weight]:[Weight]]*((_xlfn.XMATCH(Table21215[[#This Row],[9]],Table21215[[#This Row],[1]:[11]],0))-1)/(COUNTA(Table21215[[#This Row],[1]:[11]])-COUNTBLANK(Table21215[[#This Row],[1]:[11]])-1)))</f>
        <v/>
      </c>
      <c r="AH217" s="30" t="str" cm="1">
        <f t="array" ref="AH217">IF(Table21215[[#This Row],[10]]="","",Table21215[[#This Row],[Weight]:[Weight]]-(Table21215[[#This Row],[Weight]:[Weight]]*((_xlfn.XMATCH(Table21215[[#This Row],[10]],Table21215[[#This Row],[1]:[11]],0))-1)/(COUNTA(Table21215[[#This Row],[1]:[11]])-COUNTBLANK(Table21215[[#This Row],[1]:[11]])-1)))</f>
        <v/>
      </c>
      <c r="AI217" s="30" t="str" cm="1">
        <f t="array" ref="AI217">IF(Table21215[[#This Row],[11]]="","",Table21215[[#This Row],[Weight]:[Weight]]-(Table21215[[#This Row],[Weight]:[Weight]]*((_xlfn.XMATCH(Table21215[[#This Row],[11]],Table21215[[#This Row],[1]:[11]],0))-1)/(COUNTA(Table21215[[#This Row],[1]:[11]])-COUNTBLANK(Table21215[[#This Row],[1]:[11]])-1)))</f>
        <v/>
      </c>
    </row>
    <row r="218" spans="1:35" ht="108" x14ac:dyDescent="0.2">
      <c r="A218" s="20">
        <v>206</v>
      </c>
      <c r="B218" s="165" t="s">
        <v>1035</v>
      </c>
      <c r="C218" s="21" t="s">
        <v>826</v>
      </c>
      <c r="D218" s="38"/>
      <c r="E218" s="38"/>
      <c r="F218" s="159" t="s">
        <v>188</v>
      </c>
      <c r="G218" s="160" cm="1">
        <f t="array" ref="G218">_xlfn.IFS(F218="","",F218="No interest",0,F218="Nice to have",1,F218="Useful",2,F218="Important",3,F218="Very important",4,F218="Critical",5,F218="Show stopper",6)</f>
        <v>5</v>
      </c>
      <c r="H218" s="161">
        <f t="shared" si="4"/>
        <v>3.9714058776806989E-3</v>
      </c>
      <c r="I218" s="157" t="s">
        <v>827</v>
      </c>
      <c r="J218" s="35" t="str" cm="1">
        <f t="array" ref="J218">_xlfn.TEXTJOIN(","&amp;CHAR(10),,TEXT(Table21215[[#This Row],[12]:[22]],"0,00%"))</f>
        <v>0,00%,
0,00%,
0,00%,
0,00%</v>
      </c>
      <c r="K218" s="36"/>
      <c r="L218" s="37" t="e">
        <f>H218-(H218*((MATCH(Table21215[[#This Row],[Evaluators Response (SELECT)]],Table21215[[#This Row],[1]:[11]],0)-1)/(COUNTA(Table21215[[#This Row],[1]:[11]])-COUNTBLANK(Table21215[[#This Row],[1]:[11]])-1)))</f>
        <v>#N/A</v>
      </c>
      <c r="M218" s="38"/>
      <c r="N218" s="29" t="s">
        <v>828</v>
      </c>
      <c r="O218" s="29" t="s">
        <v>829</v>
      </c>
      <c r="P218" s="29" t="s">
        <v>830</v>
      </c>
      <c r="Q218" s="29" t="str" cm="1">
        <f t="array" ref="Q218">IFERROR(INDEX(_xlfn.UNIQUE(TRIM(_xlfn.TEXTSPLIT(Table21215[[#This Row],[Selection Options]:[Selection Options]],","))),,Q$11),"")</f>
        <v xml:space="preserve">
 0%: Not currently supported</v>
      </c>
      <c r="R218" s="29" t="str" cm="1">
        <f t="array" ref="R218">IFERROR(INDEX(_xlfn.UNIQUE(TRIM(_xlfn.TEXTSPLIT(Table21215[[#This Row],[Selection Options]:[Selection Options]],","))),,R$11),"")</f>
        <v/>
      </c>
      <c r="S218" s="29" t="str" cm="1">
        <f t="array" ref="S218">IFERROR(INDEX(_xlfn.UNIQUE(TRIM(_xlfn.TEXTSPLIT(Table21215[[#This Row],[Selection Options]:[Selection Options]],","))),,S$11),"")</f>
        <v/>
      </c>
      <c r="T218" s="29" t="str" cm="1">
        <f t="array" ref="T218">IFERROR(INDEX(_xlfn.UNIQUE(TRIM(_xlfn.TEXTSPLIT(Table21215[[#This Row],[Selection Options]:[Selection Options]],","))),,T$11),"")</f>
        <v/>
      </c>
      <c r="U218" s="29" t="str" cm="1">
        <f t="array" ref="U218">IFERROR(INDEX(_xlfn.UNIQUE(TRIM(_xlfn.TEXTSPLIT(Table21215[[#This Row],[Selection Options]:[Selection Options]],","))),,U$11),"")</f>
        <v/>
      </c>
      <c r="V218" s="29" t="str" cm="1">
        <f t="array" ref="V218">IFERROR(INDEX(_xlfn.UNIQUE(TRIM(_xlfn.TEXTSPLIT(Table21215[[#This Row],[Selection Options]:[Selection Options]],","))),,V$11),"")</f>
        <v/>
      </c>
      <c r="W218" s="29" t="str" cm="1">
        <f t="array" ref="W218">IFERROR(INDEX(_xlfn.UNIQUE(TRIM(_xlfn.TEXTSPLIT(Table21215[[#This Row],[Selection Options]:[Selection Options]],","))),,W$11),"")</f>
        <v/>
      </c>
      <c r="X218" s="29" t="str" cm="1">
        <f t="array" ref="X218">IFERROR(INDEX(_xlfn.UNIQUE(TRIM(_xlfn.TEXTSPLIT(Table21215[[#This Row],[Selection Options]:[Selection Options]],","))),,X$11),"")</f>
        <v/>
      </c>
      <c r="Y218" s="30" cm="1">
        <f t="array" ref="Y218">IF(Table21215[[#This Row],[1]]="","",Table21215[[#This Row],[Weight]:[Weight]]-(Table21215[[#This Row],[Weight]:[Weight]]*((_xlfn.XMATCH(Table21215[[#This Row],[1]],Table21215[[#This Row],[1]:[11]],0))-1)/(COUNTA(Table21215[[#This Row],[1]:[11]])-COUNTBLANK(Table21215[[#This Row],[1]:[11]])-1)))</f>
        <v>3.9714058776806989E-3</v>
      </c>
      <c r="Z218" s="30" cm="1">
        <f t="array" ref="Z218">IF(Table21215[[#This Row],[2]]="","",Table21215[[#This Row],[Weight]:[Weight]]-(Table21215[[#This Row],[Weight]:[Weight]]*((_xlfn.XMATCH(Table21215[[#This Row],[2]],Table21215[[#This Row],[1]:[11]],0))-1)/(COUNTA(Table21215[[#This Row],[1]:[11]])-COUNTBLANK(Table21215[[#This Row],[1]:[11]])-1)))</f>
        <v>2.6476039184537992E-3</v>
      </c>
      <c r="AA218" s="30" cm="1">
        <f t="array" ref="AA218">IF(Table21215[[#This Row],[3]]="","",Table21215[[#This Row],[Weight]:[Weight]]-(Table21215[[#This Row],[Weight]:[Weight]]*((_xlfn.XMATCH(Table21215[[#This Row],[3]],Table21215[[#This Row],[1]:[11]],0))-1)/(COUNTA(Table21215[[#This Row],[1]:[11]])-COUNTBLANK(Table21215[[#This Row],[1]:[11]])-1)))</f>
        <v>1.3238019592268996E-3</v>
      </c>
      <c r="AB218" s="30" cm="1">
        <f t="array" ref="AB218">IF(Table21215[[#This Row],[4]]="","",Table21215[[#This Row],[Weight]:[Weight]]-(Table21215[[#This Row],[Weight]:[Weight]]*((_xlfn.XMATCH(Table21215[[#This Row],[4]],Table21215[[#This Row],[1]:[11]],0))-1)/(COUNTA(Table21215[[#This Row],[1]:[11]])-COUNTBLANK(Table21215[[#This Row],[1]:[11]])-1)))</f>
        <v>0</v>
      </c>
      <c r="AC218" s="30" t="str" cm="1">
        <f t="array" ref="AC218">IF(Table21215[[#This Row],[5]]="","",Table21215[[#This Row],[Weight]:[Weight]]-(Table21215[[#This Row],[Weight]:[Weight]]*((_xlfn.XMATCH(Table21215[[#This Row],[5]],Table21215[[#This Row],[1]:[11]],0))-1)/(COUNTA(Table21215[[#This Row],[1]:[11]])-COUNTBLANK(Table21215[[#This Row],[1]:[11]])-1)))</f>
        <v/>
      </c>
      <c r="AD218" s="30" t="str" cm="1">
        <f t="array" ref="AD218">IF(Table21215[[#This Row],[6]]="","",Table21215[[#This Row],[Weight]:[Weight]]-(Table21215[[#This Row],[Weight]:[Weight]]*((_xlfn.XMATCH(Table21215[[#This Row],[6]],Table21215[[#This Row],[1]:[11]],0))-1)/(COUNTA(Table21215[[#This Row],[1]:[11]])-COUNTBLANK(Table21215[[#This Row],[1]:[11]])-1)))</f>
        <v/>
      </c>
      <c r="AE218" s="30" t="str" cm="1">
        <f t="array" ref="AE218">IF(Table21215[[#This Row],[7]]="","",Table21215[[#This Row],[Weight]:[Weight]]-(Table21215[[#This Row],[Weight]:[Weight]]*((_xlfn.XMATCH(Table21215[[#This Row],[7]],Table21215[[#This Row],[1]:[11]],0))-1)/(COUNTA(Table21215[[#This Row],[1]:[11]])-COUNTBLANK(Table21215[[#This Row],[1]:[11]])-1)))</f>
        <v/>
      </c>
      <c r="AF218" s="30" t="str" cm="1">
        <f t="array" ref="AF218">IF(Table21215[[#This Row],[8]]="","",Table21215[[#This Row],[Weight]:[Weight]]-(Table21215[[#This Row],[Weight]:[Weight]]*((_xlfn.XMATCH(Table21215[[#This Row],[8]],Table21215[[#This Row],[1]:[11]],0))-1)/(COUNTA(Table21215[[#This Row],[1]:[11]])-COUNTBLANK(Table21215[[#This Row],[1]:[11]])-1)))</f>
        <v/>
      </c>
      <c r="AG218" s="30" t="str" cm="1">
        <f t="array" ref="AG218">IF(Table21215[[#This Row],[9]]="","",Table21215[[#This Row],[Weight]:[Weight]]-(Table21215[[#This Row],[Weight]:[Weight]]*((_xlfn.XMATCH(Table21215[[#This Row],[9]],Table21215[[#This Row],[1]:[11]],0))-1)/(COUNTA(Table21215[[#This Row],[1]:[11]])-COUNTBLANK(Table21215[[#This Row],[1]:[11]])-1)))</f>
        <v/>
      </c>
      <c r="AH218" s="30" t="str" cm="1">
        <f t="array" ref="AH218">IF(Table21215[[#This Row],[10]]="","",Table21215[[#This Row],[Weight]:[Weight]]-(Table21215[[#This Row],[Weight]:[Weight]]*((_xlfn.XMATCH(Table21215[[#This Row],[10]],Table21215[[#This Row],[1]:[11]],0))-1)/(COUNTA(Table21215[[#This Row],[1]:[11]])-COUNTBLANK(Table21215[[#This Row],[1]:[11]])-1)))</f>
        <v/>
      </c>
      <c r="AI218" s="30" t="str" cm="1">
        <f t="array" ref="AI218">IF(Table21215[[#This Row],[11]]="","",Table21215[[#This Row],[Weight]:[Weight]]-(Table21215[[#This Row],[Weight]:[Weight]]*((_xlfn.XMATCH(Table21215[[#This Row],[11]],Table21215[[#This Row],[1]:[11]],0))-1)/(COUNTA(Table21215[[#This Row],[1]:[11]])-COUNTBLANK(Table21215[[#This Row],[1]:[11]])-1)))</f>
        <v/>
      </c>
    </row>
    <row r="219" spans="1:35" ht="108" x14ac:dyDescent="0.2">
      <c r="A219" s="20">
        <v>207</v>
      </c>
      <c r="B219" s="165" t="s">
        <v>1036</v>
      </c>
      <c r="C219" s="21" t="s">
        <v>826</v>
      </c>
      <c r="D219" s="38"/>
      <c r="E219" s="38"/>
      <c r="F219" s="159" t="s">
        <v>188</v>
      </c>
      <c r="G219" s="160" cm="1">
        <f t="array" ref="G219">_xlfn.IFS(F219="","",F219="No interest",0,F219="Nice to have",1,F219="Useful",2,F219="Important",3,F219="Very important",4,F219="Critical",5,F219="Show stopper",6)</f>
        <v>5</v>
      </c>
      <c r="H219" s="161">
        <f t="shared" ref="H219:H239" si="5">(G219/$G$11)*$F$11</f>
        <v>3.9714058776806989E-3</v>
      </c>
      <c r="I219" s="157" t="s">
        <v>827</v>
      </c>
      <c r="J219" s="35" t="str" cm="1">
        <f t="array" ref="J219">_xlfn.TEXTJOIN(","&amp;CHAR(10),,TEXT(Table21215[[#This Row],[12]:[22]],"0,00%"))</f>
        <v>0,00%,
0,00%,
0,00%,
0,00%</v>
      </c>
      <c r="K219" s="36"/>
      <c r="L219" s="37" t="e">
        <f>H219-(H219*((MATCH(Table21215[[#This Row],[Evaluators Response (SELECT)]],Table21215[[#This Row],[1]:[11]],0)-1)/(COUNTA(Table21215[[#This Row],[1]:[11]])-COUNTBLANK(Table21215[[#This Row],[1]:[11]])-1)))</f>
        <v>#N/A</v>
      </c>
      <c r="M219" s="38"/>
      <c r="N219" s="29" t="s">
        <v>828</v>
      </c>
      <c r="O219" s="29" t="s">
        <v>829</v>
      </c>
      <c r="P219" s="29" t="s">
        <v>830</v>
      </c>
      <c r="Q219" s="29" t="str" cm="1">
        <f t="array" ref="Q219">IFERROR(INDEX(_xlfn.UNIQUE(TRIM(_xlfn.TEXTSPLIT(Table21215[[#This Row],[Selection Options]:[Selection Options]],","))),,Q$11),"")</f>
        <v xml:space="preserve">
 0%: Not currently supported</v>
      </c>
      <c r="R219" s="29" t="str" cm="1">
        <f t="array" ref="R219">IFERROR(INDEX(_xlfn.UNIQUE(TRIM(_xlfn.TEXTSPLIT(Table21215[[#This Row],[Selection Options]:[Selection Options]],","))),,R$11),"")</f>
        <v/>
      </c>
      <c r="S219" s="29" t="str" cm="1">
        <f t="array" ref="S219">IFERROR(INDEX(_xlfn.UNIQUE(TRIM(_xlfn.TEXTSPLIT(Table21215[[#This Row],[Selection Options]:[Selection Options]],","))),,S$11),"")</f>
        <v/>
      </c>
      <c r="T219" s="29" t="str" cm="1">
        <f t="array" ref="T219">IFERROR(INDEX(_xlfn.UNIQUE(TRIM(_xlfn.TEXTSPLIT(Table21215[[#This Row],[Selection Options]:[Selection Options]],","))),,T$11),"")</f>
        <v/>
      </c>
      <c r="U219" s="29" t="str" cm="1">
        <f t="array" ref="U219">IFERROR(INDEX(_xlfn.UNIQUE(TRIM(_xlfn.TEXTSPLIT(Table21215[[#This Row],[Selection Options]:[Selection Options]],","))),,U$11),"")</f>
        <v/>
      </c>
      <c r="V219" s="29" t="str" cm="1">
        <f t="array" ref="V219">IFERROR(INDEX(_xlfn.UNIQUE(TRIM(_xlfn.TEXTSPLIT(Table21215[[#This Row],[Selection Options]:[Selection Options]],","))),,V$11),"")</f>
        <v/>
      </c>
      <c r="W219" s="29" t="str" cm="1">
        <f t="array" ref="W219">IFERROR(INDEX(_xlfn.UNIQUE(TRIM(_xlfn.TEXTSPLIT(Table21215[[#This Row],[Selection Options]:[Selection Options]],","))),,W$11),"")</f>
        <v/>
      </c>
      <c r="X219" s="29" t="str" cm="1">
        <f t="array" ref="X219">IFERROR(INDEX(_xlfn.UNIQUE(TRIM(_xlfn.TEXTSPLIT(Table21215[[#This Row],[Selection Options]:[Selection Options]],","))),,X$11),"")</f>
        <v/>
      </c>
      <c r="Y219" s="30" cm="1">
        <f t="array" ref="Y219">IF(Table21215[[#This Row],[1]]="","",Table21215[[#This Row],[Weight]:[Weight]]-(Table21215[[#This Row],[Weight]:[Weight]]*((_xlfn.XMATCH(Table21215[[#This Row],[1]],Table21215[[#This Row],[1]:[11]],0))-1)/(COUNTA(Table21215[[#This Row],[1]:[11]])-COUNTBLANK(Table21215[[#This Row],[1]:[11]])-1)))</f>
        <v>3.9714058776806989E-3</v>
      </c>
      <c r="Z219" s="30" cm="1">
        <f t="array" ref="Z219">IF(Table21215[[#This Row],[2]]="","",Table21215[[#This Row],[Weight]:[Weight]]-(Table21215[[#This Row],[Weight]:[Weight]]*((_xlfn.XMATCH(Table21215[[#This Row],[2]],Table21215[[#This Row],[1]:[11]],0))-1)/(COUNTA(Table21215[[#This Row],[1]:[11]])-COUNTBLANK(Table21215[[#This Row],[1]:[11]])-1)))</f>
        <v>2.6476039184537992E-3</v>
      </c>
      <c r="AA219" s="30" cm="1">
        <f t="array" ref="AA219">IF(Table21215[[#This Row],[3]]="","",Table21215[[#This Row],[Weight]:[Weight]]-(Table21215[[#This Row],[Weight]:[Weight]]*((_xlfn.XMATCH(Table21215[[#This Row],[3]],Table21215[[#This Row],[1]:[11]],0))-1)/(COUNTA(Table21215[[#This Row],[1]:[11]])-COUNTBLANK(Table21215[[#This Row],[1]:[11]])-1)))</f>
        <v>1.3238019592268996E-3</v>
      </c>
      <c r="AB219" s="30" cm="1">
        <f t="array" ref="AB219">IF(Table21215[[#This Row],[4]]="","",Table21215[[#This Row],[Weight]:[Weight]]-(Table21215[[#This Row],[Weight]:[Weight]]*((_xlfn.XMATCH(Table21215[[#This Row],[4]],Table21215[[#This Row],[1]:[11]],0))-1)/(COUNTA(Table21215[[#This Row],[1]:[11]])-COUNTBLANK(Table21215[[#This Row],[1]:[11]])-1)))</f>
        <v>0</v>
      </c>
      <c r="AC219" s="30" t="str" cm="1">
        <f t="array" ref="AC219">IF(Table21215[[#This Row],[5]]="","",Table21215[[#This Row],[Weight]:[Weight]]-(Table21215[[#This Row],[Weight]:[Weight]]*((_xlfn.XMATCH(Table21215[[#This Row],[5]],Table21215[[#This Row],[1]:[11]],0))-1)/(COUNTA(Table21215[[#This Row],[1]:[11]])-COUNTBLANK(Table21215[[#This Row],[1]:[11]])-1)))</f>
        <v/>
      </c>
      <c r="AD219" s="30" t="str" cm="1">
        <f t="array" ref="AD219">IF(Table21215[[#This Row],[6]]="","",Table21215[[#This Row],[Weight]:[Weight]]-(Table21215[[#This Row],[Weight]:[Weight]]*((_xlfn.XMATCH(Table21215[[#This Row],[6]],Table21215[[#This Row],[1]:[11]],0))-1)/(COUNTA(Table21215[[#This Row],[1]:[11]])-COUNTBLANK(Table21215[[#This Row],[1]:[11]])-1)))</f>
        <v/>
      </c>
      <c r="AE219" s="30" t="str" cm="1">
        <f t="array" ref="AE219">IF(Table21215[[#This Row],[7]]="","",Table21215[[#This Row],[Weight]:[Weight]]-(Table21215[[#This Row],[Weight]:[Weight]]*((_xlfn.XMATCH(Table21215[[#This Row],[7]],Table21215[[#This Row],[1]:[11]],0))-1)/(COUNTA(Table21215[[#This Row],[1]:[11]])-COUNTBLANK(Table21215[[#This Row],[1]:[11]])-1)))</f>
        <v/>
      </c>
      <c r="AF219" s="30" t="str" cm="1">
        <f t="array" ref="AF219">IF(Table21215[[#This Row],[8]]="","",Table21215[[#This Row],[Weight]:[Weight]]-(Table21215[[#This Row],[Weight]:[Weight]]*((_xlfn.XMATCH(Table21215[[#This Row],[8]],Table21215[[#This Row],[1]:[11]],0))-1)/(COUNTA(Table21215[[#This Row],[1]:[11]])-COUNTBLANK(Table21215[[#This Row],[1]:[11]])-1)))</f>
        <v/>
      </c>
      <c r="AG219" s="30" t="str" cm="1">
        <f t="array" ref="AG219">IF(Table21215[[#This Row],[9]]="","",Table21215[[#This Row],[Weight]:[Weight]]-(Table21215[[#This Row],[Weight]:[Weight]]*((_xlfn.XMATCH(Table21215[[#This Row],[9]],Table21215[[#This Row],[1]:[11]],0))-1)/(COUNTA(Table21215[[#This Row],[1]:[11]])-COUNTBLANK(Table21215[[#This Row],[1]:[11]])-1)))</f>
        <v/>
      </c>
      <c r="AH219" s="30" t="str" cm="1">
        <f t="array" ref="AH219">IF(Table21215[[#This Row],[10]]="","",Table21215[[#This Row],[Weight]:[Weight]]-(Table21215[[#This Row],[Weight]:[Weight]]*((_xlfn.XMATCH(Table21215[[#This Row],[10]],Table21215[[#This Row],[1]:[11]],0))-1)/(COUNTA(Table21215[[#This Row],[1]:[11]])-COUNTBLANK(Table21215[[#This Row],[1]:[11]])-1)))</f>
        <v/>
      </c>
      <c r="AI219" s="30" t="str" cm="1">
        <f t="array" ref="AI219">IF(Table21215[[#This Row],[11]]="","",Table21215[[#This Row],[Weight]:[Weight]]-(Table21215[[#This Row],[Weight]:[Weight]]*((_xlfn.XMATCH(Table21215[[#This Row],[11]],Table21215[[#This Row],[1]:[11]],0))-1)/(COUNTA(Table21215[[#This Row],[1]:[11]])-COUNTBLANK(Table21215[[#This Row],[1]:[11]])-1)))</f>
        <v/>
      </c>
    </row>
    <row r="220" spans="1:35" ht="108" x14ac:dyDescent="0.2">
      <c r="A220" s="20">
        <v>208</v>
      </c>
      <c r="B220" s="165" t="s">
        <v>1037</v>
      </c>
      <c r="C220" s="21" t="s">
        <v>826</v>
      </c>
      <c r="D220" s="38"/>
      <c r="E220" s="38"/>
      <c r="F220" s="159" t="s">
        <v>188</v>
      </c>
      <c r="G220" s="160" cm="1">
        <f t="array" ref="G220">_xlfn.IFS(F220="","",F220="No interest",0,F220="Nice to have",1,F220="Useful",2,F220="Important",3,F220="Very important",4,F220="Critical",5,F220="Show stopper",6)</f>
        <v>5</v>
      </c>
      <c r="H220" s="161">
        <f t="shared" si="5"/>
        <v>3.9714058776806989E-3</v>
      </c>
      <c r="I220" s="157" t="s">
        <v>827</v>
      </c>
      <c r="J220" s="35" t="str" cm="1">
        <f t="array" ref="J220">_xlfn.TEXTJOIN(","&amp;CHAR(10),,TEXT(Table21215[[#This Row],[12]:[22]],"0,00%"))</f>
        <v>0,00%,
0,00%,
0,00%,
0,00%</v>
      </c>
      <c r="K220" s="36"/>
      <c r="L220" s="37" t="e">
        <f>H220-(H220*((MATCH(Table21215[[#This Row],[Evaluators Response (SELECT)]],Table21215[[#This Row],[1]:[11]],0)-1)/(COUNTA(Table21215[[#This Row],[1]:[11]])-COUNTBLANK(Table21215[[#This Row],[1]:[11]])-1)))</f>
        <v>#N/A</v>
      </c>
      <c r="M220" s="38"/>
      <c r="N220" s="29" t="s">
        <v>828</v>
      </c>
      <c r="O220" s="29" t="s">
        <v>829</v>
      </c>
      <c r="P220" s="29" t="s">
        <v>830</v>
      </c>
      <c r="Q220" s="29" t="str" cm="1">
        <f t="array" ref="Q220">IFERROR(INDEX(_xlfn.UNIQUE(TRIM(_xlfn.TEXTSPLIT(Table21215[[#This Row],[Selection Options]:[Selection Options]],","))),,Q$11),"")</f>
        <v xml:space="preserve">
 0%: Not currently supported</v>
      </c>
      <c r="R220" s="29" t="str" cm="1">
        <f t="array" ref="R220">IFERROR(INDEX(_xlfn.UNIQUE(TRIM(_xlfn.TEXTSPLIT(Table21215[[#This Row],[Selection Options]:[Selection Options]],","))),,R$11),"")</f>
        <v/>
      </c>
      <c r="S220" s="29" t="str" cm="1">
        <f t="array" ref="S220">IFERROR(INDEX(_xlfn.UNIQUE(TRIM(_xlfn.TEXTSPLIT(Table21215[[#This Row],[Selection Options]:[Selection Options]],","))),,S$11),"")</f>
        <v/>
      </c>
      <c r="T220" s="29" t="str" cm="1">
        <f t="array" ref="T220">IFERROR(INDEX(_xlfn.UNIQUE(TRIM(_xlfn.TEXTSPLIT(Table21215[[#This Row],[Selection Options]:[Selection Options]],","))),,T$11),"")</f>
        <v/>
      </c>
      <c r="U220" s="29" t="str" cm="1">
        <f t="array" ref="U220">IFERROR(INDEX(_xlfn.UNIQUE(TRIM(_xlfn.TEXTSPLIT(Table21215[[#This Row],[Selection Options]:[Selection Options]],","))),,U$11),"")</f>
        <v/>
      </c>
      <c r="V220" s="29" t="str" cm="1">
        <f t="array" ref="V220">IFERROR(INDEX(_xlfn.UNIQUE(TRIM(_xlfn.TEXTSPLIT(Table21215[[#This Row],[Selection Options]:[Selection Options]],","))),,V$11),"")</f>
        <v/>
      </c>
      <c r="W220" s="29" t="str" cm="1">
        <f t="array" ref="W220">IFERROR(INDEX(_xlfn.UNIQUE(TRIM(_xlfn.TEXTSPLIT(Table21215[[#This Row],[Selection Options]:[Selection Options]],","))),,W$11),"")</f>
        <v/>
      </c>
      <c r="X220" s="29" t="str" cm="1">
        <f t="array" ref="X220">IFERROR(INDEX(_xlfn.UNIQUE(TRIM(_xlfn.TEXTSPLIT(Table21215[[#This Row],[Selection Options]:[Selection Options]],","))),,X$11),"")</f>
        <v/>
      </c>
      <c r="Y220" s="30" cm="1">
        <f t="array" ref="Y220">IF(Table21215[[#This Row],[1]]="","",Table21215[[#This Row],[Weight]:[Weight]]-(Table21215[[#This Row],[Weight]:[Weight]]*((_xlfn.XMATCH(Table21215[[#This Row],[1]],Table21215[[#This Row],[1]:[11]],0))-1)/(COUNTA(Table21215[[#This Row],[1]:[11]])-COUNTBLANK(Table21215[[#This Row],[1]:[11]])-1)))</f>
        <v>3.9714058776806989E-3</v>
      </c>
      <c r="Z220" s="30" cm="1">
        <f t="array" ref="Z220">IF(Table21215[[#This Row],[2]]="","",Table21215[[#This Row],[Weight]:[Weight]]-(Table21215[[#This Row],[Weight]:[Weight]]*((_xlfn.XMATCH(Table21215[[#This Row],[2]],Table21215[[#This Row],[1]:[11]],0))-1)/(COUNTA(Table21215[[#This Row],[1]:[11]])-COUNTBLANK(Table21215[[#This Row],[1]:[11]])-1)))</f>
        <v>2.6476039184537992E-3</v>
      </c>
      <c r="AA220" s="30" cm="1">
        <f t="array" ref="AA220">IF(Table21215[[#This Row],[3]]="","",Table21215[[#This Row],[Weight]:[Weight]]-(Table21215[[#This Row],[Weight]:[Weight]]*((_xlfn.XMATCH(Table21215[[#This Row],[3]],Table21215[[#This Row],[1]:[11]],0))-1)/(COUNTA(Table21215[[#This Row],[1]:[11]])-COUNTBLANK(Table21215[[#This Row],[1]:[11]])-1)))</f>
        <v>1.3238019592268996E-3</v>
      </c>
      <c r="AB220" s="30" cm="1">
        <f t="array" ref="AB220">IF(Table21215[[#This Row],[4]]="","",Table21215[[#This Row],[Weight]:[Weight]]-(Table21215[[#This Row],[Weight]:[Weight]]*((_xlfn.XMATCH(Table21215[[#This Row],[4]],Table21215[[#This Row],[1]:[11]],0))-1)/(COUNTA(Table21215[[#This Row],[1]:[11]])-COUNTBLANK(Table21215[[#This Row],[1]:[11]])-1)))</f>
        <v>0</v>
      </c>
      <c r="AC220" s="30" t="str" cm="1">
        <f t="array" ref="AC220">IF(Table21215[[#This Row],[5]]="","",Table21215[[#This Row],[Weight]:[Weight]]-(Table21215[[#This Row],[Weight]:[Weight]]*((_xlfn.XMATCH(Table21215[[#This Row],[5]],Table21215[[#This Row],[1]:[11]],0))-1)/(COUNTA(Table21215[[#This Row],[1]:[11]])-COUNTBLANK(Table21215[[#This Row],[1]:[11]])-1)))</f>
        <v/>
      </c>
      <c r="AD220" s="30" t="str" cm="1">
        <f t="array" ref="AD220">IF(Table21215[[#This Row],[6]]="","",Table21215[[#This Row],[Weight]:[Weight]]-(Table21215[[#This Row],[Weight]:[Weight]]*((_xlfn.XMATCH(Table21215[[#This Row],[6]],Table21215[[#This Row],[1]:[11]],0))-1)/(COUNTA(Table21215[[#This Row],[1]:[11]])-COUNTBLANK(Table21215[[#This Row],[1]:[11]])-1)))</f>
        <v/>
      </c>
      <c r="AE220" s="30" t="str" cm="1">
        <f t="array" ref="AE220">IF(Table21215[[#This Row],[7]]="","",Table21215[[#This Row],[Weight]:[Weight]]-(Table21215[[#This Row],[Weight]:[Weight]]*((_xlfn.XMATCH(Table21215[[#This Row],[7]],Table21215[[#This Row],[1]:[11]],0))-1)/(COUNTA(Table21215[[#This Row],[1]:[11]])-COUNTBLANK(Table21215[[#This Row],[1]:[11]])-1)))</f>
        <v/>
      </c>
      <c r="AF220" s="30" t="str" cm="1">
        <f t="array" ref="AF220">IF(Table21215[[#This Row],[8]]="","",Table21215[[#This Row],[Weight]:[Weight]]-(Table21215[[#This Row],[Weight]:[Weight]]*((_xlfn.XMATCH(Table21215[[#This Row],[8]],Table21215[[#This Row],[1]:[11]],0))-1)/(COUNTA(Table21215[[#This Row],[1]:[11]])-COUNTBLANK(Table21215[[#This Row],[1]:[11]])-1)))</f>
        <v/>
      </c>
      <c r="AG220" s="30" t="str" cm="1">
        <f t="array" ref="AG220">IF(Table21215[[#This Row],[9]]="","",Table21215[[#This Row],[Weight]:[Weight]]-(Table21215[[#This Row],[Weight]:[Weight]]*((_xlfn.XMATCH(Table21215[[#This Row],[9]],Table21215[[#This Row],[1]:[11]],0))-1)/(COUNTA(Table21215[[#This Row],[1]:[11]])-COUNTBLANK(Table21215[[#This Row],[1]:[11]])-1)))</f>
        <v/>
      </c>
      <c r="AH220" s="30" t="str" cm="1">
        <f t="array" ref="AH220">IF(Table21215[[#This Row],[10]]="","",Table21215[[#This Row],[Weight]:[Weight]]-(Table21215[[#This Row],[Weight]:[Weight]]*((_xlfn.XMATCH(Table21215[[#This Row],[10]],Table21215[[#This Row],[1]:[11]],0))-1)/(COUNTA(Table21215[[#This Row],[1]:[11]])-COUNTBLANK(Table21215[[#This Row],[1]:[11]])-1)))</f>
        <v/>
      </c>
      <c r="AI220" s="30" t="str" cm="1">
        <f t="array" ref="AI220">IF(Table21215[[#This Row],[11]]="","",Table21215[[#This Row],[Weight]:[Weight]]-(Table21215[[#This Row],[Weight]:[Weight]]*((_xlfn.XMATCH(Table21215[[#This Row],[11]],Table21215[[#This Row],[1]:[11]],0))-1)/(COUNTA(Table21215[[#This Row],[1]:[11]])-COUNTBLANK(Table21215[[#This Row],[1]:[11]])-1)))</f>
        <v/>
      </c>
    </row>
    <row r="221" spans="1:35" ht="108" x14ac:dyDescent="0.2">
      <c r="A221" s="20">
        <v>209</v>
      </c>
      <c r="B221" s="165" t="s">
        <v>1038</v>
      </c>
      <c r="C221" s="21" t="s">
        <v>826</v>
      </c>
      <c r="D221" s="38"/>
      <c r="E221" s="38"/>
      <c r="F221" s="159" t="s">
        <v>60</v>
      </c>
      <c r="G221" s="160" cm="1">
        <f t="array" ref="G221">_xlfn.IFS(F221="","",F221="No interest",0,F221="Nice to have",1,F221="Useful",2,F221="Important",3,F221="Very important",4,F221="Critical",5,F221="Show stopper",6)</f>
        <v>6</v>
      </c>
      <c r="H221" s="161">
        <f t="shared" si="5"/>
        <v>4.7656870532168391E-3</v>
      </c>
      <c r="I221" s="157" t="s">
        <v>827</v>
      </c>
      <c r="J221" s="35" t="str" cm="1">
        <f t="array" ref="J221">_xlfn.TEXTJOIN(","&amp;CHAR(10),,TEXT(Table21215[[#This Row],[12]:[22]],"0,00%"))</f>
        <v>0,00%,
0,00%,
0,00%,
0,00%</v>
      </c>
      <c r="K221" s="36"/>
      <c r="L221" s="37" t="e">
        <f>H221-(H221*((MATCH(Table21215[[#This Row],[Evaluators Response (SELECT)]],Table21215[[#This Row],[1]:[11]],0)-1)/(COUNTA(Table21215[[#This Row],[1]:[11]])-COUNTBLANK(Table21215[[#This Row],[1]:[11]])-1)))</f>
        <v>#N/A</v>
      </c>
      <c r="M221" s="38"/>
      <c r="N221" s="29" t="s">
        <v>828</v>
      </c>
      <c r="O221" s="29" t="s">
        <v>829</v>
      </c>
      <c r="P221" s="29" t="s">
        <v>830</v>
      </c>
      <c r="Q221" s="29" t="str" cm="1">
        <f t="array" ref="Q221">IFERROR(INDEX(_xlfn.UNIQUE(TRIM(_xlfn.TEXTSPLIT(Table21215[[#This Row],[Selection Options]:[Selection Options]],","))),,Q$11),"")</f>
        <v xml:space="preserve">
 0%: Not currently supported</v>
      </c>
      <c r="R221" s="29" t="str" cm="1">
        <f t="array" ref="R221">IFERROR(INDEX(_xlfn.UNIQUE(TRIM(_xlfn.TEXTSPLIT(Table21215[[#This Row],[Selection Options]:[Selection Options]],","))),,R$11),"")</f>
        <v/>
      </c>
      <c r="S221" s="29" t="str" cm="1">
        <f t="array" ref="S221">IFERROR(INDEX(_xlfn.UNIQUE(TRIM(_xlfn.TEXTSPLIT(Table21215[[#This Row],[Selection Options]:[Selection Options]],","))),,S$11),"")</f>
        <v/>
      </c>
      <c r="T221" s="29" t="str" cm="1">
        <f t="array" ref="T221">IFERROR(INDEX(_xlfn.UNIQUE(TRIM(_xlfn.TEXTSPLIT(Table21215[[#This Row],[Selection Options]:[Selection Options]],","))),,T$11),"")</f>
        <v/>
      </c>
      <c r="U221" s="29" t="str" cm="1">
        <f t="array" ref="U221">IFERROR(INDEX(_xlfn.UNIQUE(TRIM(_xlfn.TEXTSPLIT(Table21215[[#This Row],[Selection Options]:[Selection Options]],","))),,U$11),"")</f>
        <v/>
      </c>
      <c r="V221" s="29" t="str" cm="1">
        <f t="array" ref="V221">IFERROR(INDEX(_xlfn.UNIQUE(TRIM(_xlfn.TEXTSPLIT(Table21215[[#This Row],[Selection Options]:[Selection Options]],","))),,V$11),"")</f>
        <v/>
      </c>
      <c r="W221" s="29" t="str" cm="1">
        <f t="array" ref="W221">IFERROR(INDEX(_xlfn.UNIQUE(TRIM(_xlfn.TEXTSPLIT(Table21215[[#This Row],[Selection Options]:[Selection Options]],","))),,W$11),"")</f>
        <v/>
      </c>
      <c r="X221" s="29" t="str" cm="1">
        <f t="array" ref="X221">IFERROR(INDEX(_xlfn.UNIQUE(TRIM(_xlfn.TEXTSPLIT(Table21215[[#This Row],[Selection Options]:[Selection Options]],","))),,X$11),"")</f>
        <v/>
      </c>
      <c r="Y221" s="30" cm="1">
        <f t="array" ref="Y221">IF(Table21215[[#This Row],[1]]="","",Table21215[[#This Row],[Weight]:[Weight]]-(Table21215[[#This Row],[Weight]:[Weight]]*((_xlfn.XMATCH(Table21215[[#This Row],[1]],Table21215[[#This Row],[1]:[11]],0))-1)/(COUNTA(Table21215[[#This Row],[1]:[11]])-COUNTBLANK(Table21215[[#This Row],[1]:[11]])-1)))</f>
        <v>4.7656870532168391E-3</v>
      </c>
      <c r="Z221" s="30" cm="1">
        <f t="array" ref="Z221">IF(Table21215[[#This Row],[2]]="","",Table21215[[#This Row],[Weight]:[Weight]]-(Table21215[[#This Row],[Weight]:[Weight]]*((_xlfn.XMATCH(Table21215[[#This Row],[2]],Table21215[[#This Row],[1]:[11]],0))-1)/(COUNTA(Table21215[[#This Row],[1]:[11]])-COUNTBLANK(Table21215[[#This Row],[1]:[11]])-1)))</f>
        <v>3.1771247021445594E-3</v>
      </c>
      <c r="AA221" s="30" cm="1">
        <f t="array" ref="AA221">IF(Table21215[[#This Row],[3]]="","",Table21215[[#This Row],[Weight]:[Weight]]-(Table21215[[#This Row],[Weight]:[Weight]]*((_xlfn.XMATCH(Table21215[[#This Row],[3]],Table21215[[#This Row],[1]:[11]],0))-1)/(COUNTA(Table21215[[#This Row],[1]:[11]])-COUNTBLANK(Table21215[[#This Row],[1]:[11]])-1)))</f>
        <v>1.5885623510722797E-3</v>
      </c>
      <c r="AB221" s="30" cm="1">
        <f t="array" ref="AB221">IF(Table21215[[#This Row],[4]]="","",Table21215[[#This Row],[Weight]:[Weight]]-(Table21215[[#This Row],[Weight]:[Weight]]*((_xlfn.XMATCH(Table21215[[#This Row],[4]],Table21215[[#This Row],[1]:[11]],0))-1)/(COUNTA(Table21215[[#This Row],[1]:[11]])-COUNTBLANK(Table21215[[#This Row],[1]:[11]])-1)))</f>
        <v>0</v>
      </c>
      <c r="AC221" s="30" t="str" cm="1">
        <f t="array" ref="AC221">IF(Table21215[[#This Row],[5]]="","",Table21215[[#This Row],[Weight]:[Weight]]-(Table21215[[#This Row],[Weight]:[Weight]]*((_xlfn.XMATCH(Table21215[[#This Row],[5]],Table21215[[#This Row],[1]:[11]],0))-1)/(COUNTA(Table21215[[#This Row],[1]:[11]])-COUNTBLANK(Table21215[[#This Row],[1]:[11]])-1)))</f>
        <v/>
      </c>
      <c r="AD221" s="30" t="str" cm="1">
        <f t="array" ref="AD221">IF(Table21215[[#This Row],[6]]="","",Table21215[[#This Row],[Weight]:[Weight]]-(Table21215[[#This Row],[Weight]:[Weight]]*((_xlfn.XMATCH(Table21215[[#This Row],[6]],Table21215[[#This Row],[1]:[11]],0))-1)/(COUNTA(Table21215[[#This Row],[1]:[11]])-COUNTBLANK(Table21215[[#This Row],[1]:[11]])-1)))</f>
        <v/>
      </c>
      <c r="AE221" s="30" t="str" cm="1">
        <f t="array" ref="AE221">IF(Table21215[[#This Row],[7]]="","",Table21215[[#This Row],[Weight]:[Weight]]-(Table21215[[#This Row],[Weight]:[Weight]]*((_xlfn.XMATCH(Table21215[[#This Row],[7]],Table21215[[#This Row],[1]:[11]],0))-1)/(COUNTA(Table21215[[#This Row],[1]:[11]])-COUNTBLANK(Table21215[[#This Row],[1]:[11]])-1)))</f>
        <v/>
      </c>
      <c r="AF221" s="30" t="str" cm="1">
        <f t="array" ref="AF221">IF(Table21215[[#This Row],[8]]="","",Table21215[[#This Row],[Weight]:[Weight]]-(Table21215[[#This Row],[Weight]:[Weight]]*((_xlfn.XMATCH(Table21215[[#This Row],[8]],Table21215[[#This Row],[1]:[11]],0))-1)/(COUNTA(Table21215[[#This Row],[1]:[11]])-COUNTBLANK(Table21215[[#This Row],[1]:[11]])-1)))</f>
        <v/>
      </c>
      <c r="AG221" s="30" t="str" cm="1">
        <f t="array" ref="AG221">IF(Table21215[[#This Row],[9]]="","",Table21215[[#This Row],[Weight]:[Weight]]-(Table21215[[#This Row],[Weight]:[Weight]]*((_xlfn.XMATCH(Table21215[[#This Row],[9]],Table21215[[#This Row],[1]:[11]],0))-1)/(COUNTA(Table21215[[#This Row],[1]:[11]])-COUNTBLANK(Table21215[[#This Row],[1]:[11]])-1)))</f>
        <v/>
      </c>
      <c r="AH221" s="30" t="str" cm="1">
        <f t="array" ref="AH221">IF(Table21215[[#This Row],[10]]="","",Table21215[[#This Row],[Weight]:[Weight]]-(Table21215[[#This Row],[Weight]:[Weight]]*((_xlfn.XMATCH(Table21215[[#This Row],[10]],Table21215[[#This Row],[1]:[11]],0))-1)/(COUNTA(Table21215[[#This Row],[1]:[11]])-COUNTBLANK(Table21215[[#This Row],[1]:[11]])-1)))</f>
        <v/>
      </c>
      <c r="AI221" s="30" t="str" cm="1">
        <f t="array" ref="AI221">IF(Table21215[[#This Row],[11]]="","",Table21215[[#This Row],[Weight]:[Weight]]-(Table21215[[#This Row],[Weight]:[Weight]]*((_xlfn.XMATCH(Table21215[[#This Row],[11]],Table21215[[#This Row],[1]:[11]],0))-1)/(COUNTA(Table21215[[#This Row],[1]:[11]])-COUNTBLANK(Table21215[[#This Row],[1]:[11]])-1)))</f>
        <v/>
      </c>
    </row>
    <row r="222" spans="1:35" ht="108" x14ac:dyDescent="0.2">
      <c r="A222" s="20">
        <v>210</v>
      </c>
      <c r="B222" s="165" t="s">
        <v>1039</v>
      </c>
      <c r="C222" s="21" t="s">
        <v>826</v>
      </c>
      <c r="D222" s="38"/>
      <c r="E222" s="38"/>
      <c r="F222" s="159" t="s">
        <v>188</v>
      </c>
      <c r="G222" s="160" cm="1">
        <f t="array" ref="G222">_xlfn.IFS(F222="","",F222="No interest",0,F222="Nice to have",1,F222="Useful",2,F222="Important",3,F222="Very important",4,F222="Critical",5,F222="Show stopper",6)</f>
        <v>5</v>
      </c>
      <c r="H222" s="161">
        <f t="shared" si="5"/>
        <v>3.9714058776806989E-3</v>
      </c>
      <c r="I222" s="157" t="s">
        <v>827</v>
      </c>
      <c r="J222" s="35" t="str" cm="1">
        <f t="array" ref="J222">_xlfn.TEXTJOIN(","&amp;CHAR(10),,TEXT(Table21215[[#This Row],[12]:[22]],"0,00%"))</f>
        <v>0,00%,
0,00%,
0,00%,
0,00%</v>
      </c>
      <c r="K222" s="36"/>
      <c r="L222" s="37" t="e">
        <f>H222-(H222*((MATCH(Table21215[[#This Row],[Evaluators Response (SELECT)]],Table21215[[#This Row],[1]:[11]],0)-1)/(COUNTA(Table21215[[#This Row],[1]:[11]])-COUNTBLANK(Table21215[[#This Row],[1]:[11]])-1)))</f>
        <v>#N/A</v>
      </c>
      <c r="M222" s="38"/>
      <c r="N222" s="29" t="s">
        <v>828</v>
      </c>
      <c r="O222" s="29" t="s">
        <v>829</v>
      </c>
      <c r="P222" s="29" t="s">
        <v>830</v>
      </c>
      <c r="Q222" s="29" t="str" cm="1">
        <f t="array" ref="Q222">IFERROR(INDEX(_xlfn.UNIQUE(TRIM(_xlfn.TEXTSPLIT(Table21215[[#This Row],[Selection Options]:[Selection Options]],","))),,Q$11),"")</f>
        <v xml:space="preserve">
 0%: Not currently supported</v>
      </c>
      <c r="R222" s="29" t="str" cm="1">
        <f t="array" ref="R222">IFERROR(INDEX(_xlfn.UNIQUE(TRIM(_xlfn.TEXTSPLIT(Table21215[[#This Row],[Selection Options]:[Selection Options]],","))),,R$11),"")</f>
        <v/>
      </c>
      <c r="S222" s="29" t="str" cm="1">
        <f t="array" ref="S222">IFERROR(INDEX(_xlfn.UNIQUE(TRIM(_xlfn.TEXTSPLIT(Table21215[[#This Row],[Selection Options]:[Selection Options]],","))),,S$11),"")</f>
        <v/>
      </c>
      <c r="T222" s="29" t="str" cm="1">
        <f t="array" ref="T222">IFERROR(INDEX(_xlfn.UNIQUE(TRIM(_xlfn.TEXTSPLIT(Table21215[[#This Row],[Selection Options]:[Selection Options]],","))),,T$11),"")</f>
        <v/>
      </c>
      <c r="U222" s="29" t="str" cm="1">
        <f t="array" ref="U222">IFERROR(INDEX(_xlfn.UNIQUE(TRIM(_xlfn.TEXTSPLIT(Table21215[[#This Row],[Selection Options]:[Selection Options]],","))),,U$11),"")</f>
        <v/>
      </c>
      <c r="V222" s="29" t="str" cm="1">
        <f t="array" ref="V222">IFERROR(INDEX(_xlfn.UNIQUE(TRIM(_xlfn.TEXTSPLIT(Table21215[[#This Row],[Selection Options]:[Selection Options]],","))),,V$11),"")</f>
        <v/>
      </c>
      <c r="W222" s="29" t="str" cm="1">
        <f t="array" ref="W222">IFERROR(INDEX(_xlfn.UNIQUE(TRIM(_xlfn.TEXTSPLIT(Table21215[[#This Row],[Selection Options]:[Selection Options]],","))),,W$11),"")</f>
        <v/>
      </c>
      <c r="X222" s="29" t="str" cm="1">
        <f t="array" ref="X222">IFERROR(INDEX(_xlfn.UNIQUE(TRIM(_xlfn.TEXTSPLIT(Table21215[[#This Row],[Selection Options]:[Selection Options]],","))),,X$11),"")</f>
        <v/>
      </c>
      <c r="Y222" s="30" cm="1">
        <f t="array" ref="Y222">IF(Table21215[[#This Row],[1]]="","",Table21215[[#This Row],[Weight]:[Weight]]-(Table21215[[#This Row],[Weight]:[Weight]]*((_xlfn.XMATCH(Table21215[[#This Row],[1]],Table21215[[#This Row],[1]:[11]],0))-1)/(COUNTA(Table21215[[#This Row],[1]:[11]])-COUNTBLANK(Table21215[[#This Row],[1]:[11]])-1)))</f>
        <v>3.9714058776806989E-3</v>
      </c>
      <c r="Z222" s="30" cm="1">
        <f t="array" ref="Z222">IF(Table21215[[#This Row],[2]]="","",Table21215[[#This Row],[Weight]:[Weight]]-(Table21215[[#This Row],[Weight]:[Weight]]*((_xlfn.XMATCH(Table21215[[#This Row],[2]],Table21215[[#This Row],[1]:[11]],0))-1)/(COUNTA(Table21215[[#This Row],[1]:[11]])-COUNTBLANK(Table21215[[#This Row],[1]:[11]])-1)))</f>
        <v>2.6476039184537992E-3</v>
      </c>
      <c r="AA222" s="30" cm="1">
        <f t="array" ref="AA222">IF(Table21215[[#This Row],[3]]="","",Table21215[[#This Row],[Weight]:[Weight]]-(Table21215[[#This Row],[Weight]:[Weight]]*((_xlfn.XMATCH(Table21215[[#This Row],[3]],Table21215[[#This Row],[1]:[11]],0))-1)/(COUNTA(Table21215[[#This Row],[1]:[11]])-COUNTBLANK(Table21215[[#This Row],[1]:[11]])-1)))</f>
        <v>1.3238019592268996E-3</v>
      </c>
      <c r="AB222" s="30" cm="1">
        <f t="array" ref="AB222">IF(Table21215[[#This Row],[4]]="","",Table21215[[#This Row],[Weight]:[Weight]]-(Table21215[[#This Row],[Weight]:[Weight]]*((_xlfn.XMATCH(Table21215[[#This Row],[4]],Table21215[[#This Row],[1]:[11]],0))-1)/(COUNTA(Table21215[[#This Row],[1]:[11]])-COUNTBLANK(Table21215[[#This Row],[1]:[11]])-1)))</f>
        <v>0</v>
      </c>
      <c r="AC222" s="30" t="str" cm="1">
        <f t="array" ref="AC222">IF(Table21215[[#This Row],[5]]="","",Table21215[[#This Row],[Weight]:[Weight]]-(Table21215[[#This Row],[Weight]:[Weight]]*((_xlfn.XMATCH(Table21215[[#This Row],[5]],Table21215[[#This Row],[1]:[11]],0))-1)/(COUNTA(Table21215[[#This Row],[1]:[11]])-COUNTBLANK(Table21215[[#This Row],[1]:[11]])-1)))</f>
        <v/>
      </c>
      <c r="AD222" s="30" t="str" cm="1">
        <f t="array" ref="AD222">IF(Table21215[[#This Row],[6]]="","",Table21215[[#This Row],[Weight]:[Weight]]-(Table21215[[#This Row],[Weight]:[Weight]]*((_xlfn.XMATCH(Table21215[[#This Row],[6]],Table21215[[#This Row],[1]:[11]],0))-1)/(COUNTA(Table21215[[#This Row],[1]:[11]])-COUNTBLANK(Table21215[[#This Row],[1]:[11]])-1)))</f>
        <v/>
      </c>
      <c r="AE222" s="30" t="str" cm="1">
        <f t="array" ref="AE222">IF(Table21215[[#This Row],[7]]="","",Table21215[[#This Row],[Weight]:[Weight]]-(Table21215[[#This Row],[Weight]:[Weight]]*((_xlfn.XMATCH(Table21215[[#This Row],[7]],Table21215[[#This Row],[1]:[11]],0))-1)/(COUNTA(Table21215[[#This Row],[1]:[11]])-COUNTBLANK(Table21215[[#This Row],[1]:[11]])-1)))</f>
        <v/>
      </c>
      <c r="AF222" s="30" t="str" cm="1">
        <f t="array" ref="AF222">IF(Table21215[[#This Row],[8]]="","",Table21215[[#This Row],[Weight]:[Weight]]-(Table21215[[#This Row],[Weight]:[Weight]]*((_xlfn.XMATCH(Table21215[[#This Row],[8]],Table21215[[#This Row],[1]:[11]],0))-1)/(COUNTA(Table21215[[#This Row],[1]:[11]])-COUNTBLANK(Table21215[[#This Row],[1]:[11]])-1)))</f>
        <v/>
      </c>
      <c r="AG222" s="30" t="str" cm="1">
        <f t="array" ref="AG222">IF(Table21215[[#This Row],[9]]="","",Table21215[[#This Row],[Weight]:[Weight]]-(Table21215[[#This Row],[Weight]:[Weight]]*((_xlfn.XMATCH(Table21215[[#This Row],[9]],Table21215[[#This Row],[1]:[11]],0))-1)/(COUNTA(Table21215[[#This Row],[1]:[11]])-COUNTBLANK(Table21215[[#This Row],[1]:[11]])-1)))</f>
        <v/>
      </c>
      <c r="AH222" s="30" t="str" cm="1">
        <f t="array" ref="AH222">IF(Table21215[[#This Row],[10]]="","",Table21215[[#This Row],[Weight]:[Weight]]-(Table21215[[#This Row],[Weight]:[Weight]]*((_xlfn.XMATCH(Table21215[[#This Row],[10]],Table21215[[#This Row],[1]:[11]],0))-1)/(COUNTA(Table21215[[#This Row],[1]:[11]])-COUNTBLANK(Table21215[[#This Row],[1]:[11]])-1)))</f>
        <v/>
      </c>
      <c r="AI222" s="30" t="str" cm="1">
        <f t="array" ref="AI222">IF(Table21215[[#This Row],[11]]="","",Table21215[[#This Row],[Weight]:[Weight]]-(Table21215[[#This Row],[Weight]:[Weight]]*((_xlfn.XMATCH(Table21215[[#This Row],[11]],Table21215[[#This Row],[1]:[11]],0))-1)/(COUNTA(Table21215[[#This Row],[1]:[11]])-COUNTBLANK(Table21215[[#This Row],[1]:[11]])-1)))</f>
        <v/>
      </c>
    </row>
    <row r="223" spans="1:35" ht="108" x14ac:dyDescent="0.2">
      <c r="A223" s="20">
        <v>211</v>
      </c>
      <c r="B223" s="165" t="s">
        <v>1040</v>
      </c>
      <c r="C223" s="21" t="s">
        <v>826</v>
      </c>
      <c r="D223" s="38"/>
      <c r="E223" s="38"/>
      <c r="F223" s="159" t="s">
        <v>188</v>
      </c>
      <c r="G223" s="160" cm="1">
        <f t="array" ref="G223">_xlfn.IFS(F223="","",F223="No interest",0,F223="Nice to have",1,F223="Useful",2,F223="Important",3,F223="Very important",4,F223="Critical",5,F223="Show stopper",6)</f>
        <v>5</v>
      </c>
      <c r="H223" s="161">
        <f t="shared" si="5"/>
        <v>3.9714058776806989E-3</v>
      </c>
      <c r="I223" s="157" t="s">
        <v>827</v>
      </c>
      <c r="J223" s="35" t="str" cm="1">
        <f t="array" ref="J223">_xlfn.TEXTJOIN(","&amp;CHAR(10),,TEXT(Table21215[[#This Row],[12]:[22]],"0,00%"))</f>
        <v>0,00%,
0,00%,
0,00%,
0,00%</v>
      </c>
      <c r="K223" s="36"/>
      <c r="L223" s="37" t="e">
        <f>H223-(H223*((MATCH(Table21215[[#This Row],[Evaluators Response (SELECT)]],Table21215[[#This Row],[1]:[11]],0)-1)/(COUNTA(Table21215[[#This Row],[1]:[11]])-COUNTBLANK(Table21215[[#This Row],[1]:[11]])-1)))</f>
        <v>#N/A</v>
      </c>
      <c r="M223" s="38"/>
      <c r="N223" s="29" t="s">
        <v>828</v>
      </c>
      <c r="O223" s="29" t="s">
        <v>829</v>
      </c>
      <c r="P223" s="29" t="s">
        <v>830</v>
      </c>
      <c r="Q223" s="29" t="str" cm="1">
        <f t="array" ref="Q223">IFERROR(INDEX(_xlfn.UNIQUE(TRIM(_xlfn.TEXTSPLIT(Table21215[[#This Row],[Selection Options]:[Selection Options]],","))),,Q$11),"")</f>
        <v xml:space="preserve">
 0%: Not currently supported</v>
      </c>
      <c r="R223" s="29" t="str" cm="1">
        <f t="array" ref="R223">IFERROR(INDEX(_xlfn.UNIQUE(TRIM(_xlfn.TEXTSPLIT(Table21215[[#This Row],[Selection Options]:[Selection Options]],","))),,R$11),"")</f>
        <v/>
      </c>
      <c r="S223" s="29" t="str" cm="1">
        <f t="array" ref="S223">IFERROR(INDEX(_xlfn.UNIQUE(TRIM(_xlfn.TEXTSPLIT(Table21215[[#This Row],[Selection Options]:[Selection Options]],","))),,S$11),"")</f>
        <v/>
      </c>
      <c r="T223" s="29" t="str" cm="1">
        <f t="array" ref="T223">IFERROR(INDEX(_xlfn.UNIQUE(TRIM(_xlfn.TEXTSPLIT(Table21215[[#This Row],[Selection Options]:[Selection Options]],","))),,T$11),"")</f>
        <v/>
      </c>
      <c r="U223" s="29" t="str" cm="1">
        <f t="array" ref="U223">IFERROR(INDEX(_xlfn.UNIQUE(TRIM(_xlfn.TEXTSPLIT(Table21215[[#This Row],[Selection Options]:[Selection Options]],","))),,U$11),"")</f>
        <v/>
      </c>
      <c r="V223" s="29" t="str" cm="1">
        <f t="array" ref="V223">IFERROR(INDEX(_xlfn.UNIQUE(TRIM(_xlfn.TEXTSPLIT(Table21215[[#This Row],[Selection Options]:[Selection Options]],","))),,V$11),"")</f>
        <v/>
      </c>
      <c r="W223" s="29" t="str" cm="1">
        <f t="array" ref="W223">IFERROR(INDEX(_xlfn.UNIQUE(TRIM(_xlfn.TEXTSPLIT(Table21215[[#This Row],[Selection Options]:[Selection Options]],","))),,W$11),"")</f>
        <v/>
      </c>
      <c r="X223" s="29" t="str" cm="1">
        <f t="array" ref="X223">IFERROR(INDEX(_xlfn.UNIQUE(TRIM(_xlfn.TEXTSPLIT(Table21215[[#This Row],[Selection Options]:[Selection Options]],","))),,X$11),"")</f>
        <v/>
      </c>
      <c r="Y223" s="30" cm="1">
        <f t="array" ref="Y223">IF(Table21215[[#This Row],[1]]="","",Table21215[[#This Row],[Weight]:[Weight]]-(Table21215[[#This Row],[Weight]:[Weight]]*((_xlfn.XMATCH(Table21215[[#This Row],[1]],Table21215[[#This Row],[1]:[11]],0))-1)/(COUNTA(Table21215[[#This Row],[1]:[11]])-COUNTBLANK(Table21215[[#This Row],[1]:[11]])-1)))</f>
        <v>3.9714058776806989E-3</v>
      </c>
      <c r="Z223" s="30" cm="1">
        <f t="array" ref="Z223">IF(Table21215[[#This Row],[2]]="","",Table21215[[#This Row],[Weight]:[Weight]]-(Table21215[[#This Row],[Weight]:[Weight]]*((_xlfn.XMATCH(Table21215[[#This Row],[2]],Table21215[[#This Row],[1]:[11]],0))-1)/(COUNTA(Table21215[[#This Row],[1]:[11]])-COUNTBLANK(Table21215[[#This Row],[1]:[11]])-1)))</f>
        <v>2.6476039184537992E-3</v>
      </c>
      <c r="AA223" s="30" cm="1">
        <f t="array" ref="AA223">IF(Table21215[[#This Row],[3]]="","",Table21215[[#This Row],[Weight]:[Weight]]-(Table21215[[#This Row],[Weight]:[Weight]]*((_xlfn.XMATCH(Table21215[[#This Row],[3]],Table21215[[#This Row],[1]:[11]],0))-1)/(COUNTA(Table21215[[#This Row],[1]:[11]])-COUNTBLANK(Table21215[[#This Row],[1]:[11]])-1)))</f>
        <v>1.3238019592268996E-3</v>
      </c>
      <c r="AB223" s="30" cm="1">
        <f t="array" ref="AB223">IF(Table21215[[#This Row],[4]]="","",Table21215[[#This Row],[Weight]:[Weight]]-(Table21215[[#This Row],[Weight]:[Weight]]*((_xlfn.XMATCH(Table21215[[#This Row],[4]],Table21215[[#This Row],[1]:[11]],0))-1)/(COUNTA(Table21215[[#This Row],[1]:[11]])-COUNTBLANK(Table21215[[#This Row],[1]:[11]])-1)))</f>
        <v>0</v>
      </c>
      <c r="AC223" s="30" t="str" cm="1">
        <f t="array" ref="AC223">IF(Table21215[[#This Row],[5]]="","",Table21215[[#This Row],[Weight]:[Weight]]-(Table21215[[#This Row],[Weight]:[Weight]]*((_xlfn.XMATCH(Table21215[[#This Row],[5]],Table21215[[#This Row],[1]:[11]],0))-1)/(COUNTA(Table21215[[#This Row],[1]:[11]])-COUNTBLANK(Table21215[[#This Row],[1]:[11]])-1)))</f>
        <v/>
      </c>
      <c r="AD223" s="30" t="str" cm="1">
        <f t="array" ref="AD223">IF(Table21215[[#This Row],[6]]="","",Table21215[[#This Row],[Weight]:[Weight]]-(Table21215[[#This Row],[Weight]:[Weight]]*((_xlfn.XMATCH(Table21215[[#This Row],[6]],Table21215[[#This Row],[1]:[11]],0))-1)/(COUNTA(Table21215[[#This Row],[1]:[11]])-COUNTBLANK(Table21215[[#This Row],[1]:[11]])-1)))</f>
        <v/>
      </c>
      <c r="AE223" s="30" t="str" cm="1">
        <f t="array" ref="AE223">IF(Table21215[[#This Row],[7]]="","",Table21215[[#This Row],[Weight]:[Weight]]-(Table21215[[#This Row],[Weight]:[Weight]]*((_xlfn.XMATCH(Table21215[[#This Row],[7]],Table21215[[#This Row],[1]:[11]],0))-1)/(COUNTA(Table21215[[#This Row],[1]:[11]])-COUNTBLANK(Table21215[[#This Row],[1]:[11]])-1)))</f>
        <v/>
      </c>
      <c r="AF223" s="30" t="str" cm="1">
        <f t="array" ref="AF223">IF(Table21215[[#This Row],[8]]="","",Table21215[[#This Row],[Weight]:[Weight]]-(Table21215[[#This Row],[Weight]:[Weight]]*((_xlfn.XMATCH(Table21215[[#This Row],[8]],Table21215[[#This Row],[1]:[11]],0))-1)/(COUNTA(Table21215[[#This Row],[1]:[11]])-COUNTBLANK(Table21215[[#This Row],[1]:[11]])-1)))</f>
        <v/>
      </c>
      <c r="AG223" s="30" t="str" cm="1">
        <f t="array" ref="AG223">IF(Table21215[[#This Row],[9]]="","",Table21215[[#This Row],[Weight]:[Weight]]-(Table21215[[#This Row],[Weight]:[Weight]]*((_xlfn.XMATCH(Table21215[[#This Row],[9]],Table21215[[#This Row],[1]:[11]],0))-1)/(COUNTA(Table21215[[#This Row],[1]:[11]])-COUNTBLANK(Table21215[[#This Row],[1]:[11]])-1)))</f>
        <v/>
      </c>
      <c r="AH223" s="30" t="str" cm="1">
        <f t="array" ref="AH223">IF(Table21215[[#This Row],[10]]="","",Table21215[[#This Row],[Weight]:[Weight]]-(Table21215[[#This Row],[Weight]:[Weight]]*((_xlfn.XMATCH(Table21215[[#This Row],[10]],Table21215[[#This Row],[1]:[11]],0))-1)/(COUNTA(Table21215[[#This Row],[1]:[11]])-COUNTBLANK(Table21215[[#This Row],[1]:[11]])-1)))</f>
        <v/>
      </c>
      <c r="AI223" s="30" t="str" cm="1">
        <f t="array" ref="AI223">IF(Table21215[[#This Row],[11]]="","",Table21215[[#This Row],[Weight]:[Weight]]-(Table21215[[#This Row],[Weight]:[Weight]]*((_xlfn.XMATCH(Table21215[[#This Row],[11]],Table21215[[#This Row],[1]:[11]],0))-1)/(COUNTA(Table21215[[#This Row],[1]:[11]])-COUNTBLANK(Table21215[[#This Row],[1]:[11]])-1)))</f>
        <v/>
      </c>
    </row>
    <row r="224" spans="1:35" ht="108" x14ac:dyDescent="0.2">
      <c r="A224" s="20">
        <v>212</v>
      </c>
      <c r="B224" s="165" t="s">
        <v>1041</v>
      </c>
      <c r="C224" s="21" t="s">
        <v>826</v>
      </c>
      <c r="D224" s="38"/>
      <c r="E224" s="38"/>
      <c r="F224" s="159" t="s">
        <v>60</v>
      </c>
      <c r="G224" s="160" cm="1">
        <f t="array" ref="G224">_xlfn.IFS(F224="","",F224="No interest",0,F224="Nice to have",1,F224="Useful",2,F224="Important",3,F224="Very important",4,F224="Critical",5,F224="Show stopper",6)</f>
        <v>6</v>
      </c>
      <c r="H224" s="161">
        <f t="shared" si="5"/>
        <v>4.7656870532168391E-3</v>
      </c>
      <c r="I224" s="157" t="s">
        <v>827</v>
      </c>
      <c r="J224" s="35" t="str" cm="1">
        <f t="array" ref="J224">_xlfn.TEXTJOIN(","&amp;CHAR(10),,TEXT(Table21215[[#This Row],[12]:[22]],"0,00%"))</f>
        <v>0,00%,
0,00%,
0,00%,
0,00%</v>
      </c>
      <c r="K224" s="36"/>
      <c r="L224" s="37" t="e">
        <f>H224-(H224*((MATCH(Table21215[[#This Row],[Evaluators Response (SELECT)]],Table21215[[#This Row],[1]:[11]],0)-1)/(COUNTA(Table21215[[#This Row],[1]:[11]])-COUNTBLANK(Table21215[[#This Row],[1]:[11]])-1)))</f>
        <v>#N/A</v>
      </c>
      <c r="M224" s="38"/>
      <c r="N224" s="29" t="s">
        <v>828</v>
      </c>
      <c r="O224" s="29" t="s">
        <v>829</v>
      </c>
      <c r="P224" s="29" t="s">
        <v>830</v>
      </c>
      <c r="Q224" s="29" t="str" cm="1">
        <f t="array" ref="Q224">IFERROR(INDEX(_xlfn.UNIQUE(TRIM(_xlfn.TEXTSPLIT(Table21215[[#This Row],[Selection Options]:[Selection Options]],","))),,Q$11),"")</f>
        <v xml:space="preserve">
 0%: Not currently supported</v>
      </c>
      <c r="R224" s="29" t="str" cm="1">
        <f t="array" ref="R224">IFERROR(INDEX(_xlfn.UNIQUE(TRIM(_xlfn.TEXTSPLIT(Table21215[[#This Row],[Selection Options]:[Selection Options]],","))),,R$11),"")</f>
        <v/>
      </c>
      <c r="S224" s="29" t="str" cm="1">
        <f t="array" ref="S224">IFERROR(INDEX(_xlfn.UNIQUE(TRIM(_xlfn.TEXTSPLIT(Table21215[[#This Row],[Selection Options]:[Selection Options]],","))),,S$11),"")</f>
        <v/>
      </c>
      <c r="T224" s="29" t="str" cm="1">
        <f t="array" ref="T224">IFERROR(INDEX(_xlfn.UNIQUE(TRIM(_xlfn.TEXTSPLIT(Table21215[[#This Row],[Selection Options]:[Selection Options]],","))),,T$11),"")</f>
        <v/>
      </c>
      <c r="U224" s="29" t="str" cm="1">
        <f t="array" ref="U224">IFERROR(INDEX(_xlfn.UNIQUE(TRIM(_xlfn.TEXTSPLIT(Table21215[[#This Row],[Selection Options]:[Selection Options]],","))),,U$11),"")</f>
        <v/>
      </c>
      <c r="V224" s="29" t="str" cm="1">
        <f t="array" ref="V224">IFERROR(INDEX(_xlfn.UNIQUE(TRIM(_xlfn.TEXTSPLIT(Table21215[[#This Row],[Selection Options]:[Selection Options]],","))),,V$11),"")</f>
        <v/>
      </c>
      <c r="W224" s="29" t="str" cm="1">
        <f t="array" ref="W224">IFERROR(INDEX(_xlfn.UNIQUE(TRIM(_xlfn.TEXTSPLIT(Table21215[[#This Row],[Selection Options]:[Selection Options]],","))),,W$11),"")</f>
        <v/>
      </c>
      <c r="X224" s="29" t="str" cm="1">
        <f t="array" ref="X224">IFERROR(INDEX(_xlfn.UNIQUE(TRIM(_xlfn.TEXTSPLIT(Table21215[[#This Row],[Selection Options]:[Selection Options]],","))),,X$11),"")</f>
        <v/>
      </c>
      <c r="Y224" s="30" cm="1">
        <f t="array" ref="Y224">IF(Table21215[[#This Row],[1]]="","",Table21215[[#This Row],[Weight]:[Weight]]-(Table21215[[#This Row],[Weight]:[Weight]]*((_xlfn.XMATCH(Table21215[[#This Row],[1]],Table21215[[#This Row],[1]:[11]],0))-1)/(COUNTA(Table21215[[#This Row],[1]:[11]])-COUNTBLANK(Table21215[[#This Row],[1]:[11]])-1)))</f>
        <v>4.7656870532168391E-3</v>
      </c>
      <c r="Z224" s="30" cm="1">
        <f t="array" ref="Z224">IF(Table21215[[#This Row],[2]]="","",Table21215[[#This Row],[Weight]:[Weight]]-(Table21215[[#This Row],[Weight]:[Weight]]*((_xlfn.XMATCH(Table21215[[#This Row],[2]],Table21215[[#This Row],[1]:[11]],0))-1)/(COUNTA(Table21215[[#This Row],[1]:[11]])-COUNTBLANK(Table21215[[#This Row],[1]:[11]])-1)))</f>
        <v>3.1771247021445594E-3</v>
      </c>
      <c r="AA224" s="30" cm="1">
        <f t="array" ref="AA224">IF(Table21215[[#This Row],[3]]="","",Table21215[[#This Row],[Weight]:[Weight]]-(Table21215[[#This Row],[Weight]:[Weight]]*((_xlfn.XMATCH(Table21215[[#This Row],[3]],Table21215[[#This Row],[1]:[11]],0))-1)/(COUNTA(Table21215[[#This Row],[1]:[11]])-COUNTBLANK(Table21215[[#This Row],[1]:[11]])-1)))</f>
        <v>1.5885623510722797E-3</v>
      </c>
      <c r="AB224" s="30" cm="1">
        <f t="array" ref="AB224">IF(Table21215[[#This Row],[4]]="","",Table21215[[#This Row],[Weight]:[Weight]]-(Table21215[[#This Row],[Weight]:[Weight]]*((_xlfn.XMATCH(Table21215[[#This Row],[4]],Table21215[[#This Row],[1]:[11]],0))-1)/(COUNTA(Table21215[[#This Row],[1]:[11]])-COUNTBLANK(Table21215[[#This Row],[1]:[11]])-1)))</f>
        <v>0</v>
      </c>
      <c r="AC224" s="30" t="str" cm="1">
        <f t="array" ref="AC224">IF(Table21215[[#This Row],[5]]="","",Table21215[[#This Row],[Weight]:[Weight]]-(Table21215[[#This Row],[Weight]:[Weight]]*((_xlfn.XMATCH(Table21215[[#This Row],[5]],Table21215[[#This Row],[1]:[11]],0))-1)/(COUNTA(Table21215[[#This Row],[1]:[11]])-COUNTBLANK(Table21215[[#This Row],[1]:[11]])-1)))</f>
        <v/>
      </c>
      <c r="AD224" s="30" t="str" cm="1">
        <f t="array" ref="AD224">IF(Table21215[[#This Row],[6]]="","",Table21215[[#This Row],[Weight]:[Weight]]-(Table21215[[#This Row],[Weight]:[Weight]]*((_xlfn.XMATCH(Table21215[[#This Row],[6]],Table21215[[#This Row],[1]:[11]],0))-1)/(COUNTA(Table21215[[#This Row],[1]:[11]])-COUNTBLANK(Table21215[[#This Row],[1]:[11]])-1)))</f>
        <v/>
      </c>
      <c r="AE224" s="30" t="str" cm="1">
        <f t="array" ref="AE224">IF(Table21215[[#This Row],[7]]="","",Table21215[[#This Row],[Weight]:[Weight]]-(Table21215[[#This Row],[Weight]:[Weight]]*((_xlfn.XMATCH(Table21215[[#This Row],[7]],Table21215[[#This Row],[1]:[11]],0))-1)/(COUNTA(Table21215[[#This Row],[1]:[11]])-COUNTBLANK(Table21215[[#This Row],[1]:[11]])-1)))</f>
        <v/>
      </c>
      <c r="AF224" s="30" t="str" cm="1">
        <f t="array" ref="AF224">IF(Table21215[[#This Row],[8]]="","",Table21215[[#This Row],[Weight]:[Weight]]-(Table21215[[#This Row],[Weight]:[Weight]]*((_xlfn.XMATCH(Table21215[[#This Row],[8]],Table21215[[#This Row],[1]:[11]],0))-1)/(COUNTA(Table21215[[#This Row],[1]:[11]])-COUNTBLANK(Table21215[[#This Row],[1]:[11]])-1)))</f>
        <v/>
      </c>
      <c r="AG224" s="30" t="str" cm="1">
        <f t="array" ref="AG224">IF(Table21215[[#This Row],[9]]="","",Table21215[[#This Row],[Weight]:[Weight]]-(Table21215[[#This Row],[Weight]:[Weight]]*((_xlfn.XMATCH(Table21215[[#This Row],[9]],Table21215[[#This Row],[1]:[11]],0))-1)/(COUNTA(Table21215[[#This Row],[1]:[11]])-COUNTBLANK(Table21215[[#This Row],[1]:[11]])-1)))</f>
        <v/>
      </c>
      <c r="AH224" s="30" t="str" cm="1">
        <f t="array" ref="AH224">IF(Table21215[[#This Row],[10]]="","",Table21215[[#This Row],[Weight]:[Weight]]-(Table21215[[#This Row],[Weight]:[Weight]]*((_xlfn.XMATCH(Table21215[[#This Row],[10]],Table21215[[#This Row],[1]:[11]],0))-1)/(COUNTA(Table21215[[#This Row],[1]:[11]])-COUNTBLANK(Table21215[[#This Row],[1]:[11]])-1)))</f>
        <v/>
      </c>
      <c r="AI224" s="30" t="str" cm="1">
        <f t="array" ref="AI224">IF(Table21215[[#This Row],[11]]="","",Table21215[[#This Row],[Weight]:[Weight]]-(Table21215[[#This Row],[Weight]:[Weight]]*((_xlfn.XMATCH(Table21215[[#This Row],[11]],Table21215[[#This Row],[1]:[11]],0))-1)/(COUNTA(Table21215[[#This Row],[1]:[11]])-COUNTBLANK(Table21215[[#This Row],[1]:[11]])-1)))</f>
        <v/>
      </c>
    </row>
    <row r="225" spans="1:35" ht="108" x14ac:dyDescent="0.2">
      <c r="A225" s="20">
        <v>213</v>
      </c>
      <c r="B225" s="165" t="s">
        <v>1042</v>
      </c>
      <c r="C225" s="21" t="s">
        <v>826</v>
      </c>
      <c r="D225" s="38"/>
      <c r="E225" s="38"/>
      <c r="F225" s="159" t="s">
        <v>60</v>
      </c>
      <c r="G225" s="160" cm="1">
        <f t="array" ref="G225">_xlfn.IFS(F225="","",F225="No interest",0,F225="Nice to have",1,F225="Useful",2,F225="Important",3,F225="Very important",4,F225="Critical",5,F225="Show stopper",6)</f>
        <v>6</v>
      </c>
      <c r="H225" s="161">
        <f t="shared" si="5"/>
        <v>4.7656870532168391E-3</v>
      </c>
      <c r="I225" s="157" t="s">
        <v>827</v>
      </c>
      <c r="J225" s="35" t="str" cm="1">
        <f t="array" ref="J225">_xlfn.TEXTJOIN(","&amp;CHAR(10),,TEXT(Table21215[[#This Row],[12]:[22]],"0,00%"))</f>
        <v>0,00%,
0,00%,
0,00%,
0,00%</v>
      </c>
      <c r="K225" s="36"/>
      <c r="L225" s="37" t="e">
        <f>H225-(H225*((MATCH(Table21215[[#This Row],[Evaluators Response (SELECT)]],Table21215[[#This Row],[1]:[11]],0)-1)/(COUNTA(Table21215[[#This Row],[1]:[11]])-COUNTBLANK(Table21215[[#This Row],[1]:[11]])-1)))</f>
        <v>#N/A</v>
      </c>
      <c r="M225" s="38"/>
      <c r="N225" s="29" t="s">
        <v>828</v>
      </c>
      <c r="O225" s="29" t="s">
        <v>829</v>
      </c>
      <c r="P225" s="29" t="s">
        <v>830</v>
      </c>
      <c r="Q225" s="29" t="str" cm="1">
        <f t="array" ref="Q225">IFERROR(INDEX(_xlfn.UNIQUE(TRIM(_xlfn.TEXTSPLIT(Table21215[[#This Row],[Selection Options]:[Selection Options]],","))),,Q$11),"")</f>
        <v xml:space="preserve">
 0%: Not currently supported</v>
      </c>
      <c r="R225" s="29" t="str" cm="1">
        <f t="array" ref="R225">IFERROR(INDEX(_xlfn.UNIQUE(TRIM(_xlfn.TEXTSPLIT(Table21215[[#This Row],[Selection Options]:[Selection Options]],","))),,R$11),"")</f>
        <v/>
      </c>
      <c r="S225" s="29" t="str" cm="1">
        <f t="array" ref="S225">IFERROR(INDEX(_xlfn.UNIQUE(TRIM(_xlfn.TEXTSPLIT(Table21215[[#This Row],[Selection Options]:[Selection Options]],","))),,S$11),"")</f>
        <v/>
      </c>
      <c r="T225" s="29" t="str" cm="1">
        <f t="array" ref="T225">IFERROR(INDEX(_xlfn.UNIQUE(TRIM(_xlfn.TEXTSPLIT(Table21215[[#This Row],[Selection Options]:[Selection Options]],","))),,T$11),"")</f>
        <v/>
      </c>
      <c r="U225" s="29" t="str" cm="1">
        <f t="array" ref="U225">IFERROR(INDEX(_xlfn.UNIQUE(TRIM(_xlfn.TEXTSPLIT(Table21215[[#This Row],[Selection Options]:[Selection Options]],","))),,U$11),"")</f>
        <v/>
      </c>
      <c r="V225" s="29" t="str" cm="1">
        <f t="array" ref="V225">IFERROR(INDEX(_xlfn.UNIQUE(TRIM(_xlfn.TEXTSPLIT(Table21215[[#This Row],[Selection Options]:[Selection Options]],","))),,V$11),"")</f>
        <v/>
      </c>
      <c r="W225" s="29" t="str" cm="1">
        <f t="array" ref="W225">IFERROR(INDEX(_xlfn.UNIQUE(TRIM(_xlfn.TEXTSPLIT(Table21215[[#This Row],[Selection Options]:[Selection Options]],","))),,W$11),"")</f>
        <v/>
      </c>
      <c r="X225" s="29" t="str" cm="1">
        <f t="array" ref="X225">IFERROR(INDEX(_xlfn.UNIQUE(TRIM(_xlfn.TEXTSPLIT(Table21215[[#This Row],[Selection Options]:[Selection Options]],","))),,X$11),"")</f>
        <v/>
      </c>
      <c r="Y225" s="30" cm="1">
        <f t="array" ref="Y225">IF(Table21215[[#This Row],[1]]="","",Table21215[[#This Row],[Weight]:[Weight]]-(Table21215[[#This Row],[Weight]:[Weight]]*((_xlfn.XMATCH(Table21215[[#This Row],[1]],Table21215[[#This Row],[1]:[11]],0))-1)/(COUNTA(Table21215[[#This Row],[1]:[11]])-COUNTBLANK(Table21215[[#This Row],[1]:[11]])-1)))</f>
        <v>4.7656870532168391E-3</v>
      </c>
      <c r="Z225" s="30" cm="1">
        <f t="array" ref="Z225">IF(Table21215[[#This Row],[2]]="","",Table21215[[#This Row],[Weight]:[Weight]]-(Table21215[[#This Row],[Weight]:[Weight]]*((_xlfn.XMATCH(Table21215[[#This Row],[2]],Table21215[[#This Row],[1]:[11]],0))-1)/(COUNTA(Table21215[[#This Row],[1]:[11]])-COUNTBLANK(Table21215[[#This Row],[1]:[11]])-1)))</f>
        <v>3.1771247021445594E-3</v>
      </c>
      <c r="AA225" s="30" cm="1">
        <f t="array" ref="AA225">IF(Table21215[[#This Row],[3]]="","",Table21215[[#This Row],[Weight]:[Weight]]-(Table21215[[#This Row],[Weight]:[Weight]]*((_xlfn.XMATCH(Table21215[[#This Row],[3]],Table21215[[#This Row],[1]:[11]],0))-1)/(COUNTA(Table21215[[#This Row],[1]:[11]])-COUNTBLANK(Table21215[[#This Row],[1]:[11]])-1)))</f>
        <v>1.5885623510722797E-3</v>
      </c>
      <c r="AB225" s="30" cm="1">
        <f t="array" ref="AB225">IF(Table21215[[#This Row],[4]]="","",Table21215[[#This Row],[Weight]:[Weight]]-(Table21215[[#This Row],[Weight]:[Weight]]*((_xlfn.XMATCH(Table21215[[#This Row],[4]],Table21215[[#This Row],[1]:[11]],0))-1)/(COUNTA(Table21215[[#This Row],[1]:[11]])-COUNTBLANK(Table21215[[#This Row],[1]:[11]])-1)))</f>
        <v>0</v>
      </c>
      <c r="AC225" s="30" t="str" cm="1">
        <f t="array" ref="AC225">IF(Table21215[[#This Row],[5]]="","",Table21215[[#This Row],[Weight]:[Weight]]-(Table21215[[#This Row],[Weight]:[Weight]]*((_xlfn.XMATCH(Table21215[[#This Row],[5]],Table21215[[#This Row],[1]:[11]],0))-1)/(COUNTA(Table21215[[#This Row],[1]:[11]])-COUNTBLANK(Table21215[[#This Row],[1]:[11]])-1)))</f>
        <v/>
      </c>
      <c r="AD225" s="30" t="str" cm="1">
        <f t="array" ref="AD225">IF(Table21215[[#This Row],[6]]="","",Table21215[[#This Row],[Weight]:[Weight]]-(Table21215[[#This Row],[Weight]:[Weight]]*((_xlfn.XMATCH(Table21215[[#This Row],[6]],Table21215[[#This Row],[1]:[11]],0))-1)/(COUNTA(Table21215[[#This Row],[1]:[11]])-COUNTBLANK(Table21215[[#This Row],[1]:[11]])-1)))</f>
        <v/>
      </c>
      <c r="AE225" s="30" t="str" cm="1">
        <f t="array" ref="AE225">IF(Table21215[[#This Row],[7]]="","",Table21215[[#This Row],[Weight]:[Weight]]-(Table21215[[#This Row],[Weight]:[Weight]]*((_xlfn.XMATCH(Table21215[[#This Row],[7]],Table21215[[#This Row],[1]:[11]],0))-1)/(COUNTA(Table21215[[#This Row],[1]:[11]])-COUNTBLANK(Table21215[[#This Row],[1]:[11]])-1)))</f>
        <v/>
      </c>
      <c r="AF225" s="30" t="str" cm="1">
        <f t="array" ref="AF225">IF(Table21215[[#This Row],[8]]="","",Table21215[[#This Row],[Weight]:[Weight]]-(Table21215[[#This Row],[Weight]:[Weight]]*((_xlfn.XMATCH(Table21215[[#This Row],[8]],Table21215[[#This Row],[1]:[11]],0))-1)/(COUNTA(Table21215[[#This Row],[1]:[11]])-COUNTBLANK(Table21215[[#This Row],[1]:[11]])-1)))</f>
        <v/>
      </c>
      <c r="AG225" s="30" t="str" cm="1">
        <f t="array" ref="AG225">IF(Table21215[[#This Row],[9]]="","",Table21215[[#This Row],[Weight]:[Weight]]-(Table21215[[#This Row],[Weight]:[Weight]]*((_xlfn.XMATCH(Table21215[[#This Row],[9]],Table21215[[#This Row],[1]:[11]],0))-1)/(COUNTA(Table21215[[#This Row],[1]:[11]])-COUNTBLANK(Table21215[[#This Row],[1]:[11]])-1)))</f>
        <v/>
      </c>
      <c r="AH225" s="30" t="str" cm="1">
        <f t="array" ref="AH225">IF(Table21215[[#This Row],[10]]="","",Table21215[[#This Row],[Weight]:[Weight]]-(Table21215[[#This Row],[Weight]:[Weight]]*((_xlfn.XMATCH(Table21215[[#This Row],[10]],Table21215[[#This Row],[1]:[11]],0))-1)/(COUNTA(Table21215[[#This Row],[1]:[11]])-COUNTBLANK(Table21215[[#This Row],[1]:[11]])-1)))</f>
        <v/>
      </c>
      <c r="AI225" s="30" t="str" cm="1">
        <f t="array" ref="AI225">IF(Table21215[[#This Row],[11]]="","",Table21215[[#This Row],[Weight]:[Weight]]-(Table21215[[#This Row],[Weight]:[Weight]]*((_xlfn.XMATCH(Table21215[[#This Row],[11]],Table21215[[#This Row],[1]:[11]],0))-1)/(COUNTA(Table21215[[#This Row],[1]:[11]])-COUNTBLANK(Table21215[[#This Row],[1]:[11]])-1)))</f>
        <v/>
      </c>
    </row>
    <row r="226" spans="1:35" ht="108" x14ac:dyDescent="0.2">
      <c r="A226" s="20">
        <v>214</v>
      </c>
      <c r="B226" s="165" t="s">
        <v>1043</v>
      </c>
      <c r="C226" s="21" t="s">
        <v>826</v>
      </c>
      <c r="D226" s="38"/>
      <c r="E226" s="38"/>
      <c r="F226" s="159" t="s">
        <v>60</v>
      </c>
      <c r="G226" s="160" cm="1">
        <f t="array" ref="G226">_xlfn.IFS(F226="","",F226="No interest",0,F226="Nice to have",1,F226="Useful",2,F226="Important",3,F226="Very important",4,F226="Critical",5,F226="Show stopper",6)</f>
        <v>6</v>
      </c>
      <c r="H226" s="161">
        <f t="shared" si="5"/>
        <v>4.7656870532168391E-3</v>
      </c>
      <c r="I226" s="157" t="s">
        <v>827</v>
      </c>
      <c r="J226" s="35" t="str" cm="1">
        <f t="array" ref="J226">_xlfn.TEXTJOIN(","&amp;CHAR(10),,TEXT(Table21215[[#This Row],[12]:[22]],"0,00%"))</f>
        <v>0,00%,
0,00%,
0,00%,
0,00%</v>
      </c>
      <c r="K226" s="36"/>
      <c r="L226" s="37" t="e">
        <f>H226-(H226*((MATCH(Table21215[[#This Row],[Evaluators Response (SELECT)]],Table21215[[#This Row],[1]:[11]],0)-1)/(COUNTA(Table21215[[#This Row],[1]:[11]])-COUNTBLANK(Table21215[[#This Row],[1]:[11]])-1)))</f>
        <v>#N/A</v>
      </c>
      <c r="M226" s="38"/>
      <c r="N226" s="29" t="s">
        <v>828</v>
      </c>
      <c r="O226" s="29" t="s">
        <v>829</v>
      </c>
      <c r="P226" s="29" t="s">
        <v>830</v>
      </c>
      <c r="Q226" s="29" t="str" cm="1">
        <f t="array" ref="Q226">IFERROR(INDEX(_xlfn.UNIQUE(TRIM(_xlfn.TEXTSPLIT(Table21215[[#This Row],[Selection Options]:[Selection Options]],","))),,Q$11),"")</f>
        <v xml:space="preserve">
 0%: Not currently supported</v>
      </c>
      <c r="R226" s="29" t="str" cm="1">
        <f t="array" ref="R226">IFERROR(INDEX(_xlfn.UNIQUE(TRIM(_xlfn.TEXTSPLIT(Table21215[[#This Row],[Selection Options]:[Selection Options]],","))),,R$11),"")</f>
        <v/>
      </c>
      <c r="S226" s="29" t="str" cm="1">
        <f t="array" ref="S226">IFERROR(INDEX(_xlfn.UNIQUE(TRIM(_xlfn.TEXTSPLIT(Table21215[[#This Row],[Selection Options]:[Selection Options]],","))),,S$11),"")</f>
        <v/>
      </c>
      <c r="T226" s="29" t="str" cm="1">
        <f t="array" ref="T226">IFERROR(INDEX(_xlfn.UNIQUE(TRIM(_xlfn.TEXTSPLIT(Table21215[[#This Row],[Selection Options]:[Selection Options]],","))),,T$11),"")</f>
        <v/>
      </c>
      <c r="U226" s="29" t="str" cm="1">
        <f t="array" ref="U226">IFERROR(INDEX(_xlfn.UNIQUE(TRIM(_xlfn.TEXTSPLIT(Table21215[[#This Row],[Selection Options]:[Selection Options]],","))),,U$11),"")</f>
        <v/>
      </c>
      <c r="V226" s="29" t="str" cm="1">
        <f t="array" ref="V226">IFERROR(INDEX(_xlfn.UNIQUE(TRIM(_xlfn.TEXTSPLIT(Table21215[[#This Row],[Selection Options]:[Selection Options]],","))),,V$11),"")</f>
        <v/>
      </c>
      <c r="W226" s="29" t="str" cm="1">
        <f t="array" ref="W226">IFERROR(INDEX(_xlfn.UNIQUE(TRIM(_xlfn.TEXTSPLIT(Table21215[[#This Row],[Selection Options]:[Selection Options]],","))),,W$11),"")</f>
        <v/>
      </c>
      <c r="X226" s="29" t="str" cm="1">
        <f t="array" ref="X226">IFERROR(INDEX(_xlfn.UNIQUE(TRIM(_xlfn.TEXTSPLIT(Table21215[[#This Row],[Selection Options]:[Selection Options]],","))),,X$11),"")</f>
        <v/>
      </c>
      <c r="Y226" s="30" cm="1">
        <f t="array" ref="Y226">IF(Table21215[[#This Row],[1]]="","",Table21215[[#This Row],[Weight]:[Weight]]-(Table21215[[#This Row],[Weight]:[Weight]]*((_xlfn.XMATCH(Table21215[[#This Row],[1]],Table21215[[#This Row],[1]:[11]],0))-1)/(COUNTA(Table21215[[#This Row],[1]:[11]])-COUNTBLANK(Table21215[[#This Row],[1]:[11]])-1)))</f>
        <v>4.7656870532168391E-3</v>
      </c>
      <c r="Z226" s="30" cm="1">
        <f t="array" ref="Z226">IF(Table21215[[#This Row],[2]]="","",Table21215[[#This Row],[Weight]:[Weight]]-(Table21215[[#This Row],[Weight]:[Weight]]*((_xlfn.XMATCH(Table21215[[#This Row],[2]],Table21215[[#This Row],[1]:[11]],0))-1)/(COUNTA(Table21215[[#This Row],[1]:[11]])-COUNTBLANK(Table21215[[#This Row],[1]:[11]])-1)))</f>
        <v>3.1771247021445594E-3</v>
      </c>
      <c r="AA226" s="30" cm="1">
        <f t="array" ref="AA226">IF(Table21215[[#This Row],[3]]="","",Table21215[[#This Row],[Weight]:[Weight]]-(Table21215[[#This Row],[Weight]:[Weight]]*((_xlfn.XMATCH(Table21215[[#This Row],[3]],Table21215[[#This Row],[1]:[11]],0))-1)/(COUNTA(Table21215[[#This Row],[1]:[11]])-COUNTBLANK(Table21215[[#This Row],[1]:[11]])-1)))</f>
        <v>1.5885623510722797E-3</v>
      </c>
      <c r="AB226" s="30" cm="1">
        <f t="array" ref="AB226">IF(Table21215[[#This Row],[4]]="","",Table21215[[#This Row],[Weight]:[Weight]]-(Table21215[[#This Row],[Weight]:[Weight]]*((_xlfn.XMATCH(Table21215[[#This Row],[4]],Table21215[[#This Row],[1]:[11]],0))-1)/(COUNTA(Table21215[[#This Row],[1]:[11]])-COUNTBLANK(Table21215[[#This Row],[1]:[11]])-1)))</f>
        <v>0</v>
      </c>
      <c r="AC226" s="30" t="str" cm="1">
        <f t="array" ref="AC226">IF(Table21215[[#This Row],[5]]="","",Table21215[[#This Row],[Weight]:[Weight]]-(Table21215[[#This Row],[Weight]:[Weight]]*((_xlfn.XMATCH(Table21215[[#This Row],[5]],Table21215[[#This Row],[1]:[11]],0))-1)/(COUNTA(Table21215[[#This Row],[1]:[11]])-COUNTBLANK(Table21215[[#This Row],[1]:[11]])-1)))</f>
        <v/>
      </c>
      <c r="AD226" s="30" t="str" cm="1">
        <f t="array" ref="AD226">IF(Table21215[[#This Row],[6]]="","",Table21215[[#This Row],[Weight]:[Weight]]-(Table21215[[#This Row],[Weight]:[Weight]]*((_xlfn.XMATCH(Table21215[[#This Row],[6]],Table21215[[#This Row],[1]:[11]],0))-1)/(COUNTA(Table21215[[#This Row],[1]:[11]])-COUNTBLANK(Table21215[[#This Row],[1]:[11]])-1)))</f>
        <v/>
      </c>
      <c r="AE226" s="30" t="str" cm="1">
        <f t="array" ref="AE226">IF(Table21215[[#This Row],[7]]="","",Table21215[[#This Row],[Weight]:[Weight]]-(Table21215[[#This Row],[Weight]:[Weight]]*((_xlfn.XMATCH(Table21215[[#This Row],[7]],Table21215[[#This Row],[1]:[11]],0))-1)/(COUNTA(Table21215[[#This Row],[1]:[11]])-COUNTBLANK(Table21215[[#This Row],[1]:[11]])-1)))</f>
        <v/>
      </c>
      <c r="AF226" s="30" t="str" cm="1">
        <f t="array" ref="AF226">IF(Table21215[[#This Row],[8]]="","",Table21215[[#This Row],[Weight]:[Weight]]-(Table21215[[#This Row],[Weight]:[Weight]]*((_xlfn.XMATCH(Table21215[[#This Row],[8]],Table21215[[#This Row],[1]:[11]],0))-1)/(COUNTA(Table21215[[#This Row],[1]:[11]])-COUNTBLANK(Table21215[[#This Row],[1]:[11]])-1)))</f>
        <v/>
      </c>
      <c r="AG226" s="30" t="str" cm="1">
        <f t="array" ref="AG226">IF(Table21215[[#This Row],[9]]="","",Table21215[[#This Row],[Weight]:[Weight]]-(Table21215[[#This Row],[Weight]:[Weight]]*((_xlfn.XMATCH(Table21215[[#This Row],[9]],Table21215[[#This Row],[1]:[11]],0))-1)/(COUNTA(Table21215[[#This Row],[1]:[11]])-COUNTBLANK(Table21215[[#This Row],[1]:[11]])-1)))</f>
        <v/>
      </c>
      <c r="AH226" s="30" t="str" cm="1">
        <f t="array" ref="AH226">IF(Table21215[[#This Row],[10]]="","",Table21215[[#This Row],[Weight]:[Weight]]-(Table21215[[#This Row],[Weight]:[Weight]]*((_xlfn.XMATCH(Table21215[[#This Row],[10]],Table21215[[#This Row],[1]:[11]],0))-1)/(COUNTA(Table21215[[#This Row],[1]:[11]])-COUNTBLANK(Table21215[[#This Row],[1]:[11]])-1)))</f>
        <v/>
      </c>
      <c r="AI226" s="30" t="str" cm="1">
        <f t="array" ref="AI226">IF(Table21215[[#This Row],[11]]="","",Table21215[[#This Row],[Weight]:[Weight]]-(Table21215[[#This Row],[Weight]:[Weight]]*((_xlfn.XMATCH(Table21215[[#This Row],[11]],Table21215[[#This Row],[1]:[11]],0))-1)/(COUNTA(Table21215[[#This Row],[1]:[11]])-COUNTBLANK(Table21215[[#This Row],[1]:[11]])-1)))</f>
        <v/>
      </c>
    </row>
    <row r="227" spans="1:35" ht="108" x14ac:dyDescent="0.2">
      <c r="A227" s="20">
        <v>215</v>
      </c>
      <c r="B227" s="165" t="s">
        <v>1044</v>
      </c>
      <c r="C227" s="21" t="s">
        <v>826</v>
      </c>
      <c r="D227" s="38"/>
      <c r="E227" s="38"/>
      <c r="F227" s="159" t="s">
        <v>183</v>
      </c>
      <c r="G227" s="160" cm="1">
        <f t="array" ref="G227">_xlfn.IFS(F227="","",F227="No interest",0,F227="Nice to have",1,F227="Useful",2,F227="Important",3,F227="Very important",4,F227="Critical",5,F227="Show stopper",6)</f>
        <v>4</v>
      </c>
      <c r="H227" s="161">
        <f t="shared" si="5"/>
        <v>3.177124702144559E-3</v>
      </c>
      <c r="I227" s="157" t="s">
        <v>827</v>
      </c>
      <c r="J227" s="35" t="str" cm="1">
        <f t="array" ref="J227">_xlfn.TEXTJOIN(","&amp;CHAR(10),,TEXT(Table21215[[#This Row],[12]:[22]],"0,00%"))</f>
        <v>0,00%,
0,00%,
0,00%,
0,00%</v>
      </c>
      <c r="K227" s="36"/>
      <c r="L227" s="37" t="e">
        <f>H227-(H227*((MATCH(Table21215[[#This Row],[Evaluators Response (SELECT)]],Table21215[[#This Row],[1]:[11]],0)-1)/(COUNTA(Table21215[[#This Row],[1]:[11]])-COUNTBLANK(Table21215[[#This Row],[1]:[11]])-1)))</f>
        <v>#N/A</v>
      </c>
      <c r="M227" s="38"/>
      <c r="N227" s="29" t="s">
        <v>828</v>
      </c>
      <c r="O227" s="29" t="s">
        <v>829</v>
      </c>
      <c r="P227" s="29" t="s">
        <v>830</v>
      </c>
      <c r="Q227" s="29" t="str" cm="1">
        <f t="array" ref="Q227">IFERROR(INDEX(_xlfn.UNIQUE(TRIM(_xlfn.TEXTSPLIT(Table21215[[#This Row],[Selection Options]:[Selection Options]],","))),,Q$11),"")</f>
        <v xml:space="preserve">
 0%: Not currently supported</v>
      </c>
      <c r="R227" s="29" t="str" cm="1">
        <f t="array" ref="R227">IFERROR(INDEX(_xlfn.UNIQUE(TRIM(_xlfn.TEXTSPLIT(Table21215[[#This Row],[Selection Options]:[Selection Options]],","))),,R$11),"")</f>
        <v/>
      </c>
      <c r="S227" s="29" t="str" cm="1">
        <f t="array" ref="S227">IFERROR(INDEX(_xlfn.UNIQUE(TRIM(_xlfn.TEXTSPLIT(Table21215[[#This Row],[Selection Options]:[Selection Options]],","))),,S$11),"")</f>
        <v/>
      </c>
      <c r="T227" s="29" t="str" cm="1">
        <f t="array" ref="T227">IFERROR(INDEX(_xlfn.UNIQUE(TRIM(_xlfn.TEXTSPLIT(Table21215[[#This Row],[Selection Options]:[Selection Options]],","))),,T$11),"")</f>
        <v/>
      </c>
      <c r="U227" s="29" t="str" cm="1">
        <f t="array" ref="U227">IFERROR(INDEX(_xlfn.UNIQUE(TRIM(_xlfn.TEXTSPLIT(Table21215[[#This Row],[Selection Options]:[Selection Options]],","))),,U$11),"")</f>
        <v/>
      </c>
      <c r="V227" s="29" t="str" cm="1">
        <f t="array" ref="V227">IFERROR(INDEX(_xlfn.UNIQUE(TRIM(_xlfn.TEXTSPLIT(Table21215[[#This Row],[Selection Options]:[Selection Options]],","))),,V$11),"")</f>
        <v/>
      </c>
      <c r="W227" s="29" t="str" cm="1">
        <f t="array" ref="W227">IFERROR(INDEX(_xlfn.UNIQUE(TRIM(_xlfn.TEXTSPLIT(Table21215[[#This Row],[Selection Options]:[Selection Options]],","))),,W$11),"")</f>
        <v/>
      </c>
      <c r="X227" s="29" t="str" cm="1">
        <f t="array" ref="X227">IFERROR(INDEX(_xlfn.UNIQUE(TRIM(_xlfn.TEXTSPLIT(Table21215[[#This Row],[Selection Options]:[Selection Options]],","))),,X$11),"")</f>
        <v/>
      </c>
      <c r="Y227" s="30" cm="1">
        <f t="array" ref="Y227">IF(Table21215[[#This Row],[1]]="","",Table21215[[#This Row],[Weight]:[Weight]]-(Table21215[[#This Row],[Weight]:[Weight]]*((_xlfn.XMATCH(Table21215[[#This Row],[1]],Table21215[[#This Row],[1]:[11]],0))-1)/(COUNTA(Table21215[[#This Row],[1]:[11]])-COUNTBLANK(Table21215[[#This Row],[1]:[11]])-1)))</f>
        <v>3.177124702144559E-3</v>
      </c>
      <c r="Z227" s="30" cm="1">
        <f t="array" ref="Z227">IF(Table21215[[#This Row],[2]]="","",Table21215[[#This Row],[Weight]:[Weight]]-(Table21215[[#This Row],[Weight]:[Weight]]*((_xlfn.XMATCH(Table21215[[#This Row],[2]],Table21215[[#This Row],[1]:[11]],0))-1)/(COUNTA(Table21215[[#This Row],[1]:[11]])-COUNTBLANK(Table21215[[#This Row],[1]:[11]])-1)))</f>
        <v>2.118083134763039E-3</v>
      </c>
      <c r="AA227" s="30" cm="1">
        <f t="array" ref="AA227">IF(Table21215[[#This Row],[3]]="","",Table21215[[#This Row],[Weight]:[Weight]]-(Table21215[[#This Row],[Weight]:[Weight]]*((_xlfn.XMATCH(Table21215[[#This Row],[3]],Table21215[[#This Row],[1]:[11]],0))-1)/(COUNTA(Table21215[[#This Row],[1]:[11]])-COUNTBLANK(Table21215[[#This Row],[1]:[11]])-1)))</f>
        <v>1.0590415673815195E-3</v>
      </c>
      <c r="AB227" s="30" cm="1">
        <f t="array" ref="AB227">IF(Table21215[[#This Row],[4]]="","",Table21215[[#This Row],[Weight]:[Weight]]-(Table21215[[#This Row],[Weight]:[Weight]]*((_xlfn.XMATCH(Table21215[[#This Row],[4]],Table21215[[#This Row],[1]:[11]],0))-1)/(COUNTA(Table21215[[#This Row],[1]:[11]])-COUNTBLANK(Table21215[[#This Row],[1]:[11]])-1)))</f>
        <v>0</v>
      </c>
      <c r="AC227" s="30" t="str" cm="1">
        <f t="array" ref="AC227">IF(Table21215[[#This Row],[5]]="","",Table21215[[#This Row],[Weight]:[Weight]]-(Table21215[[#This Row],[Weight]:[Weight]]*((_xlfn.XMATCH(Table21215[[#This Row],[5]],Table21215[[#This Row],[1]:[11]],0))-1)/(COUNTA(Table21215[[#This Row],[1]:[11]])-COUNTBLANK(Table21215[[#This Row],[1]:[11]])-1)))</f>
        <v/>
      </c>
      <c r="AD227" s="30" t="str" cm="1">
        <f t="array" ref="AD227">IF(Table21215[[#This Row],[6]]="","",Table21215[[#This Row],[Weight]:[Weight]]-(Table21215[[#This Row],[Weight]:[Weight]]*((_xlfn.XMATCH(Table21215[[#This Row],[6]],Table21215[[#This Row],[1]:[11]],0))-1)/(COUNTA(Table21215[[#This Row],[1]:[11]])-COUNTBLANK(Table21215[[#This Row],[1]:[11]])-1)))</f>
        <v/>
      </c>
      <c r="AE227" s="30" t="str" cm="1">
        <f t="array" ref="AE227">IF(Table21215[[#This Row],[7]]="","",Table21215[[#This Row],[Weight]:[Weight]]-(Table21215[[#This Row],[Weight]:[Weight]]*((_xlfn.XMATCH(Table21215[[#This Row],[7]],Table21215[[#This Row],[1]:[11]],0))-1)/(COUNTA(Table21215[[#This Row],[1]:[11]])-COUNTBLANK(Table21215[[#This Row],[1]:[11]])-1)))</f>
        <v/>
      </c>
      <c r="AF227" s="30" t="str" cm="1">
        <f t="array" ref="AF227">IF(Table21215[[#This Row],[8]]="","",Table21215[[#This Row],[Weight]:[Weight]]-(Table21215[[#This Row],[Weight]:[Weight]]*((_xlfn.XMATCH(Table21215[[#This Row],[8]],Table21215[[#This Row],[1]:[11]],0))-1)/(COUNTA(Table21215[[#This Row],[1]:[11]])-COUNTBLANK(Table21215[[#This Row],[1]:[11]])-1)))</f>
        <v/>
      </c>
      <c r="AG227" s="30" t="str" cm="1">
        <f t="array" ref="AG227">IF(Table21215[[#This Row],[9]]="","",Table21215[[#This Row],[Weight]:[Weight]]-(Table21215[[#This Row],[Weight]:[Weight]]*((_xlfn.XMATCH(Table21215[[#This Row],[9]],Table21215[[#This Row],[1]:[11]],0))-1)/(COUNTA(Table21215[[#This Row],[1]:[11]])-COUNTBLANK(Table21215[[#This Row],[1]:[11]])-1)))</f>
        <v/>
      </c>
      <c r="AH227" s="30" t="str" cm="1">
        <f t="array" ref="AH227">IF(Table21215[[#This Row],[10]]="","",Table21215[[#This Row],[Weight]:[Weight]]-(Table21215[[#This Row],[Weight]:[Weight]]*((_xlfn.XMATCH(Table21215[[#This Row],[10]],Table21215[[#This Row],[1]:[11]],0))-1)/(COUNTA(Table21215[[#This Row],[1]:[11]])-COUNTBLANK(Table21215[[#This Row],[1]:[11]])-1)))</f>
        <v/>
      </c>
      <c r="AI227" s="30" t="str" cm="1">
        <f t="array" ref="AI227">IF(Table21215[[#This Row],[11]]="","",Table21215[[#This Row],[Weight]:[Weight]]-(Table21215[[#This Row],[Weight]:[Weight]]*((_xlfn.XMATCH(Table21215[[#This Row],[11]],Table21215[[#This Row],[1]:[11]],0))-1)/(COUNTA(Table21215[[#This Row],[1]:[11]])-COUNTBLANK(Table21215[[#This Row],[1]:[11]])-1)))</f>
        <v/>
      </c>
    </row>
    <row r="228" spans="1:35" ht="108" x14ac:dyDescent="0.2">
      <c r="A228" s="20">
        <v>216</v>
      </c>
      <c r="B228" s="165" t="s">
        <v>1045</v>
      </c>
      <c r="C228" s="21" t="s">
        <v>826</v>
      </c>
      <c r="D228" s="38"/>
      <c r="E228" s="38"/>
      <c r="F228" s="159" t="s">
        <v>60</v>
      </c>
      <c r="G228" s="160" cm="1">
        <f t="array" ref="G228">_xlfn.IFS(F228="","",F228="No interest",0,F228="Nice to have",1,F228="Useful",2,F228="Important",3,F228="Very important",4,F228="Critical",5,F228="Show stopper",6)</f>
        <v>6</v>
      </c>
      <c r="H228" s="161">
        <f t="shared" si="5"/>
        <v>4.7656870532168391E-3</v>
      </c>
      <c r="I228" s="157" t="s">
        <v>827</v>
      </c>
      <c r="J228" s="35" t="str" cm="1">
        <f t="array" ref="J228">_xlfn.TEXTJOIN(","&amp;CHAR(10),,TEXT(Table21215[[#This Row],[12]:[22]],"0,00%"))</f>
        <v>0,00%,
0,00%,
0,00%,
0,00%</v>
      </c>
      <c r="K228" s="36"/>
      <c r="L228" s="37" t="e">
        <f>H228-(H228*((MATCH(Table21215[[#This Row],[Evaluators Response (SELECT)]],Table21215[[#This Row],[1]:[11]],0)-1)/(COUNTA(Table21215[[#This Row],[1]:[11]])-COUNTBLANK(Table21215[[#This Row],[1]:[11]])-1)))</f>
        <v>#N/A</v>
      </c>
      <c r="M228" s="38"/>
      <c r="N228" s="29" t="s">
        <v>828</v>
      </c>
      <c r="O228" s="29" t="s">
        <v>829</v>
      </c>
      <c r="P228" s="29" t="s">
        <v>830</v>
      </c>
      <c r="Q228" s="29" t="str" cm="1">
        <f t="array" ref="Q228">IFERROR(INDEX(_xlfn.UNIQUE(TRIM(_xlfn.TEXTSPLIT(Table21215[[#This Row],[Selection Options]:[Selection Options]],","))),,Q$11),"")</f>
        <v xml:space="preserve">
 0%: Not currently supported</v>
      </c>
      <c r="R228" s="29" t="str" cm="1">
        <f t="array" ref="R228">IFERROR(INDEX(_xlfn.UNIQUE(TRIM(_xlfn.TEXTSPLIT(Table21215[[#This Row],[Selection Options]:[Selection Options]],","))),,R$11),"")</f>
        <v/>
      </c>
      <c r="S228" s="29" t="str" cm="1">
        <f t="array" ref="S228">IFERROR(INDEX(_xlfn.UNIQUE(TRIM(_xlfn.TEXTSPLIT(Table21215[[#This Row],[Selection Options]:[Selection Options]],","))),,S$11),"")</f>
        <v/>
      </c>
      <c r="T228" s="29" t="str" cm="1">
        <f t="array" ref="T228">IFERROR(INDEX(_xlfn.UNIQUE(TRIM(_xlfn.TEXTSPLIT(Table21215[[#This Row],[Selection Options]:[Selection Options]],","))),,T$11),"")</f>
        <v/>
      </c>
      <c r="U228" s="29" t="str" cm="1">
        <f t="array" ref="U228">IFERROR(INDEX(_xlfn.UNIQUE(TRIM(_xlfn.TEXTSPLIT(Table21215[[#This Row],[Selection Options]:[Selection Options]],","))),,U$11),"")</f>
        <v/>
      </c>
      <c r="V228" s="29" t="str" cm="1">
        <f t="array" ref="V228">IFERROR(INDEX(_xlfn.UNIQUE(TRIM(_xlfn.TEXTSPLIT(Table21215[[#This Row],[Selection Options]:[Selection Options]],","))),,V$11),"")</f>
        <v/>
      </c>
      <c r="W228" s="29" t="str" cm="1">
        <f t="array" ref="W228">IFERROR(INDEX(_xlfn.UNIQUE(TRIM(_xlfn.TEXTSPLIT(Table21215[[#This Row],[Selection Options]:[Selection Options]],","))),,W$11),"")</f>
        <v/>
      </c>
      <c r="X228" s="29" t="str" cm="1">
        <f t="array" ref="X228">IFERROR(INDEX(_xlfn.UNIQUE(TRIM(_xlfn.TEXTSPLIT(Table21215[[#This Row],[Selection Options]:[Selection Options]],","))),,X$11),"")</f>
        <v/>
      </c>
      <c r="Y228" s="30" cm="1">
        <f t="array" ref="Y228">IF(Table21215[[#This Row],[1]]="","",Table21215[[#This Row],[Weight]:[Weight]]-(Table21215[[#This Row],[Weight]:[Weight]]*((_xlfn.XMATCH(Table21215[[#This Row],[1]],Table21215[[#This Row],[1]:[11]],0))-1)/(COUNTA(Table21215[[#This Row],[1]:[11]])-COUNTBLANK(Table21215[[#This Row],[1]:[11]])-1)))</f>
        <v>4.7656870532168391E-3</v>
      </c>
      <c r="Z228" s="30" cm="1">
        <f t="array" ref="Z228">IF(Table21215[[#This Row],[2]]="","",Table21215[[#This Row],[Weight]:[Weight]]-(Table21215[[#This Row],[Weight]:[Weight]]*((_xlfn.XMATCH(Table21215[[#This Row],[2]],Table21215[[#This Row],[1]:[11]],0))-1)/(COUNTA(Table21215[[#This Row],[1]:[11]])-COUNTBLANK(Table21215[[#This Row],[1]:[11]])-1)))</f>
        <v>3.1771247021445594E-3</v>
      </c>
      <c r="AA228" s="30" cm="1">
        <f t="array" ref="AA228">IF(Table21215[[#This Row],[3]]="","",Table21215[[#This Row],[Weight]:[Weight]]-(Table21215[[#This Row],[Weight]:[Weight]]*((_xlfn.XMATCH(Table21215[[#This Row],[3]],Table21215[[#This Row],[1]:[11]],0))-1)/(COUNTA(Table21215[[#This Row],[1]:[11]])-COUNTBLANK(Table21215[[#This Row],[1]:[11]])-1)))</f>
        <v>1.5885623510722797E-3</v>
      </c>
      <c r="AB228" s="30" cm="1">
        <f t="array" ref="AB228">IF(Table21215[[#This Row],[4]]="","",Table21215[[#This Row],[Weight]:[Weight]]-(Table21215[[#This Row],[Weight]:[Weight]]*((_xlfn.XMATCH(Table21215[[#This Row],[4]],Table21215[[#This Row],[1]:[11]],0))-1)/(COUNTA(Table21215[[#This Row],[1]:[11]])-COUNTBLANK(Table21215[[#This Row],[1]:[11]])-1)))</f>
        <v>0</v>
      </c>
      <c r="AC228" s="30" t="str" cm="1">
        <f t="array" ref="AC228">IF(Table21215[[#This Row],[5]]="","",Table21215[[#This Row],[Weight]:[Weight]]-(Table21215[[#This Row],[Weight]:[Weight]]*((_xlfn.XMATCH(Table21215[[#This Row],[5]],Table21215[[#This Row],[1]:[11]],0))-1)/(COUNTA(Table21215[[#This Row],[1]:[11]])-COUNTBLANK(Table21215[[#This Row],[1]:[11]])-1)))</f>
        <v/>
      </c>
      <c r="AD228" s="30" t="str" cm="1">
        <f t="array" ref="AD228">IF(Table21215[[#This Row],[6]]="","",Table21215[[#This Row],[Weight]:[Weight]]-(Table21215[[#This Row],[Weight]:[Weight]]*((_xlfn.XMATCH(Table21215[[#This Row],[6]],Table21215[[#This Row],[1]:[11]],0))-1)/(COUNTA(Table21215[[#This Row],[1]:[11]])-COUNTBLANK(Table21215[[#This Row],[1]:[11]])-1)))</f>
        <v/>
      </c>
      <c r="AE228" s="30" t="str" cm="1">
        <f t="array" ref="AE228">IF(Table21215[[#This Row],[7]]="","",Table21215[[#This Row],[Weight]:[Weight]]-(Table21215[[#This Row],[Weight]:[Weight]]*((_xlfn.XMATCH(Table21215[[#This Row],[7]],Table21215[[#This Row],[1]:[11]],0))-1)/(COUNTA(Table21215[[#This Row],[1]:[11]])-COUNTBLANK(Table21215[[#This Row],[1]:[11]])-1)))</f>
        <v/>
      </c>
      <c r="AF228" s="30" t="str" cm="1">
        <f t="array" ref="AF228">IF(Table21215[[#This Row],[8]]="","",Table21215[[#This Row],[Weight]:[Weight]]-(Table21215[[#This Row],[Weight]:[Weight]]*((_xlfn.XMATCH(Table21215[[#This Row],[8]],Table21215[[#This Row],[1]:[11]],0))-1)/(COUNTA(Table21215[[#This Row],[1]:[11]])-COUNTBLANK(Table21215[[#This Row],[1]:[11]])-1)))</f>
        <v/>
      </c>
      <c r="AG228" s="30" t="str" cm="1">
        <f t="array" ref="AG228">IF(Table21215[[#This Row],[9]]="","",Table21215[[#This Row],[Weight]:[Weight]]-(Table21215[[#This Row],[Weight]:[Weight]]*((_xlfn.XMATCH(Table21215[[#This Row],[9]],Table21215[[#This Row],[1]:[11]],0))-1)/(COUNTA(Table21215[[#This Row],[1]:[11]])-COUNTBLANK(Table21215[[#This Row],[1]:[11]])-1)))</f>
        <v/>
      </c>
      <c r="AH228" s="30" t="str" cm="1">
        <f t="array" ref="AH228">IF(Table21215[[#This Row],[10]]="","",Table21215[[#This Row],[Weight]:[Weight]]-(Table21215[[#This Row],[Weight]:[Weight]]*((_xlfn.XMATCH(Table21215[[#This Row],[10]],Table21215[[#This Row],[1]:[11]],0))-1)/(COUNTA(Table21215[[#This Row],[1]:[11]])-COUNTBLANK(Table21215[[#This Row],[1]:[11]])-1)))</f>
        <v/>
      </c>
      <c r="AI228" s="30" t="str" cm="1">
        <f t="array" ref="AI228">IF(Table21215[[#This Row],[11]]="","",Table21215[[#This Row],[Weight]:[Weight]]-(Table21215[[#This Row],[Weight]:[Weight]]*((_xlfn.XMATCH(Table21215[[#This Row],[11]],Table21215[[#This Row],[1]:[11]],0))-1)/(COUNTA(Table21215[[#This Row],[1]:[11]])-COUNTBLANK(Table21215[[#This Row],[1]:[11]])-1)))</f>
        <v/>
      </c>
    </row>
    <row r="229" spans="1:35" ht="108" x14ac:dyDescent="0.2">
      <c r="A229" s="20">
        <v>217</v>
      </c>
      <c r="B229" s="165" t="s">
        <v>1046</v>
      </c>
      <c r="C229" s="21" t="s">
        <v>826</v>
      </c>
      <c r="D229" s="38"/>
      <c r="E229" s="38"/>
      <c r="F229" s="159" t="s">
        <v>60</v>
      </c>
      <c r="G229" s="160" cm="1">
        <f t="array" ref="G229">_xlfn.IFS(F229="","",F229="No interest",0,F229="Nice to have",1,F229="Useful",2,F229="Important",3,F229="Very important",4,F229="Critical",5,F229="Show stopper",6)</f>
        <v>6</v>
      </c>
      <c r="H229" s="161">
        <f t="shared" si="5"/>
        <v>4.7656870532168391E-3</v>
      </c>
      <c r="I229" s="157" t="s">
        <v>827</v>
      </c>
      <c r="J229" s="35" t="str" cm="1">
        <f t="array" ref="J229">_xlfn.TEXTJOIN(","&amp;CHAR(10),,TEXT(Table21215[[#This Row],[12]:[22]],"0,00%"))</f>
        <v>0,00%,
0,00%,
0,00%,
0,00%</v>
      </c>
      <c r="K229" s="36"/>
      <c r="L229" s="37" t="e">
        <f>H229-(H229*((MATCH(Table21215[[#This Row],[Evaluators Response (SELECT)]],Table21215[[#This Row],[1]:[11]],0)-1)/(COUNTA(Table21215[[#This Row],[1]:[11]])-COUNTBLANK(Table21215[[#This Row],[1]:[11]])-1)))</f>
        <v>#N/A</v>
      </c>
      <c r="M229" s="38"/>
      <c r="N229" s="29" t="s">
        <v>828</v>
      </c>
      <c r="O229" s="29" t="s">
        <v>829</v>
      </c>
      <c r="P229" s="29" t="s">
        <v>830</v>
      </c>
      <c r="Q229" s="29" t="str" cm="1">
        <f t="array" ref="Q229">IFERROR(INDEX(_xlfn.UNIQUE(TRIM(_xlfn.TEXTSPLIT(Table21215[[#This Row],[Selection Options]:[Selection Options]],","))),,Q$11),"")</f>
        <v xml:space="preserve">
 0%: Not currently supported</v>
      </c>
      <c r="R229" s="29" t="str" cm="1">
        <f t="array" ref="R229">IFERROR(INDEX(_xlfn.UNIQUE(TRIM(_xlfn.TEXTSPLIT(Table21215[[#This Row],[Selection Options]:[Selection Options]],","))),,R$11),"")</f>
        <v/>
      </c>
      <c r="S229" s="29" t="str" cm="1">
        <f t="array" ref="S229">IFERROR(INDEX(_xlfn.UNIQUE(TRIM(_xlfn.TEXTSPLIT(Table21215[[#This Row],[Selection Options]:[Selection Options]],","))),,S$11),"")</f>
        <v/>
      </c>
      <c r="T229" s="29" t="str" cm="1">
        <f t="array" ref="T229">IFERROR(INDEX(_xlfn.UNIQUE(TRIM(_xlfn.TEXTSPLIT(Table21215[[#This Row],[Selection Options]:[Selection Options]],","))),,T$11),"")</f>
        <v/>
      </c>
      <c r="U229" s="29" t="str" cm="1">
        <f t="array" ref="U229">IFERROR(INDEX(_xlfn.UNIQUE(TRIM(_xlfn.TEXTSPLIT(Table21215[[#This Row],[Selection Options]:[Selection Options]],","))),,U$11),"")</f>
        <v/>
      </c>
      <c r="V229" s="29" t="str" cm="1">
        <f t="array" ref="V229">IFERROR(INDEX(_xlfn.UNIQUE(TRIM(_xlfn.TEXTSPLIT(Table21215[[#This Row],[Selection Options]:[Selection Options]],","))),,V$11),"")</f>
        <v/>
      </c>
      <c r="W229" s="29" t="str" cm="1">
        <f t="array" ref="W229">IFERROR(INDEX(_xlfn.UNIQUE(TRIM(_xlfn.TEXTSPLIT(Table21215[[#This Row],[Selection Options]:[Selection Options]],","))),,W$11),"")</f>
        <v/>
      </c>
      <c r="X229" s="29" t="str" cm="1">
        <f t="array" ref="X229">IFERROR(INDEX(_xlfn.UNIQUE(TRIM(_xlfn.TEXTSPLIT(Table21215[[#This Row],[Selection Options]:[Selection Options]],","))),,X$11),"")</f>
        <v/>
      </c>
      <c r="Y229" s="30" cm="1">
        <f t="array" ref="Y229">IF(Table21215[[#This Row],[1]]="","",Table21215[[#This Row],[Weight]:[Weight]]-(Table21215[[#This Row],[Weight]:[Weight]]*((_xlfn.XMATCH(Table21215[[#This Row],[1]],Table21215[[#This Row],[1]:[11]],0))-1)/(COUNTA(Table21215[[#This Row],[1]:[11]])-COUNTBLANK(Table21215[[#This Row],[1]:[11]])-1)))</f>
        <v>4.7656870532168391E-3</v>
      </c>
      <c r="Z229" s="30" cm="1">
        <f t="array" ref="Z229">IF(Table21215[[#This Row],[2]]="","",Table21215[[#This Row],[Weight]:[Weight]]-(Table21215[[#This Row],[Weight]:[Weight]]*((_xlfn.XMATCH(Table21215[[#This Row],[2]],Table21215[[#This Row],[1]:[11]],0))-1)/(COUNTA(Table21215[[#This Row],[1]:[11]])-COUNTBLANK(Table21215[[#This Row],[1]:[11]])-1)))</f>
        <v>3.1771247021445594E-3</v>
      </c>
      <c r="AA229" s="30" cm="1">
        <f t="array" ref="AA229">IF(Table21215[[#This Row],[3]]="","",Table21215[[#This Row],[Weight]:[Weight]]-(Table21215[[#This Row],[Weight]:[Weight]]*((_xlfn.XMATCH(Table21215[[#This Row],[3]],Table21215[[#This Row],[1]:[11]],0))-1)/(COUNTA(Table21215[[#This Row],[1]:[11]])-COUNTBLANK(Table21215[[#This Row],[1]:[11]])-1)))</f>
        <v>1.5885623510722797E-3</v>
      </c>
      <c r="AB229" s="30" cm="1">
        <f t="array" ref="AB229">IF(Table21215[[#This Row],[4]]="","",Table21215[[#This Row],[Weight]:[Weight]]-(Table21215[[#This Row],[Weight]:[Weight]]*((_xlfn.XMATCH(Table21215[[#This Row],[4]],Table21215[[#This Row],[1]:[11]],0))-1)/(COUNTA(Table21215[[#This Row],[1]:[11]])-COUNTBLANK(Table21215[[#This Row],[1]:[11]])-1)))</f>
        <v>0</v>
      </c>
      <c r="AC229" s="30" t="str" cm="1">
        <f t="array" ref="AC229">IF(Table21215[[#This Row],[5]]="","",Table21215[[#This Row],[Weight]:[Weight]]-(Table21215[[#This Row],[Weight]:[Weight]]*((_xlfn.XMATCH(Table21215[[#This Row],[5]],Table21215[[#This Row],[1]:[11]],0))-1)/(COUNTA(Table21215[[#This Row],[1]:[11]])-COUNTBLANK(Table21215[[#This Row],[1]:[11]])-1)))</f>
        <v/>
      </c>
      <c r="AD229" s="30" t="str" cm="1">
        <f t="array" ref="AD229">IF(Table21215[[#This Row],[6]]="","",Table21215[[#This Row],[Weight]:[Weight]]-(Table21215[[#This Row],[Weight]:[Weight]]*((_xlfn.XMATCH(Table21215[[#This Row],[6]],Table21215[[#This Row],[1]:[11]],0))-1)/(COUNTA(Table21215[[#This Row],[1]:[11]])-COUNTBLANK(Table21215[[#This Row],[1]:[11]])-1)))</f>
        <v/>
      </c>
      <c r="AE229" s="30" t="str" cm="1">
        <f t="array" ref="AE229">IF(Table21215[[#This Row],[7]]="","",Table21215[[#This Row],[Weight]:[Weight]]-(Table21215[[#This Row],[Weight]:[Weight]]*((_xlfn.XMATCH(Table21215[[#This Row],[7]],Table21215[[#This Row],[1]:[11]],0))-1)/(COUNTA(Table21215[[#This Row],[1]:[11]])-COUNTBLANK(Table21215[[#This Row],[1]:[11]])-1)))</f>
        <v/>
      </c>
      <c r="AF229" s="30" t="str" cm="1">
        <f t="array" ref="AF229">IF(Table21215[[#This Row],[8]]="","",Table21215[[#This Row],[Weight]:[Weight]]-(Table21215[[#This Row],[Weight]:[Weight]]*((_xlfn.XMATCH(Table21215[[#This Row],[8]],Table21215[[#This Row],[1]:[11]],0))-1)/(COUNTA(Table21215[[#This Row],[1]:[11]])-COUNTBLANK(Table21215[[#This Row],[1]:[11]])-1)))</f>
        <v/>
      </c>
      <c r="AG229" s="30" t="str" cm="1">
        <f t="array" ref="AG229">IF(Table21215[[#This Row],[9]]="","",Table21215[[#This Row],[Weight]:[Weight]]-(Table21215[[#This Row],[Weight]:[Weight]]*((_xlfn.XMATCH(Table21215[[#This Row],[9]],Table21215[[#This Row],[1]:[11]],0))-1)/(COUNTA(Table21215[[#This Row],[1]:[11]])-COUNTBLANK(Table21215[[#This Row],[1]:[11]])-1)))</f>
        <v/>
      </c>
      <c r="AH229" s="30" t="str" cm="1">
        <f t="array" ref="AH229">IF(Table21215[[#This Row],[10]]="","",Table21215[[#This Row],[Weight]:[Weight]]-(Table21215[[#This Row],[Weight]:[Weight]]*((_xlfn.XMATCH(Table21215[[#This Row],[10]],Table21215[[#This Row],[1]:[11]],0))-1)/(COUNTA(Table21215[[#This Row],[1]:[11]])-COUNTBLANK(Table21215[[#This Row],[1]:[11]])-1)))</f>
        <v/>
      </c>
      <c r="AI229" s="30" t="str" cm="1">
        <f t="array" ref="AI229">IF(Table21215[[#This Row],[11]]="","",Table21215[[#This Row],[Weight]:[Weight]]-(Table21215[[#This Row],[Weight]:[Weight]]*((_xlfn.XMATCH(Table21215[[#This Row],[11]],Table21215[[#This Row],[1]:[11]],0))-1)/(COUNTA(Table21215[[#This Row],[1]:[11]])-COUNTBLANK(Table21215[[#This Row],[1]:[11]])-1)))</f>
        <v/>
      </c>
    </row>
    <row r="230" spans="1:35" ht="108" x14ac:dyDescent="0.2">
      <c r="A230" s="20">
        <v>218</v>
      </c>
      <c r="B230" s="165" t="s">
        <v>1047</v>
      </c>
      <c r="C230" s="21" t="s">
        <v>826</v>
      </c>
      <c r="D230" s="38"/>
      <c r="E230" s="38"/>
      <c r="F230" s="159" t="s">
        <v>60</v>
      </c>
      <c r="G230" s="160" cm="1">
        <f t="array" ref="G230">_xlfn.IFS(F230="","",F230="No interest",0,F230="Nice to have",1,F230="Useful",2,F230="Important",3,F230="Very important",4,F230="Critical",5,F230="Show stopper",6)</f>
        <v>6</v>
      </c>
      <c r="H230" s="161">
        <f t="shared" si="5"/>
        <v>4.7656870532168391E-3</v>
      </c>
      <c r="I230" s="157" t="s">
        <v>827</v>
      </c>
      <c r="J230" s="35" t="str" cm="1">
        <f t="array" ref="J230">_xlfn.TEXTJOIN(","&amp;CHAR(10),,TEXT(Table21215[[#This Row],[12]:[22]],"0,00%"))</f>
        <v>0,00%,
0,00%,
0,00%,
0,00%</v>
      </c>
      <c r="K230" s="36"/>
      <c r="L230" s="37" t="e">
        <f>H230-(H230*((MATCH(Table21215[[#This Row],[Evaluators Response (SELECT)]],Table21215[[#This Row],[1]:[11]],0)-1)/(COUNTA(Table21215[[#This Row],[1]:[11]])-COUNTBLANK(Table21215[[#This Row],[1]:[11]])-1)))</f>
        <v>#N/A</v>
      </c>
      <c r="M230" s="38"/>
      <c r="N230" s="29" t="s">
        <v>828</v>
      </c>
      <c r="O230" s="29" t="s">
        <v>829</v>
      </c>
      <c r="P230" s="29" t="s">
        <v>830</v>
      </c>
      <c r="Q230" s="29" t="str" cm="1">
        <f t="array" ref="Q230">IFERROR(INDEX(_xlfn.UNIQUE(TRIM(_xlfn.TEXTSPLIT(Table21215[[#This Row],[Selection Options]:[Selection Options]],","))),,Q$11),"")</f>
        <v xml:space="preserve">
 0%: Not currently supported</v>
      </c>
      <c r="R230" s="29" t="str" cm="1">
        <f t="array" ref="R230">IFERROR(INDEX(_xlfn.UNIQUE(TRIM(_xlfn.TEXTSPLIT(Table21215[[#This Row],[Selection Options]:[Selection Options]],","))),,R$11),"")</f>
        <v/>
      </c>
      <c r="S230" s="29" t="str" cm="1">
        <f t="array" ref="S230">IFERROR(INDEX(_xlfn.UNIQUE(TRIM(_xlfn.TEXTSPLIT(Table21215[[#This Row],[Selection Options]:[Selection Options]],","))),,S$11),"")</f>
        <v/>
      </c>
      <c r="T230" s="29" t="str" cm="1">
        <f t="array" ref="T230">IFERROR(INDEX(_xlfn.UNIQUE(TRIM(_xlfn.TEXTSPLIT(Table21215[[#This Row],[Selection Options]:[Selection Options]],","))),,T$11),"")</f>
        <v/>
      </c>
      <c r="U230" s="29" t="str" cm="1">
        <f t="array" ref="U230">IFERROR(INDEX(_xlfn.UNIQUE(TRIM(_xlfn.TEXTSPLIT(Table21215[[#This Row],[Selection Options]:[Selection Options]],","))),,U$11),"")</f>
        <v/>
      </c>
      <c r="V230" s="29" t="str" cm="1">
        <f t="array" ref="V230">IFERROR(INDEX(_xlfn.UNIQUE(TRIM(_xlfn.TEXTSPLIT(Table21215[[#This Row],[Selection Options]:[Selection Options]],","))),,V$11),"")</f>
        <v/>
      </c>
      <c r="W230" s="29" t="str" cm="1">
        <f t="array" ref="W230">IFERROR(INDEX(_xlfn.UNIQUE(TRIM(_xlfn.TEXTSPLIT(Table21215[[#This Row],[Selection Options]:[Selection Options]],","))),,W$11),"")</f>
        <v/>
      </c>
      <c r="X230" s="29" t="str" cm="1">
        <f t="array" ref="X230">IFERROR(INDEX(_xlfn.UNIQUE(TRIM(_xlfn.TEXTSPLIT(Table21215[[#This Row],[Selection Options]:[Selection Options]],","))),,X$11),"")</f>
        <v/>
      </c>
      <c r="Y230" s="30" cm="1">
        <f t="array" ref="Y230">IF(Table21215[[#This Row],[1]]="","",Table21215[[#This Row],[Weight]:[Weight]]-(Table21215[[#This Row],[Weight]:[Weight]]*((_xlfn.XMATCH(Table21215[[#This Row],[1]],Table21215[[#This Row],[1]:[11]],0))-1)/(COUNTA(Table21215[[#This Row],[1]:[11]])-COUNTBLANK(Table21215[[#This Row],[1]:[11]])-1)))</f>
        <v>4.7656870532168391E-3</v>
      </c>
      <c r="Z230" s="30" cm="1">
        <f t="array" ref="Z230">IF(Table21215[[#This Row],[2]]="","",Table21215[[#This Row],[Weight]:[Weight]]-(Table21215[[#This Row],[Weight]:[Weight]]*((_xlfn.XMATCH(Table21215[[#This Row],[2]],Table21215[[#This Row],[1]:[11]],0))-1)/(COUNTA(Table21215[[#This Row],[1]:[11]])-COUNTBLANK(Table21215[[#This Row],[1]:[11]])-1)))</f>
        <v>3.1771247021445594E-3</v>
      </c>
      <c r="AA230" s="30" cm="1">
        <f t="array" ref="AA230">IF(Table21215[[#This Row],[3]]="","",Table21215[[#This Row],[Weight]:[Weight]]-(Table21215[[#This Row],[Weight]:[Weight]]*((_xlfn.XMATCH(Table21215[[#This Row],[3]],Table21215[[#This Row],[1]:[11]],0))-1)/(COUNTA(Table21215[[#This Row],[1]:[11]])-COUNTBLANK(Table21215[[#This Row],[1]:[11]])-1)))</f>
        <v>1.5885623510722797E-3</v>
      </c>
      <c r="AB230" s="30" cm="1">
        <f t="array" ref="AB230">IF(Table21215[[#This Row],[4]]="","",Table21215[[#This Row],[Weight]:[Weight]]-(Table21215[[#This Row],[Weight]:[Weight]]*((_xlfn.XMATCH(Table21215[[#This Row],[4]],Table21215[[#This Row],[1]:[11]],0))-1)/(COUNTA(Table21215[[#This Row],[1]:[11]])-COUNTBLANK(Table21215[[#This Row],[1]:[11]])-1)))</f>
        <v>0</v>
      </c>
      <c r="AC230" s="30" t="str" cm="1">
        <f t="array" ref="AC230">IF(Table21215[[#This Row],[5]]="","",Table21215[[#This Row],[Weight]:[Weight]]-(Table21215[[#This Row],[Weight]:[Weight]]*((_xlfn.XMATCH(Table21215[[#This Row],[5]],Table21215[[#This Row],[1]:[11]],0))-1)/(COUNTA(Table21215[[#This Row],[1]:[11]])-COUNTBLANK(Table21215[[#This Row],[1]:[11]])-1)))</f>
        <v/>
      </c>
      <c r="AD230" s="30" t="str" cm="1">
        <f t="array" ref="AD230">IF(Table21215[[#This Row],[6]]="","",Table21215[[#This Row],[Weight]:[Weight]]-(Table21215[[#This Row],[Weight]:[Weight]]*((_xlfn.XMATCH(Table21215[[#This Row],[6]],Table21215[[#This Row],[1]:[11]],0))-1)/(COUNTA(Table21215[[#This Row],[1]:[11]])-COUNTBLANK(Table21215[[#This Row],[1]:[11]])-1)))</f>
        <v/>
      </c>
      <c r="AE230" s="30" t="str" cm="1">
        <f t="array" ref="AE230">IF(Table21215[[#This Row],[7]]="","",Table21215[[#This Row],[Weight]:[Weight]]-(Table21215[[#This Row],[Weight]:[Weight]]*((_xlfn.XMATCH(Table21215[[#This Row],[7]],Table21215[[#This Row],[1]:[11]],0))-1)/(COUNTA(Table21215[[#This Row],[1]:[11]])-COUNTBLANK(Table21215[[#This Row],[1]:[11]])-1)))</f>
        <v/>
      </c>
      <c r="AF230" s="30" t="str" cm="1">
        <f t="array" ref="AF230">IF(Table21215[[#This Row],[8]]="","",Table21215[[#This Row],[Weight]:[Weight]]-(Table21215[[#This Row],[Weight]:[Weight]]*((_xlfn.XMATCH(Table21215[[#This Row],[8]],Table21215[[#This Row],[1]:[11]],0))-1)/(COUNTA(Table21215[[#This Row],[1]:[11]])-COUNTBLANK(Table21215[[#This Row],[1]:[11]])-1)))</f>
        <v/>
      </c>
      <c r="AG230" s="30" t="str" cm="1">
        <f t="array" ref="AG230">IF(Table21215[[#This Row],[9]]="","",Table21215[[#This Row],[Weight]:[Weight]]-(Table21215[[#This Row],[Weight]:[Weight]]*((_xlfn.XMATCH(Table21215[[#This Row],[9]],Table21215[[#This Row],[1]:[11]],0))-1)/(COUNTA(Table21215[[#This Row],[1]:[11]])-COUNTBLANK(Table21215[[#This Row],[1]:[11]])-1)))</f>
        <v/>
      </c>
      <c r="AH230" s="30" t="str" cm="1">
        <f t="array" ref="AH230">IF(Table21215[[#This Row],[10]]="","",Table21215[[#This Row],[Weight]:[Weight]]-(Table21215[[#This Row],[Weight]:[Weight]]*((_xlfn.XMATCH(Table21215[[#This Row],[10]],Table21215[[#This Row],[1]:[11]],0))-1)/(COUNTA(Table21215[[#This Row],[1]:[11]])-COUNTBLANK(Table21215[[#This Row],[1]:[11]])-1)))</f>
        <v/>
      </c>
      <c r="AI230" s="30" t="str" cm="1">
        <f t="array" ref="AI230">IF(Table21215[[#This Row],[11]]="","",Table21215[[#This Row],[Weight]:[Weight]]-(Table21215[[#This Row],[Weight]:[Weight]]*((_xlfn.XMATCH(Table21215[[#This Row],[11]],Table21215[[#This Row],[1]:[11]],0))-1)/(COUNTA(Table21215[[#This Row],[1]:[11]])-COUNTBLANK(Table21215[[#This Row],[1]:[11]])-1)))</f>
        <v/>
      </c>
    </row>
    <row r="231" spans="1:35" ht="108" x14ac:dyDescent="0.2">
      <c r="A231" s="20">
        <v>219</v>
      </c>
      <c r="B231" s="165" t="s">
        <v>1048</v>
      </c>
      <c r="C231" s="21" t="s">
        <v>826</v>
      </c>
      <c r="D231" s="38"/>
      <c r="E231" s="38"/>
      <c r="F231" s="159" t="s">
        <v>60</v>
      </c>
      <c r="G231" s="160" cm="1">
        <f t="array" ref="G231">_xlfn.IFS(F231="","",F231="No interest",0,F231="Nice to have",1,F231="Useful",2,F231="Important",3,F231="Very important",4,F231="Critical",5,F231="Show stopper",6)</f>
        <v>6</v>
      </c>
      <c r="H231" s="161">
        <f t="shared" si="5"/>
        <v>4.7656870532168391E-3</v>
      </c>
      <c r="I231" s="157" t="s">
        <v>827</v>
      </c>
      <c r="J231" s="35" t="str" cm="1">
        <f t="array" ref="J231">_xlfn.TEXTJOIN(","&amp;CHAR(10),,TEXT(Table21215[[#This Row],[12]:[22]],"0,00%"))</f>
        <v>0,00%,
0,00%,
0,00%,
0,00%</v>
      </c>
      <c r="K231" s="36"/>
      <c r="L231" s="37" t="e">
        <f>H231-(H231*((MATCH(Table21215[[#This Row],[Evaluators Response (SELECT)]],Table21215[[#This Row],[1]:[11]],0)-1)/(COUNTA(Table21215[[#This Row],[1]:[11]])-COUNTBLANK(Table21215[[#This Row],[1]:[11]])-1)))</f>
        <v>#N/A</v>
      </c>
      <c r="M231" s="38"/>
      <c r="N231" s="29" t="s">
        <v>828</v>
      </c>
      <c r="O231" s="29" t="s">
        <v>829</v>
      </c>
      <c r="P231" s="29" t="s">
        <v>830</v>
      </c>
      <c r="Q231" s="29" t="str" cm="1">
        <f t="array" ref="Q231">IFERROR(INDEX(_xlfn.UNIQUE(TRIM(_xlfn.TEXTSPLIT(Table21215[[#This Row],[Selection Options]:[Selection Options]],","))),,Q$11),"")</f>
        <v xml:space="preserve">
 0%: Not currently supported</v>
      </c>
      <c r="R231" s="29" t="str" cm="1">
        <f t="array" ref="R231">IFERROR(INDEX(_xlfn.UNIQUE(TRIM(_xlfn.TEXTSPLIT(Table21215[[#This Row],[Selection Options]:[Selection Options]],","))),,R$11),"")</f>
        <v/>
      </c>
      <c r="S231" s="29" t="str" cm="1">
        <f t="array" ref="S231">IFERROR(INDEX(_xlfn.UNIQUE(TRIM(_xlfn.TEXTSPLIT(Table21215[[#This Row],[Selection Options]:[Selection Options]],","))),,S$11),"")</f>
        <v/>
      </c>
      <c r="T231" s="29" t="str" cm="1">
        <f t="array" ref="T231">IFERROR(INDEX(_xlfn.UNIQUE(TRIM(_xlfn.TEXTSPLIT(Table21215[[#This Row],[Selection Options]:[Selection Options]],","))),,T$11),"")</f>
        <v/>
      </c>
      <c r="U231" s="29" t="str" cm="1">
        <f t="array" ref="U231">IFERROR(INDEX(_xlfn.UNIQUE(TRIM(_xlfn.TEXTSPLIT(Table21215[[#This Row],[Selection Options]:[Selection Options]],","))),,U$11),"")</f>
        <v/>
      </c>
      <c r="V231" s="29" t="str" cm="1">
        <f t="array" ref="V231">IFERROR(INDEX(_xlfn.UNIQUE(TRIM(_xlfn.TEXTSPLIT(Table21215[[#This Row],[Selection Options]:[Selection Options]],","))),,V$11),"")</f>
        <v/>
      </c>
      <c r="W231" s="29" t="str" cm="1">
        <f t="array" ref="W231">IFERROR(INDEX(_xlfn.UNIQUE(TRIM(_xlfn.TEXTSPLIT(Table21215[[#This Row],[Selection Options]:[Selection Options]],","))),,W$11),"")</f>
        <v/>
      </c>
      <c r="X231" s="29" t="str" cm="1">
        <f t="array" ref="X231">IFERROR(INDEX(_xlfn.UNIQUE(TRIM(_xlfn.TEXTSPLIT(Table21215[[#This Row],[Selection Options]:[Selection Options]],","))),,X$11),"")</f>
        <v/>
      </c>
      <c r="Y231" s="30" cm="1">
        <f t="array" ref="Y231">IF(Table21215[[#This Row],[1]]="","",Table21215[[#This Row],[Weight]:[Weight]]-(Table21215[[#This Row],[Weight]:[Weight]]*((_xlfn.XMATCH(Table21215[[#This Row],[1]],Table21215[[#This Row],[1]:[11]],0))-1)/(COUNTA(Table21215[[#This Row],[1]:[11]])-COUNTBLANK(Table21215[[#This Row],[1]:[11]])-1)))</f>
        <v>4.7656870532168391E-3</v>
      </c>
      <c r="Z231" s="30" cm="1">
        <f t="array" ref="Z231">IF(Table21215[[#This Row],[2]]="","",Table21215[[#This Row],[Weight]:[Weight]]-(Table21215[[#This Row],[Weight]:[Weight]]*((_xlfn.XMATCH(Table21215[[#This Row],[2]],Table21215[[#This Row],[1]:[11]],0))-1)/(COUNTA(Table21215[[#This Row],[1]:[11]])-COUNTBLANK(Table21215[[#This Row],[1]:[11]])-1)))</f>
        <v>3.1771247021445594E-3</v>
      </c>
      <c r="AA231" s="30" cm="1">
        <f t="array" ref="AA231">IF(Table21215[[#This Row],[3]]="","",Table21215[[#This Row],[Weight]:[Weight]]-(Table21215[[#This Row],[Weight]:[Weight]]*((_xlfn.XMATCH(Table21215[[#This Row],[3]],Table21215[[#This Row],[1]:[11]],0))-1)/(COUNTA(Table21215[[#This Row],[1]:[11]])-COUNTBLANK(Table21215[[#This Row],[1]:[11]])-1)))</f>
        <v>1.5885623510722797E-3</v>
      </c>
      <c r="AB231" s="30" cm="1">
        <f t="array" ref="AB231">IF(Table21215[[#This Row],[4]]="","",Table21215[[#This Row],[Weight]:[Weight]]-(Table21215[[#This Row],[Weight]:[Weight]]*((_xlfn.XMATCH(Table21215[[#This Row],[4]],Table21215[[#This Row],[1]:[11]],0))-1)/(COUNTA(Table21215[[#This Row],[1]:[11]])-COUNTBLANK(Table21215[[#This Row],[1]:[11]])-1)))</f>
        <v>0</v>
      </c>
      <c r="AC231" s="30" t="str" cm="1">
        <f t="array" ref="AC231">IF(Table21215[[#This Row],[5]]="","",Table21215[[#This Row],[Weight]:[Weight]]-(Table21215[[#This Row],[Weight]:[Weight]]*((_xlfn.XMATCH(Table21215[[#This Row],[5]],Table21215[[#This Row],[1]:[11]],0))-1)/(COUNTA(Table21215[[#This Row],[1]:[11]])-COUNTBLANK(Table21215[[#This Row],[1]:[11]])-1)))</f>
        <v/>
      </c>
      <c r="AD231" s="30" t="str" cm="1">
        <f t="array" ref="AD231">IF(Table21215[[#This Row],[6]]="","",Table21215[[#This Row],[Weight]:[Weight]]-(Table21215[[#This Row],[Weight]:[Weight]]*((_xlfn.XMATCH(Table21215[[#This Row],[6]],Table21215[[#This Row],[1]:[11]],0))-1)/(COUNTA(Table21215[[#This Row],[1]:[11]])-COUNTBLANK(Table21215[[#This Row],[1]:[11]])-1)))</f>
        <v/>
      </c>
      <c r="AE231" s="30" t="str" cm="1">
        <f t="array" ref="AE231">IF(Table21215[[#This Row],[7]]="","",Table21215[[#This Row],[Weight]:[Weight]]-(Table21215[[#This Row],[Weight]:[Weight]]*((_xlfn.XMATCH(Table21215[[#This Row],[7]],Table21215[[#This Row],[1]:[11]],0))-1)/(COUNTA(Table21215[[#This Row],[1]:[11]])-COUNTBLANK(Table21215[[#This Row],[1]:[11]])-1)))</f>
        <v/>
      </c>
      <c r="AF231" s="30" t="str" cm="1">
        <f t="array" ref="AF231">IF(Table21215[[#This Row],[8]]="","",Table21215[[#This Row],[Weight]:[Weight]]-(Table21215[[#This Row],[Weight]:[Weight]]*((_xlfn.XMATCH(Table21215[[#This Row],[8]],Table21215[[#This Row],[1]:[11]],0))-1)/(COUNTA(Table21215[[#This Row],[1]:[11]])-COUNTBLANK(Table21215[[#This Row],[1]:[11]])-1)))</f>
        <v/>
      </c>
      <c r="AG231" s="30" t="str" cm="1">
        <f t="array" ref="AG231">IF(Table21215[[#This Row],[9]]="","",Table21215[[#This Row],[Weight]:[Weight]]-(Table21215[[#This Row],[Weight]:[Weight]]*((_xlfn.XMATCH(Table21215[[#This Row],[9]],Table21215[[#This Row],[1]:[11]],0))-1)/(COUNTA(Table21215[[#This Row],[1]:[11]])-COUNTBLANK(Table21215[[#This Row],[1]:[11]])-1)))</f>
        <v/>
      </c>
      <c r="AH231" s="30" t="str" cm="1">
        <f t="array" ref="AH231">IF(Table21215[[#This Row],[10]]="","",Table21215[[#This Row],[Weight]:[Weight]]-(Table21215[[#This Row],[Weight]:[Weight]]*((_xlfn.XMATCH(Table21215[[#This Row],[10]],Table21215[[#This Row],[1]:[11]],0))-1)/(COUNTA(Table21215[[#This Row],[1]:[11]])-COUNTBLANK(Table21215[[#This Row],[1]:[11]])-1)))</f>
        <v/>
      </c>
      <c r="AI231" s="30" t="str" cm="1">
        <f t="array" ref="AI231">IF(Table21215[[#This Row],[11]]="","",Table21215[[#This Row],[Weight]:[Weight]]-(Table21215[[#This Row],[Weight]:[Weight]]*((_xlfn.XMATCH(Table21215[[#This Row],[11]],Table21215[[#This Row],[1]:[11]],0))-1)/(COUNTA(Table21215[[#This Row],[1]:[11]])-COUNTBLANK(Table21215[[#This Row],[1]:[11]])-1)))</f>
        <v/>
      </c>
    </row>
    <row r="232" spans="1:35" ht="108" x14ac:dyDescent="0.2">
      <c r="A232" s="20">
        <v>220</v>
      </c>
      <c r="B232" s="165" t="s">
        <v>1049</v>
      </c>
      <c r="C232" s="21" t="s">
        <v>826</v>
      </c>
      <c r="D232" s="38"/>
      <c r="E232" s="38"/>
      <c r="F232" s="159" t="s">
        <v>183</v>
      </c>
      <c r="G232" s="160" cm="1">
        <f t="array" ref="G232">_xlfn.IFS(F232="","",F232="No interest",0,F232="Nice to have",1,F232="Useful",2,F232="Important",3,F232="Very important",4,F232="Critical",5,F232="Show stopper",6)</f>
        <v>4</v>
      </c>
      <c r="H232" s="161">
        <f t="shared" si="5"/>
        <v>3.177124702144559E-3</v>
      </c>
      <c r="I232" s="157" t="s">
        <v>827</v>
      </c>
      <c r="J232" s="35" t="str" cm="1">
        <f t="array" ref="J232">_xlfn.TEXTJOIN(","&amp;CHAR(10),,TEXT(Table21215[[#This Row],[12]:[22]],"0,00%"))</f>
        <v>0,00%,
0,00%,
0,00%,
0,00%</v>
      </c>
      <c r="K232" s="36"/>
      <c r="L232" s="37" t="e">
        <f>H232-(H232*((MATCH(Table21215[[#This Row],[Evaluators Response (SELECT)]],Table21215[[#This Row],[1]:[11]],0)-1)/(COUNTA(Table21215[[#This Row],[1]:[11]])-COUNTBLANK(Table21215[[#This Row],[1]:[11]])-1)))</f>
        <v>#N/A</v>
      </c>
      <c r="M232" s="38"/>
      <c r="N232" s="29" t="s">
        <v>828</v>
      </c>
      <c r="O232" s="29" t="s">
        <v>829</v>
      </c>
      <c r="P232" s="29" t="s">
        <v>830</v>
      </c>
      <c r="Q232" s="29" t="str" cm="1">
        <f t="array" ref="Q232">IFERROR(INDEX(_xlfn.UNIQUE(TRIM(_xlfn.TEXTSPLIT(Table21215[[#This Row],[Selection Options]:[Selection Options]],","))),,Q$11),"")</f>
        <v xml:space="preserve">
 0%: Not currently supported</v>
      </c>
      <c r="R232" s="29" t="str" cm="1">
        <f t="array" ref="R232">IFERROR(INDEX(_xlfn.UNIQUE(TRIM(_xlfn.TEXTSPLIT(Table21215[[#This Row],[Selection Options]:[Selection Options]],","))),,R$11),"")</f>
        <v/>
      </c>
      <c r="S232" s="29" t="str" cm="1">
        <f t="array" ref="S232">IFERROR(INDEX(_xlfn.UNIQUE(TRIM(_xlfn.TEXTSPLIT(Table21215[[#This Row],[Selection Options]:[Selection Options]],","))),,S$11),"")</f>
        <v/>
      </c>
      <c r="T232" s="29" t="str" cm="1">
        <f t="array" ref="T232">IFERROR(INDEX(_xlfn.UNIQUE(TRIM(_xlfn.TEXTSPLIT(Table21215[[#This Row],[Selection Options]:[Selection Options]],","))),,T$11),"")</f>
        <v/>
      </c>
      <c r="U232" s="29" t="str" cm="1">
        <f t="array" ref="U232">IFERROR(INDEX(_xlfn.UNIQUE(TRIM(_xlfn.TEXTSPLIT(Table21215[[#This Row],[Selection Options]:[Selection Options]],","))),,U$11),"")</f>
        <v/>
      </c>
      <c r="V232" s="29" t="str" cm="1">
        <f t="array" ref="V232">IFERROR(INDEX(_xlfn.UNIQUE(TRIM(_xlfn.TEXTSPLIT(Table21215[[#This Row],[Selection Options]:[Selection Options]],","))),,V$11),"")</f>
        <v/>
      </c>
      <c r="W232" s="29" t="str" cm="1">
        <f t="array" ref="W232">IFERROR(INDEX(_xlfn.UNIQUE(TRIM(_xlfn.TEXTSPLIT(Table21215[[#This Row],[Selection Options]:[Selection Options]],","))),,W$11),"")</f>
        <v/>
      </c>
      <c r="X232" s="29" t="str" cm="1">
        <f t="array" ref="X232">IFERROR(INDEX(_xlfn.UNIQUE(TRIM(_xlfn.TEXTSPLIT(Table21215[[#This Row],[Selection Options]:[Selection Options]],","))),,X$11),"")</f>
        <v/>
      </c>
      <c r="Y232" s="30" cm="1">
        <f t="array" ref="Y232">IF(Table21215[[#This Row],[1]]="","",Table21215[[#This Row],[Weight]:[Weight]]-(Table21215[[#This Row],[Weight]:[Weight]]*((_xlfn.XMATCH(Table21215[[#This Row],[1]],Table21215[[#This Row],[1]:[11]],0))-1)/(COUNTA(Table21215[[#This Row],[1]:[11]])-COUNTBLANK(Table21215[[#This Row],[1]:[11]])-1)))</f>
        <v>3.177124702144559E-3</v>
      </c>
      <c r="Z232" s="30" cm="1">
        <f t="array" ref="Z232">IF(Table21215[[#This Row],[2]]="","",Table21215[[#This Row],[Weight]:[Weight]]-(Table21215[[#This Row],[Weight]:[Weight]]*((_xlfn.XMATCH(Table21215[[#This Row],[2]],Table21215[[#This Row],[1]:[11]],0))-1)/(COUNTA(Table21215[[#This Row],[1]:[11]])-COUNTBLANK(Table21215[[#This Row],[1]:[11]])-1)))</f>
        <v>2.118083134763039E-3</v>
      </c>
      <c r="AA232" s="30" cm="1">
        <f t="array" ref="AA232">IF(Table21215[[#This Row],[3]]="","",Table21215[[#This Row],[Weight]:[Weight]]-(Table21215[[#This Row],[Weight]:[Weight]]*((_xlfn.XMATCH(Table21215[[#This Row],[3]],Table21215[[#This Row],[1]:[11]],0))-1)/(COUNTA(Table21215[[#This Row],[1]:[11]])-COUNTBLANK(Table21215[[#This Row],[1]:[11]])-1)))</f>
        <v>1.0590415673815195E-3</v>
      </c>
      <c r="AB232" s="30" cm="1">
        <f t="array" ref="AB232">IF(Table21215[[#This Row],[4]]="","",Table21215[[#This Row],[Weight]:[Weight]]-(Table21215[[#This Row],[Weight]:[Weight]]*((_xlfn.XMATCH(Table21215[[#This Row],[4]],Table21215[[#This Row],[1]:[11]],0))-1)/(COUNTA(Table21215[[#This Row],[1]:[11]])-COUNTBLANK(Table21215[[#This Row],[1]:[11]])-1)))</f>
        <v>0</v>
      </c>
      <c r="AC232" s="30" t="str" cm="1">
        <f t="array" ref="AC232">IF(Table21215[[#This Row],[5]]="","",Table21215[[#This Row],[Weight]:[Weight]]-(Table21215[[#This Row],[Weight]:[Weight]]*((_xlfn.XMATCH(Table21215[[#This Row],[5]],Table21215[[#This Row],[1]:[11]],0))-1)/(COUNTA(Table21215[[#This Row],[1]:[11]])-COUNTBLANK(Table21215[[#This Row],[1]:[11]])-1)))</f>
        <v/>
      </c>
      <c r="AD232" s="30" t="str" cm="1">
        <f t="array" ref="AD232">IF(Table21215[[#This Row],[6]]="","",Table21215[[#This Row],[Weight]:[Weight]]-(Table21215[[#This Row],[Weight]:[Weight]]*((_xlfn.XMATCH(Table21215[[#This Row],[6]],Table21215[[#This Row],[1]:[11]],0))-1)/(COUNTA(Table21215[[#This Row],[1]:[11]])-COUNTBLANK(Table21215[[#This Row],[1]:[11]])-1)))</f>
        <v/>
      </c>
      <c r="AE232" s="30" t="str" cm="1">
        <f t="array" ref="AE232">IF(Table21215[[#This Row],[7]]="","",Table21215[[#This Row],[Weight]:[Weight]]-(Table21215[[#This Row],[Weight]:[Weight]]*((_xlfn.XMATCH(Table21215[[#This Row],[7]],Table21215[[#This Row],[1]:[11]],0))-1)/(COUNTA(Table21215[[#This Row],[1]:[11]])-COUNTBLANK(Table21215[[#This Row],[1]:[11]])-1)))</f>
        <v/>
      </c>
      <c r="AF232" s="30" t="str" cm="1">
        <f t="array" ref="AF232">IF(Table21215[[#This Row],[8]]="","",Table21215[[#This Row],[Weight]:[Weight]]-(Table21215[[#This Row],[Weight]:[Weight]]*((_xlfn.XMATCH(Table21215[[#This Row],[8]],Table21215[[#This Row],[1]:[11]],0))-1)/(COUNTA(Table21215[[#This Row],[1]:[11]])-COUNTBLANK(Table21215[[#This Row],[1]:[11]])-1)))</f>
        <v/>
      </c>
      <c r="AG232" s="30" t="str" cm="1">
        <f t="array" ref="AG232">IF(Table21215[[#This Row],[9]]="","",Table21215[[#This Row],[Weight]:[Weight]]-(Table21215[[#This Row],[Weight]:[Weight]]*((_xlfn.XMATCH(Table21215[[#This Row],[9]],Table21215[[#This Row],[1]:[11]],0))-1)/(COUNTA(Table21215[[#This Row],[1]:[11]])-COUNTBLANK(Table21215[[#This Row],[1]:[11]])-1)))</f>
        <v/>
      </c>
      <c r="AH232" s="30" t="str" cm="1">
        <f t="array" ref="AH232">IF(Table21215[[#This Row],[10]]="","",Table21215[[#This Row],[Weight]:[Weight]]-(Table21215[[#This Row],[Weight]:[Weight]]*((_xlfn.XMATCH(Table21215[[#This Row],[10]],Table21215[[#This Row],[1]:[11]],0))-1)/(COUNTA(Table21215[[#This Row],[1]:[11]])-COUNTBLANK(Table21215[[#This Row],[1]:[11]])-1)))</f>
        <v/>
      </c>
      <c r="AI232" s="30" t="str" cm="1">
        <f t="array" ref="AI232">IF(Table21215[[#This Row],[11]]="","",Table21215[[#This Row],[Weight]:[Weight]]-(Table21215[[#This Row],[Weight]:[Weight]]*((_xlfn.XMATCH(Table21215[[#This Row],[11]],Table21215[[#This Row],[1]:[11]],0))-1)/(COUNTA(Table21215[[#This Row],[1]:[11]])-COUNTBLANK(Table21215[[#This Row],[1]:[11]])-1)))</f>
        <v/>
      </c>
    </row>
    <row r="233" spans="1:35" ht="108" x14ac:dyDescent="0.2">
      <c r="A233" s="20">
        <v>221</v>
      </c>
      <c r="B233" s="165" t="s">
        <v>1050</v>
      </c>
      <c r="C233" s="21" t="s">
        <v>826</v>
      </c>
      <c r="D233" s="38"/>
      <c r="E233" s="38"/>
      <c r="F233" s="159" t="s">
        <v>60</v>
      </c>
      <c r="G233" s="160" cm="1">
        <f t="array" ref="G233">_xlfn.IFS(F233="","",F233="No interest",0,F233="Nice to have",1,F233="Useful",2,F233="Important",3,F233="Very important",4,F233="Critical",5,F233="Show stopper",6)</f>
        <v>6</v>
      </c>
      <c r="H233" s="161">
        <f t="shared" si="5"/>
        <v>4.7656870532168391E-3</v>
      </c>
      <c r="I233" s="157" t="s">
        <v>827</v>
      </c>
      <c r="J233" s="35" t="str" cm="1">
        <f t="array" ref="J233">_xlfn.TEXTJOIN(","&amp;CHAR(10),,TEXT(Table21215[[#This Row],[12]:[22]],"0,00%"))</f>
        <v>0,00%,
0,00%,
0,00%,
0,00%</v>
      </c>
      <c r="K233" s="36"/>
      <c r="L233" s="37" t="e">
        <f>H233-(H233*((MATCH(Table21215[[#This Row],[Evaluators Response (SELECT)]],Table21215[[#This Row],[1]:[11]],0)-1)/(COUNTA(Table21215[[#This Row],[1]:[11]])-COUNTBLANK(Table21215[[#This Row],[1]:[11]])-1)))</f>
        <v>#N/A</v>
      </c>
      <c r="M233" s="38"/>
      <c r="N233" s="29" t="s">
        <v>828</v>
      </c>
      <c r="O233" s="29" t="s">
        <v>829</v>
      </c>
      <c r="P233" s="29" t="s">
        <v>830</v>
      </c>
      <c r="Q233" s="29" t="str" cm="1">
        <f t="array" ref="Q233">IFERROR(INDEX(_xlfn.UNIQUE(TRIM(_xlfn.TEXTSPLIT(Table21215[[#This Row],[Selection Options]:[Selection Options]],","))),,Q$11),"")</f>
        <v xml:space="preserve">
 0%: Not currently supported</v>
      </c>
      <c r="R233" s="29" t="str" cm="1">
        <f t="array" ref="R233">IFERROR(INDEX(_xlfn.UNIQUE(TRIM(_xlfn.TEXTSPLIT(Table21215[[#This Row],[Selection Options]:[Selection Options]],","))),,R$11),"")</f>
        <v/>
      </c>
      <c r="S233" s="29" t="str" cm="1">
        <f t="array" ref="S233">IFERROR(INDEX(_xlfn.UNIQUE(TRIM(_xlfn.TEXTSPLIT(Table21215[[#This Row],[Selection Options]:[Selection Options]],","))),,S$11),"")</f>
        <v/>
      </c>
      <c r="T233" s="29" t="str" cm="1">
        <f t="array" ref="T233">IFERROR(INDEX(_xlfn.UNIQUE(TRIM(_xlfn.TEXTSPLIT(Table21215[[#This Row],[Selection Options]:[Selection Options]],","))),,T$11),"")</f>
        <v/>
      </c>
      <c r="U233" s="29" t="str" cm="1">
        <f t="array" ref="U233">IFERROR(INDEX(_xlfn.UNIQUE(TRIM(_xlfn.TEXTSPLIT(Table21215[[#This Row],[Selection Options]:[Selection Options]],","))),,U$11),"")</f>
        <v/>
      </c>
      <c r="V233" s="29" t="str" cm="1">
        <f t="array" ref="V233">IFERROR(INDEX(_xlfn.UNIQUE(TRIM(_xlfn.TEXTSPLIT(Table21215[[#This Row],[Selection Options]:[Selection Options]],","))),,V$11),"")</f>
        <v/>
      </c>
      <c r="W233" s="29" t="str" cm="1">
        <f t="array" ref="W233">IFERROR(INDEX(_xlfn.UNIQUE(TRIM(_xlfn.TEXTSPLIT(Table21215[[#This Row],[Selection Options]:[Selection Options]],","))),,W$11),"")</f>
        <v/>
      </c>
      <c r="X233" s="29" t="str" cm="1">
        <f t="array" ref="X233">IFERROR(INDEX(_xlfn.UNIQUE(TRIM(_xlfn.TEXTSPLIT(Table21215[[#This Row],[Selection Options]:[Selection Options]],","))),,X$11),"")</f>
        <v/>
      </c>
      <c r="Y233" s="30" cm="1">
        <f t="array" ref="Y233">IF(Table21215[[#This Row],[1]]="","",Table21215[[#This Row],[Weight]:[Weight]]-(Table21215[[#This Row],[Weight]:[Weight]]*((_xlfn.XMATCH(Table21215[[#This Row],[1]],Table21215[[#This Row],[1]:[11]],0))-1)/(COUNTA(Table21215[[#This Row],[1]:[11]])-COUNTBLANK(Table21215[[#This Row],[1]:[11]])-1)))</f>
        <v>4.7656870532168391E-3</v>
      </c>
      <c r="Z233" s="30" cm="1">
        <f t="array" ref="Z233">IF(Table21215[[#This Row],[2]]="","",Table21215[[#This Row],[Weight]:[Weight]]-(Table21215[[#This Row],[Weight]:[Weight]]*((_xlfn.XMATCH(Table21215[[#This Row],[2]],Table21215[[#This Row],[1]:[11]],0))-1)/(COUNTA(Table21215[[#This Row],[1]:[11]])-COUNTBLANK(Table21215[[#This Row],[1]:[11]])-1)))</f>
        <v>3.1771247021445594E-3</v>
      </c>
      <c r="AA233" s="30" cm="1">
        <f t="array" ref="AA233">IF(Table21215[[#This Row],[3]]="","",Table21215[[#This Row],[Weight]:[Weight]]-(Table21215[[#This Row],[Weight]:[Weight]]*((_xlfn.XMATCH(Table21215[[#This Row],[3]],Table21215[[#This Row],[1]:[11]],0))-1)/(COUNTA(Table21215[[#This Row],[1]:[11]])-COUNTBLANK(Table21215[[#This Row],[1]:[11]])-1)))</f>
        <v>1.5885623510722797E-3</v>
      </c>
      <c r="AB233" s="30" cm="1">
        <f t="array" ref="AB233">IF(Table21215[[#This Row],[4]]="","",Table21215[[#This Row],[Weight]:[Weight]]-(Table21215[[#This Row],[Weight]:[Weight]]*((_xlfn.XMATCH(Table21215[[#This Row],[4]],Table21215[[#This Row],[1]:[11]],0))-1)/(COUNTA(Table21215[[#This Row],[1]:[11]])-COUNTBLANK(Table21215[[#This Row],[1]:[11]])-1)))</f>
        <v>0</v>
      </c>
      <c r="AC233" s="30" t="str" cm="1">
        <f t="array" ref="AC233">IF(Table21215[[#This Row],[5]]="","",Table21215[[#This Row],[Weight]:[Weight]]-(Table21215[[#This Row],[Weight]:[Weight]]*((_xlfn.XMATCH(Table21215[[#This Row],[5]],Table21215[[#This Row],[1]:[11]],0))-1)/(COUNTA(Table21215[[#This Row],[1]:[11]])-COUNTBLANK(Table21215[[#This Row],[1]:[11]])-1)))</f>
        <v/>
      </c>
      <c r="AD233" s="30" t="str" cm="1">
        <f t="array" ref="AD233">IF(Table21215[[#This Row],[6]]="","",Table21215[[#This Row],[Weight]:[Weight]]-(Table21215[[#This Row],[Weight]:[Weight]]*((_xlfn.XMATCH(Table21215[[#This Row],[6]],Table21215[[#This Row],[1]:[11]],0))-1)/(COUNTA(Table21215[[#This Row],[1]:[11]])-COUNTBLANK(Table21215[[#This Row],[1]:[11]])-1)))</f>
        <v/>
      </c>
      <c r="AE233" s="30" t="str" cm="1">
        <f t="array" ref="AE233">IF(Table21215[[#This Row],[7]]="","",Table21215[[#This Row],[Weight]:[Weight]]-(Table21215[[#This Row],[Weight]:[Weight]]*((_xlfn.XMATCH(Table21215[[#This Row],[7]],Table21215[[#This Row],[1]:[11]],0))-1)/(COUNTA(Table21215[[#This Row],[1]:[11]])-COUNTBLANK(Table21215[[#This Row],[1]:[11]])-1)))</f>
        <v/>
      </c>
      <c r="AF233" s="30" t="str" cm="1">
        <f t="array" ref="AF233">IF(Table21215[[#This Row],[8]]="","",Table21215[[#This Row],[Weight]:[Weight]]-(Table21215[[#This Row],[Weight]:[Weight]]*((_xlfn.XMATCH(Table21215[[#This Row],[8]],Table21215[[#This Row],[1]:[11]],0))-1)/(COUNTA(Table21215[[#This Row],[1]:[11]])-COUNTBLANK(Table21215[[#This Row],[1]:[11]])-1)))</f>
        <v/>
      </c>
      <c r="AG233" s="30" t="str" cm="1">
        <f t="array" ref="AG233">IF(Table21215[[#This Row],[9]]="","",Table21215[[#This Row],[Weight]:[Weight]]-(Table21215[[#This Row],[Weight]:[Weight]]*((_xlfn.XMATCH(Table21215[[#This Row],[9]],Table21215[[#This Row],[1]:[11]],0))-1)/(COUNTA(Table21215[[#This Row],[1]:[11]])-COUNTBLANK(Table21215[[#This Row],[1]:[11]])-1)))</f>
        <v/>
      </c>
      <c r="AH233" s="30" t="str" cm="1">
        <f t="array" ref="AH233">IF(Table21215[[#This Row],[10]]="","",Table21215[[#This Row],[Weight]:[Weight]]-(Table21215[[#This Row],[Weight]:[Weight]]*((_xlfn.XMATCH(Table21215[[#This Row],[10]],Table21215[[#This Row],[1]:[11]],0))-1)/(COUNTA(Table21215[[#This Row],[1]:[11]])-COUNTBLANK(Table21215[[#This Row],[1]:[11]])-1)))</f>
        <v/>
      </c>
      <c r="AI233" s="30" t="str" cm="1">
        <f t="array" ref="AI233">IF(Table21215[[#This Row],[11]]="","",Table21215[[#This Row],[Weight]:[Weight]]-(Table21215[[#This Row],[Weight]:[Weight]]*((_xlfn.XMATCH(Table21215[[#This Row],[11]],Table21215[[#This Row],[1]:[11]],0))-1)/(COUNTA(Table21215[[#This Row],[1]:[11]])-COUNTBLANK(Table21215[[#This Row],[1]:[11]])-1)))</f>
        <v/>
      </c>
    </row>
    <row r="234" spans="1:35" ht="108" x14ac:dyDescent="0.2">
      <c r="A234" s="20">
        <v>222</v>
      </c>
      <c r="B234" s="165" t="s">
        <v>1051</v>
      </c>
      <c r="C234" s="21" t="s">
        <v>826</v>
      </c>
      <c r="D234" s="38"/>
      <c r="E234" s="38"/>
      <c r="F234" s="159" t="s">
        <v>60</v>
      </c>
      <c r="G234" s="160" cm="1">
        <f t="array" ref="G234">_xlfn.IFS(F234="","",F234="No interest",0,F234="Nice to have",1,F234="Useful",2,F234="Important",3,F234="Very important",4,F234="Critical",5,F234="Show stopper",6)</f>
        <v>6</v>
      </c>
      <c r="H234" s="161">
        <f t="shared" si="5"/>
        <v>4.7656870532168391E-3</v>
      </c>
      <c r="I234" s="157" t="s">
        <v>827</v>
      </c>
      <c r="J234" s="35" t="str" cm="1">
        <f t="array" ref="J234">_xlfn.TEXTJOIN(","&amp;CHAR(10),,TEXT(Table21215[[#This Row],[12]:[22]],"0,00%"))</f>
        <v>0,00%,
0,00%,
0,00%,
0,00%</v>
      </c>
      <c r="K234" s="36"/>
      <c r="L234" s="37" t="e">
        <f>H234-(H234*((MATCH(Table21215[[#This Row],[Evaluators Response (SELECT)]],Table21215[[#This Row],[1]:[11]],0)-1)/(COUNTA(Table21215[[#This Row],[1]:[11]])-COUNTBLANK(Table21215[[#This Row],[1]:[11]])-1)))</f>
        <v>#N/A</v>
      </c>
      <c r="M234" s="38"/>
      <c r="N234" s="29" t="s">
        <v>828</v>
      </c>
      <c r="O234" s="29" t="s">
        <v>829</v>
      </c>
      <c r="P234" s="29" t="s">
        <v>830</v>
      </c>
      <c r="Q234" s="29" t="str" cm="1">
        <f t="array" ref="Q234">IFERROR(INDEX(_xlfn.UNIQUE(TRIM(_xlfn.TEXTSPLIT(Table21215[[#This Row],[Selection Options]:[Selection Options]],","))),,Q$11),"")</f>
        <v xml:space="preserve">
 0%: Not currently supported</v>
      </c>
      <c r="R234" s="29" t="str" cm="1">
        <f t="array" ref="R234">IFERROR(INDEX(_xlfn.UNIQUE(TRIM(_xlfn.TEXTSPLIT(Table21215[[#This Row],[Selection Options]:[Selection Options]],","))),,R$11),"")</f>
        <v/>
      </c>
      <c r="S234" s="29" t="str" cm="1">
        <f t="array" ref="S234">IFERROR(INDEX(_xlfn.UNIQUE(TRIM(_xlfn.TEXTSPLIT(Table21215[[#This Row],[Selection Options]:[Selection Options]],","))),,S$11),"")</f>
        <v/>
      </c>
      <c r="T234" s="29" t="str" cm="1">
        <f t="array" ref="T234">IFERROR(INDEX(_xlfn.UNIQUE(TRIM(_xlfn.TEXTSPLIT(Table21215[[#This Row],[Selection Options]:[Selection Options]],","))),,T$11),"")</f>
        <v/>
      </c>
      <c r="U234" s="29" t="str" cm="1">
        <f t="array" ref="U234">IFERROR(INDEX(_xlfn.UNIQUE(TRIM(_xlfn.TEXTSPLIT(Table21215[[#This Row],[Selection Options]:[Selection Options]],","))),,U$11),"")</f>
        <v/>
      </c>
      <c r="V234" s="29" t="str" cm="1">
        <f t="array" ref="V234">IFERROR(INDEX(_xlfn.UNIQUE(TRIM(_xlfn.TEXTSPLIT(Table21215[[#This Row],[Selection Options]:[Selection Options]],","))),,V$11),"")</f>
        <v/>
      </c>
      <c r="W234" s="29" t="str" cm="1">
        <f t="array" ref="W234">IFERROR(INDEX(_xlfn.UNIQUE(TRIM(_xlfn.TEXTSPLIT(Table21215[[#This Row],[Selection Options]:[Selection Options]],","))),,W$11),"")</f>
        <v/>
      </c>
      <c r="X234" s="29" t="str" cm="1">
        <f t="array" ref="X234">IFERROR(INDEX(_xlfn.UNIQUE(TRIM(_xlfn.TEXTSPLIT(Table21215[[#This Row],[Selection Options]:[Selection Options]],","))),,X$11),"")</f>
        <v/>
      </c>
      <c r="Y234" s="30" cm="1">
        <f t="array" ref="Y234">IF(Table21215[[#This Row],[1]]="","",Table21215[[#This Row],[Weight]:[Weight]]-(Table21215[[#This Row],[Weight]:[Weight]]*((_xlfn.XMATCH(Table21215[[#This Row],[1]],Table21215[[#This Row],[1]:[11]],0))-1)/(COUNTA(Table21215[[#This Row],[1]:[11]])-COUNTBLANK(Table21215[[#This Row],[1]:[11]])-1)))</f>
        <v>4.7656870532168391E-3</v>
      </c>
      <c r="Z234" s="30" cm="1">
        <f t="array" ref="Z234">IF(Table21215[[#This Row],[2]]="","",Table21215[[#This Row],[Weight]:[Weight]]-(Table21215[[#This Row],[Weight]:[Weight]]*((_xlfn.XMATCH(Table21215[[#This Row],[2]],Table21215[[#This Row],[1]:[11]],0))-1)/(COUNTA(Table21215[[#This Row],[1]:[11]])-COUNTBLANK(Table21215[[#This Row],[1]:[11]])-1)))</f>
        <v>3.1771247021445594E-3</v>
      </c>
      <c r="AA234" s="30" cm="1">
        <f t="array" ref="AA234">IF(Table21215[[#This Row],[3]]="","",Table21215[[#This Row],[Weight]:[Weight]]-(Table21215[[#This Row],[Weight]:[Weight]]*((_xlfn.XMATCH(Table21215[[#This Row],[3]],Table21215[[#This Row],[1]:[11]],0))-1)/(COUNTA(Table21215[[#This Row],[1]:[11]])-COUNTBLANK(Table21215[[#This Row],[1]:[11]])-1)))</f>
        <v>1.5885623510722797E-3</v>
      </c>
      <c r="AB234" s="30" cm="1">
        <f t="array" ref="AB234">IF(Table21215[[#This Row],[4]]="","",Table21215[[#This Row],[Weight]:[Weight]]-(Table21215[[#This Row],[Weight]:[Weight]]*((_xlfn.XMATCH(Table21215[[#This Row],[4]],Table21215[[#This Row],[1]:[11]],0))-1)/(COUNTA(Table21215[[#This Row],[1]:[11]])-COUNTBLANK(Table21215[[#This Row],[1]:[11]])-1)))</f>
        <v>0</v>
      </c>
      <c r="AC234" s="30" t="str" cm="1">
        <f t="array" ref="AC234">IF(Table21215[[#This Row],[5]]="","",Table21215[[#This Row],[Weight]:[Weight]]-(Table21215[[#This Row],[Weight]:[Weight]]*((_xlfn.XMATCH(Table21215[[#This Row],[5]],Table21215[[#This Row],[1]:[11]],0))-1)/(COUNTA(Table21215[[#This Row],[1]:[11]])-COUNTBLANK(Table21215[[#This Row],[1]:[11]])-1)))</f>
        <v/>
      </c>
      <c r="AD234" s="30" t="str" cm="1">
        <f t="array" ref="AD234">IF(Table21215[[#This Row],[6]]="","",Table21215[[#This Row],[Weight]:[Weight]]-(Table21215[[#This Row],[Weight]:[Weight]]*((_xlfn.XMATCH(Table21215[[#This Row],[6]],Table21215[[#This Row],[1]:[11]],0))-1)/(COUNTA(Table21215[[#This Row],[1]:[11]])-COUNTBLANK(Table21215[[#This Row],[1]:[11]])-1)))</f>
        <v/>
      </c>
      <c r="AE234" s="30" t="str" cm="1">
        <f t="array" ref="AE234">IF(Table21215[[#This Row],[7]]="","",Table21215[[#This Row],[Weight]:[Weight]]-(Table21215[[#This Row],[Weight]:[Weight]]*((_xlfn.XMATCH(Table21215[[#This Row],[7]],Table21215[[#This Row],[1]:[11]],0))-1)/(COUNTA(Table21215[[#This Row],[1]:[11]])-COUNTBLANK(Table21215[[#This Row],[1]:[11]])-1)))</f>
        <v/>
      </c>
      <c r="AF234" s="30" t="str" cm="1">
        <f t="array" ref="AF234">IF(Table21215[[#This Row],[8]]="","",Table21215[[#This Row],[Weight]:[Weight]]-(Table21215[[#This Row],[Weight]:[Weight]]*((_xlfn.XMATCH(Table21215[[#This Row],[8]],Table21215[[#This Row],[1]:[11]],0))-1)/(COUNTA(Table21215[[#This Row],[1]:[11]])-COUNTBLANK(Table21215[[#This Row],[1]:[11]])-1)))</f>
        <v/>
      </c>
      <c r="AG234" s="30" t="str" cm="1">
        <f t="array" ref="AG234">IF(Table21215[[#This Row],[9]]="","",Table21215[[#This Row],[Weight]:[Weight]]-(Table21215[[#This Row],[Weight]:[Weight]]*((_xlfn.XMATCH(Table21215[[#This Row],[9]],Table21215[[#This Row],[1]:[11]],0))-1)/(COUNTA(Table21215[[#This Row],[1]:[11]])-COUNTBLANK(Table21215[[#This Row],[1]:[11]])-1)))</f>
        <v/>
      </c>
      <c r="AH234" s="30" t="str" cm="1">
        <f t="array" ref="AH234">IF(Table21215[[#This Row],[10]]="","",Table21215[[#This Row],[Weight]:[Weight]]-(Table21215[[#This Row],[Weight]:[Weight]]*((_xlfn.XMATCH(Table21215[[#This Row],[10]],Table21215[[#This Row],[1]:[11]],0))-1)/(COUNTA(Table21215[[#This Row],[1]:[11]])-COUNTBLANK(Table21215[[#This Row],[1]:[11]])-1)))</f>
        <v/>
      </c>
      <c r="AI234" s="30" t="str" cm="1">
        <f t="array" ref="AI234">IF(Table21215[[#This Row],[11]]="","",Table21215[[#This Row],[Weight]:[Weight]]-(Table21215[[#This Row],[Weight]:[Weight]]*((_xlfn.XMATCH(Table21215[[#This Row],[11]],Table21215[[#This Row],[1]:[11]],0))-1)/(COUNTA(Table21215[[#This Row],[1]:[11]])-COUNTBLANK(Table21215[[#This Row],[1]:[11]])-1)))</f>
        <v/>
      </c>
    </row>
    <row r="235" spans="1:35" ht="108" x14ac:dyDescent="0.2">
      <c r="A235" s="20">
        <v>223</v>
      </c>
      <c r="B235" s="165" t="s">
        <v>1052</v>
      </c>
      <c r="C235" s="21" t="s">
        <v>826</v>
      </c>
      <c r="D235" s="38"/>
      <c r="E235" s="38"/>
      <c r="F235" s="159" t="s">
        <v>188</v>
      </c>
      <c r="G235" s="160" cm="1">
        <f t="array" ref="G235">_xlfn.IFS(F235="","",F235="No interest",0,F235="Nice to have",1,F235="Useful",2,F235="Important",3,F235="Very important",4,F235="Critical",5,F235="Show stopper",6)</f>
        <v>5</v>
      </c>
      <c r="H235" s="161">
        <f t="shared" si="5"/>
        <v>3.9714058776806989E-3</v>
      </c>
      <c r="I235" s="157" t="s">
        <v>827</v>
      </c>
      <c r="J235" s="35" t="str" cm="1">
        <f t="array" ref="J235">_xlfn.TEXTJOIN(","&amp;CHAR(10),,TEXT(Table21215[[#This Row],[12]:[22]],"0,00%"))</f>
        <v>0,00%,
0,00%,
0,00%,
0,00%</v>
      </c>
      <c r="K235" s="36"/>
      <c r="L235" s="37" t="e">
        <f>H235-(H235*((MATCH(Table21215[[#This Row],[Evaluators Response (SELECT)]],Table21215[[#This Row],[1]:[11]],0)-1)/(COUNTA(Table21215[[#This Row],[1]:[11]])-COUNTBLANK(Table21215[[#This Row],[1]:[11]])-1)))</f>
        <v>#N/A</v>
      </c>
      <c r="M235" s="38"/>
      <c r="N235" s="29" t="s">
        <v>828</v>
      </c>
      <c r="O235" s="29" t="s">
        <v>829</v>
      </c>
      <c r="P235" s="29" t="s">
        <v>830</v>
      </c>
      <c r="Q235" s="29" t="str" cm="1">
        <f t="array" ref="Q235">IFERROR(INDEX(_xlfn.UNIQUE(TRIM(_xlfn.TEXTSPLIT(Table21215[[#This Row],[Selection Options]:[Selection Options]],","))),,Q$11),"")</f>
        <v xml:space="preserve">
 0%: Not currently supported</v>
      </c>
      <c r="R235" s="29" t="str" cm="1">
        <f t="array" ref="R235">IFERROR(INDEX(_xlfn.UNIQUE(TRIM(_xlfn.TEXTSPLIT(Table21215[[#This Row],[Selection Options]:[Selection Options]],","))),,R$11),"")</f>
        <v/>
      </c>
      <c r="S235" s="29" t="str" cm="1">
        <f t="array" ref="S235">IFERROR(INDEX(_xlfn.UNIQUE(TRIM(_xlfn.TEXTSPLIT(Table21215[[#This Row],[Selection Options]:[Selection Options]],","))),,S$11),"")</f>
        <v/>
      </c>
      <c r="T235" s="29" t="str" cm="1">
        <f t="array" ref="T235">IFERROR(INDEX(_xlfn.UNIQUE(TRIM(_xlfn.TEXTSPLIT(Table21215[[#This Row],[Selection Options]:[Selection Options]],","))),,T$11),"")</f>
        <v/>
      </c>
      <c r="U235" s="29" t="str" cm="1">
        <f t="array" ref="U235">IFERROR(INDEX(_xlfn.UNIQUE(TRIM(_xlfn.TEXTSPLIT(Table21215[[#This Row],[Selection Options]:[Selection Options]],","))),,U$11),"")</f>
        <v/>
      </c>
      <c r="V235" s="29" t="str" cm="1">
        <f t="array" ref="V235">IFERROR(INDEX(_xlfn.UNIQUE(TRIM(_xlfn.TEXTSPLIT(Table21215[[#This Row],[Selection Options]:[Selection Options]],","))),,V$11),"")</f>
        <v/>
      </c>
      <c r="W235" s="29" t="str" cm="1">
        <f t="array" ref="W235">IFERROR(INDEX(_xlfn.UNIQUE(TRIM(_xlfn.TEXTSPLIT(Table21215[[#This Row],[Selection Options]:[Selection Options]],","))),,W$11),"")</f>
        <v/>
      </c>
      <c r="X235" s="29" t="str" cm="1">
        <f t="array" ref="X235">IFERROR(INDEX(_xlfn.UNIQUE(TRIM(_xlfn.TEXTSPLIT(Table21215[[#This Row],[Selection Options]:[Selection Options]],","))),,X$11),"")</f>
        <v/>
      </c>
      <c r="Y235" s="30" cm="1">
        <f t="array" ref="Y235">IF(Table21215[[#This Row],[1]]="","",Table21215[[#This Row],[Weight]:[Weight]]-(Table21215[[#This Row],[Weight]:[Weight]]*((_xlfn.XMATCH(Table21215[[#This Row],[1]],Table21215[[#This Row],[1]:[11]],0))-1)/(COUNTA(Table21215[[#This Row],[1]:[11]])-COUNTBLANK(Table21215[[#This Row],[1]:[11]])-1)))</f>
        <v>3.9714058776806989E-3</v>
      </c>
      <c r="Z235" s="30" cm="1">
        <f t="array" ref="Z235">IF(Table21215[[#This Row],[2]]="","",Table21215[[#This Row],[Weight]:[Weight]]-(Table21215[[#This Row],[Weight]:[Weight]]*((_xlfn.XMATCH(Table21215[[#This Row],[2]],Table21215[[#This Row],[1]:[11]],0))-1)/(COUNTA(Table21215[[#This Row],[1]:[11]])-COUNTBLANK(Table21215[[#This Row],[1]:[11]])-1)))</f>
        <v>2.6476039184537992E-3</v>
      </c>
      <c r="AA235" s="30" cm="1">
        <f t="array" ref="AA235">IF(Table21215[[#This Row],[3]]="","",Table21215[[#This Row],[Weight]:[Weight]]-(Table21215[[#This Row],[Weight]:[Weight]]*((_xlfn.XMATCH(Table21215[[#This Row],[3]],Table21215[[#This Row],[1]:[11]],0))-1)/(COUNTA(Table21215[[#This Row],[1]:[11]])-COUNTBLANK(Table21215[[#This Row],[1]:[11]])-1)))</f>
        <v>1.3238019592268996E-3</v>
      </c>
      <c r="AB235" s="30" cm="1">
        <f t="array" ref="AB235">IF(Table21215[[#This Row],[4]]="","",Table21215[[#This Row],[Weight]:[Weight]]-(Table21215[[#This Row],[Weight]:[Weight]]*((_xlfn.XMATCH(Table21215[[#This Row],[4]],Table21215[[#This Row],[1]:[11]],0))-1)/(COUNTA(Table21215[[#This Row],[1]:[11]])-COUNTBLANK(Table21215[[#This Row],[1]:[11]])-1)))</f>
        <v>0</v>
      </c>
      <c r="AC235" s="30" t="str" cm="1">
        <f t="array" ref="AC235">IF(Table21215[[#This Row],[5]]="","",Table21215[[#This Row],[Weight]:[Weight]]-(Table21215[[#This Row],[Weight]:[Weight]]*((_xlfn.XMATCH(Table21215[[#This Row],[5]],Table21215[[#This Row],[1]:[11]],0))-1)/(COUNTA(Table21215[[#This Row],[1]:[11]])-COUNTBLANK(Table21215[[#This Row],[1]:[11]])-1)))</f>
        <v/>
      </c>
      <c r="AD235" s="30" t="str" cm="1">
        <f t="array" ref="AD235">IF(Table21215[[#This Row],[6]]="","",Table21215[[#This Row],[Weight]:[Weight]]-(Table21215[[#This Row],[Weight]:[Weight]]*((_xlfn.XMATCH(Table21215[[#This Row],[6]],Table21215[[#This Row],[1]:[11]],0))-1)/(COUNTA(Table21215[[#This Row],[1]:[11]])-COUNTBLANK(Table21215[[#This Row],[1]:[11]])-1)))</f>
        <v/>
      </c>
      <c r="AE235" s="30" t="str" cm="1">
        <f t="array" ref="AE235">IF(Table21215[[#This Row],[7]]="","",Table21215[[#This Row],[Weight]:[Weight]]-(Table21215[[#This Row],[Weight]:[Weight]]*((_xlfn.XMATCH(Table21215[[#This Row],[7]],Table21215[[#This Row],[1]:[11]],0))-1)/(COUNTA(Table21215[[#This Row],[1]:[11]])-COUNTBLANK(Table21215[[#This Row],[1]:[11]])-1)))</f>
        <v/>
      </c>
      <c r="AF235" s="30" t="str" cm="1">
        <f t="array" ref="AF235">IF(Table21215[[#This Row],[8]]="","",Table21215[[#This Row],[Weight]:[Weight]]-(Table21215[[#This Row],[Weight]:[Weight]]*((_xlfn.XMATCH(Table21215[[#This Row],[8]],Table21215[[#This Row],[1]:[11]],0))-1)/(COUNTA(Table21215[[#This Row],[1]:[11]])-COUNTBLANK(Table21215[[#This Row],[1]:[11]])-1)))</f>
        <v/>
      </c>
      <c r="AG235" s="30" t="str" cm="1">
        <f t="array" ref="AG235">IF(Table21215[[#This Row],[9]]="","",Table21215[[#This Row],[Weight]:[Weight]]-(Table21215[[#This Row],[Weight]:[Weight]]*((_xlfn.XMATCH(Table21215[[#This Row],[9]],Table21215[[#This Row],[1]:[11]],0))-1)/(COUNTA(Table21215[[#This Row],[1]:[11]])-COUNTBLANK(Table21215[[#This Row],[1]:[11]])-1)))</f>
        <v/>
      </c>
      <c r="AH235" s="30" t="str" cm="1">
        <f t="array" ref="AH235">IF(Table21215[[#This Row],[10]]="","",Table21215[[#This Row],[Weight]:[Weight]]-(Table21215[[#This Row],[Weight]:[Weight]]*((_xlfn.XMATCH(Table21215[[#This Row],[10]],Table21215[[#This Row],[1]:[11]],0))-1)/(COUNTA(Table21215[[#This Row],[1]:[11]])-COUNTBLANK(Table21215[[#This Row],[1]:[11]])-1)))</f>
        <v/>
      </c>
      <c r="AI235" s="30" t="str" cm="1">
        <f t="array" ref="AI235">IF(Table21215[[#This Row],[11]]="","",Table21215[[#This Row],[Weight]:[Weight]]-(Table21215[[#This Row],[Weight]:[Weight]]*((_xlfn.XMATCH(Table21215[[#This Row],[11]],Table21215[[#This Row],[1]:[11]],0))-1)/(COUNTA(Table21215[[#This Row],[1]:[11]])-COUNTBLANK(Table21215[[#This Row],[1]:[11]])-1)))</f>
        <v/>
      </c>
    </row>
    <row r="236" spans="1:35" ht="108" x14ac:dyDescent="0.2">
      <c r="A236" s="20">
        <v>224</v>
      </c>
      <c r="B236" s="165" t="s">
        <v>1053</v>
      </c>
      <c r="C236" s="21" t="s">
        <v>826</v>
      </c>
      <c r="D236" s="38"/>
      <c r="E236" s="38"/>
      <c r="F236" s="159" t="s">
        <v>188</v>
      </c>
      <c r="G236" s="160" cm="1">
        <f t="array" ref="G236">_xlfn.IFS(F236="","",F236="No interest",0,F236="Nice to have",1,F236="Useful",2,F236="Important",3,F236="Very important",4,F236="Critical",5,F236="Show stopper",6)</f>
        <v>5</v>
      </c>
      <c r="H236" s="161">
        <f t="shared" si="5"/>
        <v>3.9714058776806989E-3</v>
      </c>
      <c r="I236" s="157" t="s">
        <v>827</v>
      </c>
      <c r="J236" s="35" t="str" cm="1">
        <f t="array" ref="J236">_xlfn.TEXTJOIN(","&amp;CHAR(10),,TEXT(Table21215[[#This Row],[12]:[22]],"0,00%"))</f>
        <v>0,00%,
0,00%,
0,00%,
0,00%</v>
      </c>
      <c r="K236" s="36"/>
      <c r="L236" s="37" t="e">
        <f>H236-(H236*((MATCH(Table21215[[#This Row],[Evaluators Response (SELECT)]],Table21215[[#This Row],[1]:[11]],0)-1)/(COUNTA(Table21215[[#This Row],[1]:[11]])-COUNTBLANK(Table21215[[#This Row],[1]:[11]])-1)))</f>
        <v>#N/A</v>
      </c>
      <c r="M236" s="38"/>
      <c r="N236" s="29" t="s">
        <v>828</v>
      </c>
      <c r="O236" s="29" t="s">
        <v>829</v>
      </c>
      <c r="P236" s="29" t="s">
        <v>830</v>
      </c>
      <c r="Q236" s="29" t="str" cm="1">
        <f t="array" ref="Q236">IFERROR(INDEX(_xlfn.UNIQUE(TRIM(_xlfn.TEXTSPLIT(Table21215[[#This Row],[Selection Options]:[Selection Options]],","))),,Q$11),"")</f>
        <v xml:space="preserve">
 0%: Not currently supported</v>
      </c>
      <c r="R236" s="29" t="str" cm="1">
        <f t="array" ref="R236">IFERROR(INDEX(_xlfn.UNIQUE(TRIM(_xlfn.TEXTSPLIT(Table21215[[#This Row],[Selection Options]:[Selection Options]],","))),,R$11),"")</f>
        <v/>
      </c>
      <c r="S236" s="29" t="str" cm="1">
        <f t="array" ref="S236">IFERROR(INDEX(_xlfn.UNIQUE(TRIM(_xlfn.TEXTSPLIT(Table21215[[#This Row],[Selection Options]:[Selection Options]],","))),,S$11),"")</f>
        <v/>
      </c>
      <c r="T236" s="29" t="str" cm="1">
        <f t="array" ref="T236">IFERROR(INDEX(_xlfn.UNIQUE(TRIM(_xlfn.TEXTSPLIT(Table21215[[#This Row],[Selection Options]:[Selection Options]],","))),,T$11),"")</f>
        <v/>
      </c>
      <c r="U236" s="29" t="str" cm="1">
        <f t="array" ref="U236">IFERROR(INDEX(_xlfn.UNIQUE(TRIM(_xlfn.TEXTSPLIT(Table21215[[#This Row],[Selection Options]:[Selection Options]],","))),,U$11),"")</f>
        <v/>
      </c>
      <c r="V236" s="29" t="str" cm="1">
        <f t="array" ref="V236">IFERROR(INDEX(_xlfn.UNIQUE(TRIM(_xlfn.TEXTSPLIT(Table21215[[#This Row],[Selection Options]:[Selection Options]],","))),,V$11),"")</f>
        <v/>
      </c>
      <c r="W236" s="29" t="str" cm="1">
        <f t="array" ref="W236">IFERROR(INDEX(_xlfn.UNIQUE(TRIM(_xlfn.TEXTSPLIT(Table21215[[#This Row],[Selection Options]:[Selection Options]],","))),,W$11),"")</f>
        <v/>
      </c>
      <c r="X236" s="29" t="str" cm="1">
        <f t="array" ref="X236">IFERROR(INDEX(_xlfn.UNIQUE(TRIM(_xlfn.TEXTSPLIT(Table21215[[#This Row],[Selection Options]:[Selection Options]],","))),,X$11),"")</f>
        <v/>
      </c>
      <c r="Y236" s="30" cm="1">
        <f t="array" ref="Y236">IF(Table21215[[#This Row],[1]]="","",Table21215[[#This Row],[Weight]:[Weight]]-(Table21215[[#This Row],[Weight]:[Weight]]*((_xlfn.XMATCH(Table21215[[#This Row],[1]],Table21215[[#This Row],[1]:[11]],0))-1)/(COUNTA(Table21215[[#This Row],[1]:[11]])-COUNTBLANK(Table21215[[#This Row],[1]:[11]])-1)))</f>
        <v>3.9714058776806989E-3</v>
      </c>
      <c r="Z236" s="30" cm="1">
        <f t="array" ref="Z236">IF(Table21215[[#This Row],[2]]="","",Table21215[[#This Row],[Weight]:[Weight]]-(Table21215[[#This Row],[Weight]:[Weight]]*((_xlfn.XMATCH(Table21215[[#This Row],[2]],Table21215[[#This Row],[1]:[11]],0))-1)/(COUNTA(Table21215[[#This Row],[1]:[11]])-COUNTBLANK(Table21215[[#This Row],[1]:[11]])-1)))</f>
        <v>2.6476039184537992E-3</v>
      </c>
      <c r="AA236" s="30" cm="1">
        <f t="array" ref="AA236">IF(Table21215[[#This Row],[3]]="","",Table21215[[#This Row],[Weight]:[Weight]]-(Table21215[[#This Row],[Weight]:[Weight]]*((_xlfn.XMATCH(Table21215[[#This Row],[3]],Table21215[[#This Row],[1]:[11]],0))-1)/(COUNTA(Table21215[[#This Row],[1]:[11]])-COUNTBLANK(Table21215[[#This Row],[1]:[11]])-1)))</f>
        <v>1.3238019592268996E-3</v>
      </c>
      <c r="AB236" s="30" cm="1">
        <f t="array" ref="AB236">IF(Table21215[[#This Row],[4]]="","",Table21215[[#This Row],[Weight]:[Weight]]-(Table21215[[#This Row],[Weight]:[Weight]]*((_xlfn.XMATCH(Table21215[[#This Row],[4]],Table21215[[#This Row],[1]:[11]],0))-1)/(COUNTA(Table21215[[#This Row],[1]:[11]])-COUNTBLANK(Table21215[[#This Row],[1]:[11]])-1)))</f>
        <v>0</v>
      </c>
      <c r="AC236" s="30" t="str" cm="1">
        <f t="array" ref="AC236">IF(Table21215[[#This Row],[5]]="","",Table21215[[#This Row],[Weight]:[Weight]]-(Table21215[[#This Row],[Weight]:[Weight]]*((_xlfn.XMATCH(Table21215[[#This Row],[5]],Table21215[[#This Row],[1]:[11]],0))-1)/(COUNTA(Table21215[[#This Row],[1]:[11]])-COUNTBLANK(Table21215[[#This Row],[1]:[11]])-1)))</f>
        <v/>
      </c>
      <c r="AD236" s="30" t="str" cm="1">
        <f t="array" ref="AD236">IF(Table21215[[#This Row],[6]]="","",Table21215[[#This Row],[Weight]:[Weight]]-(Table21215[[#This Row],[Weight]:[Weight]]*((_xlfn.XMATCH(Table21215[[#This Row],[6]],Table21215[[#This Row],[1]:[11]],0))-1)/(COUNTA(Table21215[[#This Row],[1]:[11]])-COUNTBLANK(Table21215[[#This Row],[1]:[11]])-1)))</f>
        <v/>
      </c>
      <c r="AE236" s="30" t="str" cm="1">
        <f t="array" ref="AE236">IF(Table21215[[#This Row],[7]]="","",Table21215[[#This Row],[Weight]:[Weight]]-(Table21215[[#This Row],[Weight]:[Weight]]*((_xlfn.XMATCH(Table21215[[#This Row],[7]],Table21215[[#This Row],[1]:[11]],0))-1)/(COUNTA(Table21215[[#This Row],[1]:[11]])-COUNTBLANK(Table21215[[#This Row],[1]:[11]])-1)))</f>
        <v/>
      </c>
      <c r="AF236" s="30" t="str" cm="1">
        <f t="array" ref="AF236">IF(Table21215[[#This Row],[8]]="","",Table21215[[#This Row],[Weight]:[Weight]]-(Table21215[[#This Row],[Weight]:[Weight]]*((_xlfn.XMATCH(Table21215[[#This Row],[8]],Table21215[[#This Row],[1]:[11]],0))-1)/(COUNTA(Table21215[[#This Row],[1]:[11]])-COUNTBLANK(Table21215[[#This Row],[1]:[11]])-1)))</f>
        <v/>
      </c>
      <c r="AG236" s="30" t="str" cm="1">
        <f t="array" ref="AG236">IF(Table21215[[#This Row],[9]]="","",Table21215[[#This Row],[Weight]:[Weight]]-(Table21215[[#This Row],[Weight]:[Weight]]*((_xlfn.XMATCH(Table21215[[#This Row],[9]],Table21215[[#This Row],[1]:[11]],0))-1)/(COUNTA(Table21215[[#This Row],[1]:[11]])-COUNTBLANK(Table21215[[#This Row],[1]:[11]])-1)))</f>
        <v/>
      </c>
      <c r="AH236" s="30" t="str" cm="1">
        <f t="array" ref="AH236">IF(Table21215[[#This Row],[10]]="","",Table21215[[#This Row],[Weight]:[Weight]]-(Table21215[[#This Row],[Weight]:[Weight]]*((_xlfn.XMATCH(Table21215[[#This Row],[10]],Table21215[[#This Row],[1]:[11]],0))-1)/(COUNTA(Table21215[[#This Row],[1]:[11]])-COUNTBLANK(Table21215[[#This Row],[1]:[11]])-1)))</f>
        <v/>
      </c>
      <c r="AI236" s="30" t="str" cm="1">
        <f t="array" ref="AI236">IF(Table21215[[#This Row],[11]]="","",Table21215[[#This Row],[Weight]:[Weight]]-(Table21215[[#This Row],[Weight]:[Weight]]*((_xlfn.XMATCH(Table21215[[#This Row],[11]],Table21215[[#This Row],[1]:[11]],0))-1)/(COUNTA(Table21215[[#This Row],[1]:[11]])-COUNTBLANK(Table21215[[#This Row],[1]:[11]])-1)))</f>
        <v/>
      </c>
    </row>
    <row r="237" spans="1:35" ht="108" x14ac:dyDescent="0.2">
      <c r="A237" s="20">
        <v>225</v>
      </c>
      <c r="B237" s="165" t="s">
        <v>1054</v>
      </c>
      <c r="C237" s="21" t="s">
        <v>826</v>
      </c>
      <c r="D237" s="38"/>
      <c r="E237" s="38"/>
      <c r="F237" s="159" t="s">
        <v>60</v>
      </c>
      <c r="G237" s="160" cm="1">
        <f t="array" ref="G237">_xlfn.IFS(F237="","",F237="No interest",0,F237="Nice to have",1,F237="Useful",2,F237="Important",3,F237="Very important",4,F237="Critical",5,F237="Show stopper",6)</f>
        <v>6</v>
      </c>
      <c r="H237" s="161">
        <f t="shared" si="5"/>
        <v>4.7656870532168391E-3</v>
      </c>
      <c r="I237" s="157" t="s">
        <v>827</v>
      </c>
      <c r="J237" s="35" t="str" cm="1">
        <f t="array" ref="J237">_xlfn.TEXTJOIN(","&amp;CHAR(10),,TEXT(Table21215[[#This Row],[12]:[22]],"0,00%"))</f>
        <v>0,00%,
0,00%,
0,00%,
0,00%</v>
      </c>
      <c r="K237" s="36"/>
      <c r="L237" s="37" t="e">
        <f>H237-(H237*((MATCH(Table21215[[#This Row],[Evaluators Response (SELECT)]],Table21215[[#This Row],[1]:[11]],0)-1)/(COUNTA(Table21215[[#This Row],[1]:[11]])-COUNTBLANK(Table21215[[#This Row],[1]:[11]])-1)))</f>
        <v>#N/A</v>
      </c>
      <c r="M237" s="38"/>
      <c r="N237" s="29" t="s">
        <v>828</v>
      </c>
      <c r="O237" s="29" t="s">
        <v>829</v>
      </c>
      <c r="P237" s="29" t="s">
        <v>830</v>
      </c>
      <c r="Q237" s="29" t="str" cm="1">
        <f t="array" ref="Q237">IFERROR(INDEX(_xlfn.UNIQUE(TRIM(_xlfn.TEXTSPLIT(Table21215[[#This Row],[Selection Options]:[Selection Options]],","))),,Q$11),"")</f>
        <v xml:space="preserve">
 0%: Not currently supported</v>
      </c>
      <c r="R237" s="29" t="str" cm="1">
        <f t="array" ref="R237">IFERROR(INDEX(_xlfn.UNIQUE(TRIM(_xlfn.TEXTSPLIT(Table21215[[#This Row],[Selection Options]:[Selection Options]],","))),,R$11),"")</f>
        <v/>
      </c>
      <c r="S237" s="29" t="str" cm="1">
        <f t="array" ref="S237">IFERROR(INDEX(_xlfn.UNIQUE(TRIM(_xlfn.TEXTSPLIT(Table21215[[#This Row],[Selection Options]:[Selection Options]],","))),,S$11),"")</f>
        <v/>
      </c>
      <c r="T237" s="29" t="str" cm="1">
        <f t="array" ref="T237">IFERROR(INDEX(_xlfn.UNIQUE(TRIM(_xlfn.TEXTSPLIT(Table21215[[#This Row],[Selection Options]:[Selection Options]],","))),,T$11),"")</f>
        <v/>
      </c>
      <c r="U237" s="29" t="str" cm="1">
        <f t="array" ref="U237">IFERROR(INDEX(_xlfn.UNIQUE(TRIM(_xlfn.TEXTSPLIT(Table21215[[#This Row],[Selection Options]:[Selection Options]],","))),,U$11),"")</f>
        <v/>
      </c>
      <c r="V237" s="29" t="str" cm="1">
        <f t="array" ref="V237">IFERROR(INDEX(_xlfn.UNIQUE(TRIM(_xlfn.TEXTSPLIT(Table21215[[#This Row],[Selection Options]:[Selection Options]],","))),,V$11),"")</f>
        <v/>
      </c>
      <c r="W237" s="29" t="str" cm="1">
        <f t="array" ref="W237">IFERROR(INDEX(_xlfn.UNIQUE(TRIM(_xlfn.TEXTSPLIT(Table21215[[#This Row],[Selection Options]:[Selection Options]],","))),,W$11),"")</f>
        <v/>
      </c>
      <c r="X237" s="29" t="str" cm="1">
        <f t="array" ref="X237">IFERROR(INDEX(_xlfn.UNIQUE(TRIM(_xlfn.TEXTSPLIT(Table21215[[#This Row],[Selection Options]:[Selection Options]],","))),,X$11),"")</f>
        <v/>
      </c>
      <c r="Y237" s="30" cm="1">
        <f t="array" ref="Y237">IF(Table21215[[#This Row],[1]]="","",Table21215[[#This Row],[Weight]:[Weight]]-(Table21215[[#This Row],[Weight]:[Weight]]*((_xlfn.XMATCH(Table21215[[#This Row],[1]],Table21215[[#This Row],[1]:[11]],0))-1)/(COUNTA(Table21215[[#This Row],[1]:[11]])-COUNTBLANK(Table21215[[#This Row],[1]:[11]])-1)))</f>
        <v>4.7656870532168391E-3</v>
      </c>
      <c r="Z237" s="30" cm="1">
        <f t="array" ref="Z237">IF(Table21215[[#This Row],[2]]="","",Table21215[[#This Row],[Weight]:[Weight]]-(Table21215[[#This Row],[Weight]:[Weight]]*((_xlfn.XMATCH(Table21215[[#This Row],[2]],Table21215[[#This Row],[1]:[11]],0))-1)/(COUNTA(Table21215[[#This Row],[1]:[11]])-COUNTBLANK(Table21215[[#This Row],[1]:[11]])-1)))</f>
        <v>3.1771247021445594E-3</v>
      </c>
      <c r="AA237" s="30" cm="1">
        <f t="array" ref="AA237">IF(Table21215[[#This Row],[3]]="","",Table21215[[#This Row],[Weight]:[Weight]]-(Table21215[[#This Row],[Weight]:[Weight]]*((_xlfn.XMATCH(Table21215[[#This Row],[3]],Table21215[[#This Row],[1]:[11]],0))-1)/(COUNTA(Table21215[[#This Row],[1]:[11]])-COUNTBLANK(Table21215[[#This Row],[1]:[11]])-1)))</f>
        <v>1.5885623510722797E-3</v>
      </c>
      <c r="AB237" s="30" cm="1">
        <f t="array" ref="AB237">IF(Table21215[[#This Row],[4]]="","",Table21215[[#This Row],[Weight]:[Weight]]-(Table21215[[#This Row],[Weight]:[Weight]]*((_xlfn.XMATCH(Table21215[[#This Row],[4]],Table21215[[#This Row],[1]:[11]],0))-1)/(COUNTA(Table21215[[#This Row],[1]:[11]])-COUNTBLANK(Table21215[[#This Row],[1]:[11]])-1)))</f>
        <v>0</v>
      </c>
      <c r="AC237" s="30" t="str" cm="1">
        <f t="array" ref="AC237">IF(Table21215[[#This Row],[5]]="","",Table21215[[#This Row],[Weight]:[Weight]]-(Table21215[[#This Row],[Weight]:[Weight]]*((_xlfn.XMATCH(Table21215[[#This Row],[5]],Table21215[[#This Row],[1]:[11]],0))-1)/(COUNTA(Table21215[[#This Row],[1]:[11]])-COUNTBLANK(Table21215[[#This Row],[1]:[11]])-1)))</f>
        <v/>
      </c>
      <c r="AD237" s="30" t="str" cm="1">
        <f t="array" ref="AD237">IF(Table21215[[#This Row],[6]]="","",Table21215[[#This Row],[Weight]:[Weight]]-(Table21215[[#This Row],[Weight]:[Weight]]*((_xlfn.XMATCH(Table21215[[#This Row],[6]],Table21215[[#This Row],[1]:[11]],0))-1)/(COUNTA(Table21215[[#This Row],[1]:[11]])-COUNTBLANK(Table21215[[#This Row],[1]:[11]])-1)))</f>
        <v/>
      </c>
      <c r="AE237" s="30" t="str" cm="1">
        <f t="array" ref="AE237">IF(Table21215[[#This Row],[7]]="","",Table21215[[#This Row],[Weight]:[Weight]]-(Table21215[[#This Row],[Weight]:[Weight]]*((_xlfn.XMATCH(Table21215[[#This Row],[7]],Table21215[[#This Row],[1]:[11]],0))-1)/(COUNTA(Table21215[[#This Row],[1]:[11]])-COUNTBLANK(Table21215[[#This Row],[1]:[11]])-1)))</f>
        <v/>
      </c>
      <c r="AF237" s="30" t="str" cm="1">
        <f t="array" ref="AF237">IF(Table21215[[#This Row],[8]]="","",Table21215[[#This Row],[Weight]:[Weight]]-(Table21215[[#This Row],[Weight]:[Weight]]*((_xlfn.XMATCH(Table21215[[#This Row],[8]],Table21215[[#This Row],[1]:[11]],0))-1)/(COUNTA(Table21215[[#This Row],[1]:[11]])-COUNTBLANK(Table21215[[#This Row],[1]:[11]])-1)))</f>
        <v/>
      </c>
      <c r="AG237" s="30" t="str" cm="1">
        <f t="array" ref="AG237">IF(Table21215[[#This Row],[9]]="","",Table21215[[#This Row],[Weight]:[Weight]]-(Table21215[[#This Row],[Weight]:[Weight]]*((_xlfn.XMATCH(Table21215[[#This Row],[9]],Table21215[[#This Row],[1]:[11]],0))-1)/(COUNTA(Table21215[[#This Row],[1]:[11]])-COUNTBLANK(Table21215[[#This Row],[1]:[11]])-1)))</f>
        <v/>
      </c>
      <c r="AH237" s="30" t="str" cm="1">
        <f t="array" ref="AH237">IF(Table21215[[#This Row],[10]]="","",Table21215[[#This Row],[Weight]:[Weight]]-(Table21215[[#This Row],[Weight]:[Weight]]*((_xlfn.XMATCH(Table21215[[#This Row],[10]],Table21215[[#This Row],[1]:[11]],0))-1)/(COUNTA(Table21215[[#This Row],[1]:[11]])-COUNTBLANK(Table21215[[#This Row],[1]:[11]])-1)))</f>
        <v/>
      </c>
      <c r="AI237" s="30" t="str" cm="1">
        <f t="array" ref="AI237">IF(Table21215[[#This Row],[11]]="","",Table21215[[#This Row],[Weight]:[Weight]]-(Table21215[[#This Row],[Weight]:[Weight]]*((_xlfn.XMATCH(Table21215[[#This Row],[11]],Table21215[[#This Row],[1]:[11]],0))-1)/(COUNTA(Table21215[[#This Row],[1]:[11]])-COUNTBLANK(Table21215[[#This Row],[1]:[11]])-1)))</f>
        <v/>
      </c>
    </row>
    <row r="238" spans="1:35" ht="108" x14ac:dyDescent="0.2">
      <c r="A238" s="20">
        <v>226</v>
      </c>
      <c r="B238" s="165" t="s">
        <v>1055</v>
      </c>
      <c r="C238" s="21" t="s">
        <v>826</v>
      </c>
      <c r="D238" s="38"/>
      <c r="E238" s="38"/>
      <c r="F238" s="159" t="s">
        <v>60</v>
      </c>
      <c r="G238" s="160" cm="1">
        <f t="array" ref="G238">_xlfn.IFS(F238="","",F238="No interest",0,F238="Nice to have",1,F238="Useful",2,F238="Important",3,F238="Very important",4,F238="Critical",5,F238="Show stopper",6)</f>
        <v>6</v>
      </c>
      <c r="H238" s="161">
        <f t="shared" si="5"/>
        <v>4.7656870532168391E-3</v>
      </c>
      <c r="I238" s="157" t="s">
        <v>827</v>
      </c>
      <c r="J238" s="35" t="str" cm="1">
        <f t="array" ref="J238">_xlfn.TEXTJOIN(","&amp;CHAR(10),,TEXT(Table21215[[#This Row],[12]:[22]],"0,00%"))</f>
        <v>0,00%,
0,00%,
0,00%,
0,00%</v>
      </c>
      <c r="K238" s="36"/>
      <c r="L238" s="37" t="e">
        <f>H238-(H238*((MATCH(Table21215[[#This Row],[Evaluators Response (SELECT)]],Table21215[[#This Row],[1]:[11]],0)-1)/(COUNTA(Table21215[[#This Row],[1]:[11]])-COUNTBLANK(Table21215[[#This Row],[1]:[11]])-1)))</f>
        <v>#N/A</v>
      </c>
      <c r="M238" s="38"/>
      <c r="N238" s="29" t="s">
        <v>828</v>
      </c>
      <c r="O238" s="29" t="s">
        <v>829</v>
      </c>
      <c r="P238" s="29" t="s">
        <v>830</v>
      </c>
      <c r="Q238" s="29" t="str" cm="1">
        <f t="array" ref="Q238">IFERROR(INDEX(_xlfn.UNIQUE(TRIM(_xlfn.TEXTSPLIT(Table21215[[#This Row],[Selection Options]:[Selection Options]],","))),,Q$11),"")</f>
        <v xml:space="preserve">
 0%: Not currently supported</v>
      </c>
      <c r="R238" s="29" t="str" cm="1">
        <f t="array" ref="R238">IFERROR(INDEX(_xlfn.UNIQUE(TRIM(_xlfn.TEXTSPLIT(Table21215[[#This Row],[Selection Options]:[Selection Options]],","))),,R$11),"")</f>
        <v/>
      </c>
      <c r="S238" s="29" t="str" cm="1">
        <f t="array" ref="S238">IFERROR(INDEX(_xlfn.UNIQUE(TRIM(_xlfn.TEXTSPLIT(Table21215[[#This Row],[Selection Options]:[Selection Options]],","))),,S$11),"")</f>
        <v/>
      </c>
      <c r="T238" s="29" t="str" cm="1">
        <f t="array" ref="T238">IFERROR(INDEX(_xlfn.UNIQUE(TRIM(_xlfn.TEXTSPLIT(Table21215[[#This Row],[Selection Options]:[Selection Options]],","))),,T$11),"")</f>
        <v/>
      </c>
      <c r="U238" s="29" t="str" cm="1">
        <f t="array" ref="U238">IFERROR(INDEX(_xlfn.UNIQUE(TRIM(_xlfn.TEXTSPLIT(Table21215[[#This Row],[Selection Options]:[Selection Options]],","))),,U$11),"")</f>
        <v/>
      </c>
      <c r="V238" s="29" t="str" cm="1">
        <f t="array" ref="V238">IFERROR(INDEX(_xlfn.UNIQUE(TRIM(_xlfn.TEXTSPLIT(Table21215[[#This Row],[Selection Options]:[Selection Options]],","))),,V$11),"")</f>
        <v/>
      </c>
      <c r="W238" s="29" t="str" cm="1">
        <f t="array" ref="W238">IFERROR(INDEX(_xlfn.UNIQUE(TRIM(_xlfn.TEXTSPLIT(Table21215[[#This Row],[Selection Options]:[Selection Options]],","))),,W$11),"")</f>
        <v/>
      </c>
      <c r="X238" s="29" t="str" cm="1">
        <f t="array" ref="X238">IFERROR(INDEX(_xlfn.UNIQUE(TRIM(_xlfn.TEXTSPLIT(Table21215[[#This Row],[Selection Options]:[Selection Options]],","))),,X$11),"")</f>
        <v/>
      </c>
      <c r="Y238" s="30" cm="1">
        <f t="array" ref="Y238">IF(Table21215[[#This Row],[1]]="","",Table21215[[#This Row],[Weight]:[Weight]]-(Table21215[[#This Row],[Weight]:[Weight]]*((_xlfn.XMATCH(Table21215[[#This Row],[1]],Table21215[[#This Row],[1]:[11]],0))-1)/(COUNTA(Table21215[[#This Row],[1]:[11]])-COUNTBLANK(Table21215[[#This Row],[1]:[11]])-1)))</f>
        <v>4.7656870532168391E-3</v>
      </c>
      <c r="Z238" s="30" cm="1">
        <f t="array" ref="Z238">IF(Table21215[[#This Row],[2]]="","",Table21215[[#This Row],[Weight]:[Weight]]-(Table21215[[#This Row],[Weight]:[Weight]]*((_xlfn.XMATCH(Table21215[[#This Row],[2]],Table21215[[#This Row],[1]:[11]],0))-1)/(COUNTA(Table21215[[#This Row],[1]:[11]])-COUNTBLANK(Table21215[[#This Row],[1]:[11]])-1)))</f>
        <v>3.1771247021445594E-3</v>
      </c>
      <c r="AA238" s="30" cm="1">
        <f t="array" ref="AA238">IF(Table21215[[#This Row],[3]]="","",Table21215[[#This Row],[Weight]:[Weight]]-(Table21215[[#This Row],[Weight]:[Weight]]*((_xlfn.XMATCH(Table21215[[#This Row],[3]],Table21215[[#This Row],[1]:[11]],0))-1)/(COUNTA(Table21215[[#This Row],[1]:[11]])-COUNTBLANK(Table21215[[#This Row],[1]:[11]])-1)))</f>
        <v>1.5885623510722797E-3</v>
      </c>
      <c r="AB238" s="30" cm="1">
        <f t="array" ref="AB238">IF(Table21215[[#This Row],[4]]="","",Table21215[[#This Row],[Weight]:[Weight]]-(Table21215[[#This Row],[Weight]:[Weight]]*((_xlfn.XMATCH(Table21215[[#This Row],[4]],Table21215[[#This Row],[1]:[11]],0))-1)/(COUNTA(Table21215[[#This Row],[1]:[11]])-COUNTBLANK(Table21215[[#This Row],[1]:[11]])-1)))</f>
        <v>0</v>
      </c>
      <c r="AC238" s="30" t="str" cm="1">
        <f t="array" ref="AC238">IF(Table21215[[#This Row],[5]]="","",Table21215[[#This Row],[Weight]:[Weight]]-(Table21215[[#This Row],[Weight]:[Weight]]*((_xlfn.XMATCH(Table21215[[#This Row],[5]],Table21215[[#This Row],[1]:[11]],0))-1)/(COUNTA(Table21215[[#This Row],[1]:[11]])-COUNTBLANK(Table21215[[#This Row],[1]:[11]])-1)))</f>
        <v/>
      </c>
      <c r="AD238" s="30" t="str" cm="1">
        <f t="array" ref="AD238">IF(Table21215[[#This Row],[6]]="","",Table21215[[#This Row],[Weight]:[Weight]]-(Table21215[[#This Row],[Weight]:[Weight]]*((_xlfn.XMATCH(Table21215[[#This Row],[6]],Table21215[[#This Row],[1]:[11]],0))-1)/(COUNTA(Table21215[[#This Row],[1]:[11]])-COUNTBLANK(Table21215[[#This Row],[1]:[11]])-1)))</f>
        <v/>
      </c>
      <c r="AE238" s="30" t="str" cm="1">
        <f t="array" ref="AE238">IF(Table21215[[#This Row],[7]]="","",Table21215[[#This Row],[Weight]:[Weight]]-(Table21215[[#This Row],[Weight]:[Weight]]*((_xlfn.XMATCH(Table21215[[#This Row],[7]],Table21215[[#This Row],[1]:[11]],0))-1)/(COUNTA(Table21215[[#This Row],[1]:[11]])-COUNTBLANK(Table21215[[#This Row],[1]:[11]])-1)))</f>
        <v/>
      </c>
      <c r="AF238" s="30" t="str" cm="1">
        <f t="array" ref="AF238">IF(Table21215[[#This Row],[8]]="","",Table21215[[#This Row],[Weight]:[Weight]]-(Table21215[[#This Row],[Weight]:[Weight]]*((_xlfn.XMATCH(Table21215[[#This Row],[8]],Table21215[[#This Row],[1]:[11]],0))-1)/(COUNTA(Table21215[[#This Row],[1]:[11]])-COUNTBLANK(Table21215[[#This Row],[1]:[11]])-1)))</f>
        <v/>
      </c>
      <c r="AG238" s="30" t="str" cm="1">
        <f t="array" ref="AG238">IF(Table21215[[#This Row],[9]]="","",Table21215[[#This Row],[Weight]:[Weight]]-(Table21215[[#This Row],[Weight]:[Weight]]*((_xlfn.XMATCH(Table21215[[#This Row],[9]],Table21215[[#This Row],[1]:[11]],0))-1)/(COUNTA(Table21215[[#This Row],[1]:[11]])-COUNTBLANK(Table21215[[#This Row],[1]:[11]])-1)))</f>
        <v/>
      </c>
      <c r="AH238" s="30" t="str" cm="1">
        <f t="array" ref="AH238">IF(Table21215[[#This Row],[10]]="","",Table21215[[#This Row],[Weight]:[Weight]]-(Table21215[[#This Row],[Weight]:[Weight]]*((_xlfn.XMATCH(Table21215[[#This Row],[10]],Table21215[[#This Row],[1]:[11]],0))-1)/(COUNTA(Table21215[[#This Row],[1]:[11]])-COUNTBLANK(Table21215[[#This Row],[1]:[11]])-1)))</f>
        <v/>
      </c>
      <c r="AI238" s="30" t="str" cm="1">
        <f t="array" ref="AI238">IF(Table21215[[#This Row],[11]]="","",Table21215[[#This Row],[Weight]:[Weight]]-(Table21215[[#This Row],[Weight]:[Weight]]*((_xlfn.XMATCH(Table21215[[#This Row],[11]],Table21215[[#This Row],[1]:[11]],0))-1)/(COUNTA(Table21215[[#This Row],[1]:[11]])-COUNTBLANK(Table21215[[#This Row],[1]:[11]])-1)))</f>
        <v/>
      </c>
    </row>
    <row r="239" spans="1:35" ht="108" x14ac:dyDescent="0.2">
      <c r="A239" s="20">
        <v>227</v>
      </c>
      <c r="B239" s="165" t="s">
        <v>1056</v>
      </c>
      <c r="C239" s="21" t="s">
        <v>826</v>
      </c>
      <c r="D239" s="38"/>
      <c r="E239" s="38"/>
      <c r="F239" s="159" t="s">
        <v>188</v>
      </c>
      <c r="G239" s="160" cm="1">
        <f t="array" ref="G239">_xlfn.IFS(F239="","",F239="No interest",0,F239="Nice to have",1,F239="Useful",2,F239="Important",3,F239="Very important",4,F239="Critical",5,F239="Show stopper",6)</f>
        <v>5</v>
      </c>
      <c r="H239" s="161">
        <f t="shared" si="5"/>
        <v>3.9714058776806989E-3</v>
      </c>
      <c r="I239" s="157" t="s">
        <v>827</v>
      </c>
      <c r="J239" s="35" t="str" cm="1">
        <f t="array" ref="J239">_xlfn.TEXTJOIN(","&amp;CHAR(10),,TEXT(Table21215[[#This Row],[12]:[22]],"0,00%"))</f>
        <v>0,00%,
0,00%,
0,00%,
0,00%</v>
      </c>
      <c r="K239" s="36"/>
      <c r="L239" s="37" t="e">
        <f>H239-(H239*((MATCH(Table21215[[#This Row],[Evaluators Response (SELECT)]],Table21215[[#This Row],[1]:[11]],0)-1)/(COUNTA(Table21215[[#This Row],[1]:[11]])-COUNTBLANK(Table21215[[#This Row],[1]:[11]])-1)))</f>
        <v>#N/A</v>
      </c>
      <c r="M239" s="38"/>
      <c r="N239" s="29" t="s">
        <v>828</v>
      </c>
      <c r="O239" s="29" t="s">
        <v>829</v>
      </c>
      <c r="P239" s="29" t="s">
        <v>830</v>
      </c>
      <c r="Q239" s="29" t="str" cm="1">
        <f t="array" ref="Q239">IFERROR(INDEX(_xlfn.UNIQUE(TRIM(_xlfn.TEXTSPLIT(Table21215[[#This Row],[Selection Options]:[Selection Options]],","))),,Q$11),"")</f>
        <v xml:space="preserve">
 0%: Not currently supported</v>
      </c>
      <c r="R239" s="29" t="str" cm="1">
        <f t="array" ref="R239">IFERROR(INDEX(_xlfn.UNIQUE(TRIM(_xlfn.TEXTSPLIT(Table21215[[#This Row],[Selection Options]:[Selection Options]],","))),,R$11),"")</f>
        <v/>
      </c>
      <c r="S239" s="29" t="str" cm="1">
        <f t="array" ref="S239">IFERROR(INDEX(_xlfn.UNIQUE(TRIM(_xlfn.TEXTSPLIT(Table21215[[#This Row],[Selection Options]:[Selection Options]],","))),,S$11),"")</f>
        <v/>
      </c>
      <c r="T239" s="29" t="str" cm="1">
        <f t="array" ref="T239">IFERROR(INDEX(_xlfn.UNIQUE(TRIM(_xlfn.TEXTSPLIT(Table21215[[#This Row],[Selection Options]:[Selection Options]],","))),,T$11),"")</f>
        <v/>
      </c>
      <c r="U239" s="29" t="str" cm="1">
        <f t="array" ref="U239">IFERROR(INDEX(_xlfn.UNIQUE(TRIM(_xlfn.TEXTSPLIT(Table21215[[#This Row],[Selection Options]:[Selection Options]],","))),,U$11),"")</f>
        <v/>
      </c>
      <c r="V239" s="29" t="str" cm="1">
        <f t="array" ref="V239">IFERROR(INDEX(_xlfn.UNIQUE(TRIM(_xlfn.TEXTSPLIT(Table21215[[#This Row],[Selection Options]:[Selection Options]],","))),,V$11),"")</f>
        <v/>
      </c>
      <c r="W239" s="29" t="str" cm="1">
        <f t="array" ref="W239">IFERROR(INDEX(_xlfn.UNIQUE(TRIM(_xlfn.TEXTSPLIT(Table21215[[#This Row],[Selection Options]:[Selection Options]],","))),,W$11),"")</f>
        <v/>
      </c>
      <c r="X239" s="29" t="str" cm="1">
        <f t="array" ref="X239">IFERROR(INDEX(_xlfn.UNIQUE(TRIM(_xlfn.TEXTSPLIT(Table21215[[#This Row],[Selection Options]:[Selection Options]],","))),,X$11),"")</f>
        <v/>
      </c>
      <c r="Y239" s="30" cm="1">
        <f t="array" ref="Y239">IF(Table21215[[#This Row],[1]]="","",Table21215[[#This Row],[Weight]:[Weight]]-(Table21215[[#This Row],[Weight]:[Weight]]*((_xlfn.XMATCH(Table21215[[#This Row],[1]],Table21215[[#This Row],[1]:[11]],0))-1)/(COUNTA(Table21215[[#This Row],[1]:[11]])-COUNTBLANK(Table21215[[#This Row],[1]:[11]])-1)))</f>
        <v>3.9714058776806989E-3</v>
      </c>
      <c r="Z239" s="30" cm="1">
        <f t="array" ref="Z239">IF(Table21215[[#This Row],[2]]="","",Table21215[[#This Row],[Weight]:[Weight]]-(Table21215[[#This Row],[Weight]:[Weight]]*((_xlfn.XMATCH(Table21215[[#This Row],[2]],Table21215[[#This Row],[1]:[11]],0))-1)/(COUNTA(Table21215[[#This Row],[1]:[11]])-COUNTBLANK(Table21215[[#This Row],[1]:[11]])-1)))</f>
        <v>2.6476039184537992E-3</v>
      </c>
      <c r="AA239" s="30" cm="1">
        <f t="array" ref="AA239">IF(Table21215[[#This Row],[3]]="","",Table21215[[#This Row],[Weight]:[Weight]]-(Table21215[[#This Row],[Weight]:[Weight]]*((_xlfn.XMATCH(Table21215[[#This Row],[3]],Table21215[[#This Row],[1]:[11]],0))-1)/(COUNTA(Table21215[[#This Row],[1]:[11]])-COUNTBLANK(Table21215[[#This Row],[1]:[11]])-1)))</f>
        <v>1.3238019592268996E-3</v>
      </c>
      <c r="AB239" s="30" cm="1">
        <f t="array" ref="AB239">IF(Table21215[[#This Row],[4]]="","",Table21215[[#This Row],[Weight]:[Weight]]-(Table21215[[#This Row],[Weight]:[Weight]]*((_xlfn.XMATCH(Table21215[[#This Row],[4]],Table21215[[#This Row],[1]:[11]],0))-1)/(COUNTA(Table21215[[#This Row],[1]:[11]])-COUNTBLANK(Table21215[[#This Row],[1]:[11]])-1)))</f>
        <v>0</v>
      </c>
      <c r="AC239" s="30" t="str" cm="1">
        <f t="array" ref="AC239">IF(Table21215[[#This Row],[5]]="","",Table21215[[#This Row],[Weight]:[Weight]]-(Table21215[[#This Row],[Weight]:[Weight]]*((_xlfn.XMATCH(Table21215[[#This Row],[5]],Table21215[[#This Row],[1]:[11]],0))-1)/(COUNTA(Table21215[[#This Row],[1]:[11]])-COUNTBLANK(Table21215[[#This Row],[1]:[11]])-1)))</f>
        <v/>
      </c>
      <c r="AD239" s="30" t="str" cm="1">
        <f t="array" ref="AD239">IF(Table21215[[#This Row],[6]]="","",Table21215[[#This Row],[Weight]:[Weight]]-(Table21215[[#This Row],[Weight]:[Weight]]*((_xlfn.XMATCH(Table21215[[#This Row],[6]],Table21215[[#This Row],[1]:[11]],0))-1)/(COUNTA(Table21215[[#This Row],[1]:[11]])-COUNTBLANK(Table21215[[#This Row],[1]:[11]])-1)))</f>
        <v/>
      </c>
      <c r="AE239" s="30" t="str" cm="1">
        <f t="array" ref="AE239">IF(Table21215[[#This Row],[7]]="","",Table21215[[#This Row],[Weight]:[Weight]]-(Table21215[[#This Row],[Weight]:[Weight]]*((_xlfn.XMATCH(Table21215[[#This Row],[7]],Table21215[[#This Row],[1]:[11]],0))-1)/(COUNTA(Table21215[[#This Row],[1]:[11]])-COUNTBLANK(Table21215[[#This Row],[1]:[11]])-1)))</f>
        <v/>
      </c>
      <c r="AF239" s="30" t="str" cm="1">
        <f t="array" ref="AF239">IF(Table21215[[#This Row],[8]]="","",Table21215[[#This Row],[Weight]:[Weight]]-(Table21215[[#This Row],[Weight]:[Weight]]*((_xlfn.XMATCH(Table21215[[#This Row],[8]],Table21215[[#This Row],[1]:[11]],0))-1)/(COUNTA(Table21215[[#This Row],[1]:[11]])-COUNTBLANK(Table21215[[#This Row],[1]:[11]])-1)))</f>
        <v/>
      </c>
      <c r="AG239" s="30" t="str" cm="1">
        <f t="array" ref="AG239">IF(Table21215[[#This Row],[9]]="","",Table21215[[#This Row],[Weight]:[Weight]]-(Table21215[[#This Row],[Weight]:[Weight]]*((_xlfn.XMATCH(Table21215[[#This Row],[9]],Table21215[[#This Row],[1]:[11]],0))-1)/(COUNTA(Table21215[[#This Row],[1]:[11]])-COUNTBLANK(Table21215[[#This Row],[1]:[11]])-1)))</f>
        <v/>
      </c>
      <c r="AH239" s="30" t="str" cm="1">
        <f t="array" ref="AH239">IF(Table21215[[#This Row],[10]]="","",Table21215[[#This Row],[Weight]:[Weight]]-(Table21215[[#This Row],[Weight]:[Weight]]*((_xlfn.XMATCH(Table21215[[#This Row],[10]],Table21215[[#This Row],[1]:[11]],0))-1)/(COUNTA(Table21215[[#This Row],[1]:[11]])-COUNTBLANK(Table21215[[#This Row],[1]:[11]])-1)))</f>
        <v/>
      </c>
      <c r="AI239" s="30" t="str" cm="1">
        <f t="array" ref="AI239">IF(Table21215[[#This Row],[11]]="","",Table21215[[#This Row],[Weight]:[Weight]]-(Table21215[[#This Row],[Weight]:[Weight]]*((_xlfn.XMATCH(Table21215[[#This Row],[11]],Table21215[[#This Row],[1]:[11]],0))-1)/(COUNTA(Table21215[[#This Row],[1]:[11]])-COUNTBLANK(Table21215[[#This Row],[1]:[11]])-1)))</f>
        <v/>
      </c>
    </row>
  </sheetData>
  <sheetProtection insertRows="0" insertHyperlinks="0" deleteRows="0" autoFilter="0"/>
  <mergeCells count="4">
    <mergeCell ref="E2:F3"/>
    <mergeCell ref="A10:A11"/>
    <mergeCell ref="B10:C11"/>
    <mergeCell ref="D10:E11"/>
  </mergeCells>
  <conditionalFormatting sqref="K13:K239">
    <cfRule type="expression" dxfId="40" priority="1">
      <formula>COUNTIF(N13:X13,K13)&lt;&gt;1</formula>
    </cfRule>
  </conditionalFormatting>
  <dataValidations count="4">
    <dataValidation type="list" allowBlank="1" showInputMessage="1" showErrorMessage="1" sqref="H13:H239" xr:uid="{5AB27EF2-DC07-4362-8145-A80DB0E1FCB6}">
      <formula1>N13:R13</formula1>
    </dataValidation>
    <dataValidation type="list" allowBlank="1" showInputMessage="1" showErrorMessage="1" sqref="K13:K239" xr:uid="{BEADA2C3-6B54-4B20-8338-A39DC7427423}">
      <formula1>$N13:$X13</formula1>
    </dataValidation>
    <dataValidation type="list" allowBlank="1" showInputMessage="1" showErrorMessage="1" sqref="M14" xr:uid="{6F4B8C4F-F304-40FB-98C6-6321EB80043E}">
      <formula1>_xlfn.UNIQUE(TRIM(_xlfn.TEXTSPLIT(#REF!,",")))</formula1>
    </dataValidation>
    <dataValidation type="list" allowBlank="1" showInputMessage="1" showErrorMessage="1" sqref="F13:F239" xr:uid="{6C04CF5E-724B-497B-9842-7BBE11944651}">
      <formula1>"No interest,Nice to have,Useful,Important,Very important,Critical,Show stopper"</formula1>
    </dataValidation>
  </dataValidations>
  <pageMargins left="0.7" right="0.7" top="0.75" bottom="0.75" header="0.3" footer="0.3"/>
  <pageSetup paperSize="9" scale="53" fitToHeight="0" orientation="landscape" r:id="rId1"/>
  <drawing r:id="rId2"/>
  <tableParts count="1">
    <tablePart r:id="rId3"/>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353D-6957-4E2A-A4FC-49C898AA2366}">
  <sheetPr>
    <pageSetUpPr fitToPage="1"/>
  </sheetPr>
  <dimension ref="B1:C29"/>
  <sheetViews>
    <sheetView topLeftCell="A2" workbookViewId="0">
      <selection activeCell="J22" sqref="J22"/>
    </sheetView>
  </sheetViews>
  <sheetFormatPr defaultRowHeight="15" x14ac:dyDescent="0.25"/>
  <cols>
    <col min="2" max="2" width="14.85546875" customWidth="1"/>
    <col min="3" max="3" width="79.140625" customWidth="1"/>
  </cols>
  <sheetData>
    <row r="1" spans="2:3" ht="15.75" thickBot="1" x14ac:dyDescent="0.3"/>
    <row r="2" spans="2:3" ht="16.5" thickBot="1" x14ac:dyDescent="0.3">
      <c r="B2" s="386" t="s">
        <v>1057</v>
      </c>
      <c r="C2" s="387"/>
    </row>
    <row r="3" spans="2:3" x14ac:dyDescent="0.25">
      <c r="B3" s="79"/>
      <c r="C3" s="80"/>
    </row>
    <row r="4" spans="2:3" x14ac:dyDescent="0.25">
      <c r="B4" s="81"/>
      <c r="C4" s="82"/>
    </row>
    <row r="5" spans="2:3" x14ac:dyDescent="0.25">
      <c r="B5" s="81"/>
      <c r="C5" s="82"/>
    </row>
    <row r="6" spans="2:3" x14ac:dyDescent="0.25">
      <c r="B6" s="81"/>
      <c r="C6" s="82"/>
    </row>
    <row r="7" spans="2:3" x14ac:dyDescent="0.25">
      <c r="B7" s="81"/>
      <c r="C7" s="82"/>
    </row>
    <row r="8" spans="2:3" x14ac:dyDescent="0.25">
      <c r="B8" s="81"/>
      <c r="C8" s="82"/>
    </row>
    <row r="9" spans="2:3" x14ac:dyDescent="0.25">
      <c r="B9" s="81"/>
      <c r="C9" s="82"/>
    </row>
    <row r="10" spans="2:3" x14ac:dyDescent="0.25">
      <c r="B10" s="81"/>
      <c r="C10" s="82"/>
    </row>
    <row r="11" spans="2:3" x14ac:dyDescent="0.25">
      <c r="B11" s="81"/>
      <c r="C11" s="82"/>
    </row>
    <row r="12" spans="2:3" x14ac:dyDescent="0.25">
      <c r="B12" s="81"/>
      <c r="C12" s="82"/>
    </row>
    <row r="13" spans="2:3" x14ac:dyDescent="0.25">
      <c r="B13" s="81"/>
      <c r="C13" s="82"/>
    </row>
    <row r="14" spans="2:3" ht="15.75" thickBot="1" x14ac:dyDescent="0.3">
      <c r="B14" s="83"/>
      <c r="C14" s="84"/>
    </row>
    <row r="16" spans="2:3" ht="15.75" thickBot="1" x14ac:dyDescent="0.3"/>
    <row r="17" spans="2:3" ht="16.5" thickBot="1" x14ac:dyDescent="0.3">
      <c r="B17" s="386" t="s">
        <v>1058</v>
      </c>
      <c r="C17" s="387"/>
    </row>
    <row r="18" spans="2:3" x14ac:dyDescent="0.25">
      <c r="B18" s="79"/>
      <c r="C18" s="80"/>
    </row>
    <row r="19" spans="2:3" x14ac:dyDescent="0.25">
      <c r="B19" s="81"/>
      <c r="C19" s="82"/>
    </row>
    <row r="20" spans="2:3" x14ac:dyDescent="0.25">
      <c r="B20" s="81"/>
      <c r="C20" s="82"/>
    </row>
    <row r="21" spans="2:3" x14ac:dyDescent="0.25">
      <c r="B21" s="81"/>
      <c r="C21" s="82"/>
    </row>
    <row r="22" spans="2:3" x14ac:dyDescent="0.25">
      <c r="B22" s="81"/>
      <c r="C22" s="82"/>
    </row>
    <row r="23" spans="2:3" x14ac:dyDescent="0.25">
      <c r="B23" s="81"/>
      <c r="C23" s="82"/>
    </row>
    <row r="24" spans="2:3" x14ac:dyDescent="0.25">
      <c r="B24" s="81"/>
      <c r="C24" s="82"/>
    </row>
    <row r="25" spans="2:3" x14ac:dyDescent="0.25">
      <c r="B25" s="81"/>
      <c r="C25" s="82"/>
    </row>
    <row r="26" spans="2:3" x14ac:dyDescent="0.25">
      <c r="B26" s="81"/>
      <c r="C26" s="82"/>
    </row>
    <row r="27" spans="2:3" x14ac:dyDescent="0.25">
      <c r="B27" s="81"/>
      <c r="C27" s="82"/>
    </row>
    <row r="28" spans="2:3" x14ac:dyDescent="0.25">
      <c r="B28" s="81"/>
      <c r="C28" s="82"/>
    </row>
    <row r="29" spans="2:3" ht="15.75" thickBot="1" x14ac:dyDescent="0.3">
      <c r="B29" s="83"/>
      <c r="C29" s="84"/>
    </row>
  </sheetData>
  <mergeCells count="2">
    <mergeCell ref="B2:C2"/>
    <mergeCell ref="B17:C17"/>
  </mergeCells>
  <pageMargins left="0.7" right="0.7" top="0.75" bottom="0.75" header="0.3" footer="0.3"/>
  <pageSetup paperSize="9" scale="77" fitToHeight="0"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9974B9BC6B0F543A2C113EBB0CF6640" ma:contentTypeVersion="3" ma:contentTypeDescription="Create a new document." ma:contentTypeScope="" ma:versionID="5efb5a1571c9050aa50b3c2b925d4460">
  <xsd:schema xmlns:xsd="http://www.w3.org/2001/XMLSchema" xmlns:xs="http://www.w3.org/2001/XMLSchema" xmlns:p="http://schemas.microsoft.com/office/2006/metadata/properties" xmlns:ns2="a2f7d9b8-6415-4fbe-95ee-5c30a7989eed" targetNamespace="http://schemas.microsoft.com/office/2006/metadata/properties" ma:root="true" ma:fieldsID="e9670eb60986d4e7d78577c4f96cabf6" ns2:_="">
    <xsd:import namespace="a2f7d9b8-6415-4fbe-95ee-5c30a7989ee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f7d9b8-6415-4fbe-95ee-5c30a7989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DF0B24-6B69-4A39-9B20-801C953A1C7D}">
  <ds:schemaRefs>
    <ds:schemaRef ds:uri="http://schemas.microsoft.com/DataMashup"/>
  </ds:schemaRefs>
</ds:datastoreItem>
</file>

<file path=customXml/itemProps2.xml><?xml version="1.0" encoding="utf-8"?>
<ds:datastoreItem xmlns:ds="http://schemas.openxmlformats.org/officeDocument/2006/customXml" ds:itemID="{3C0D2AED-7677-4A5D-820B-5A453A1120F2}">
  <ds:schemaRefs>
    <ds:schemaRef ds:uri="http://purl.org/dc/elements/1.1/"/>
    <ds:schemaRef ds:uri="a2f7d9b8-6415-4fbe-95ee-5c30a7989eed"/>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 ds:uri="http://purl.org/dc/terms/"/>
    <ds:schemaRef ds:uri="http://purl.org/dc/dcmitype/"/>
    <ds:schemaRef ds:uri="http://schemas.microsoft.com/office/infopath/2007/PartnerControls"/>
  </ds:schemaRefs>
</ds:datastoreItem>
</file>

<file path=customXml/itemProps3.xml><?xml version="1.0" encoding="utf-8"?>
<ds:datastoreItem xmlns:ds="http://schemas.openxmlformats.org/officeDocument/2006/customXml" ds:itemID="{711B5599-B1C0-428A-8AFB-B5E559F11C71}">
  <ds:schemaRefs>
    <ds:schemaRef ds:uri="http://schemas.microsoft.com/sharepoint/v3/contenttype/forms"/>
  </ds:schemaRefs>
</ds:datastoreItem>
</file>

<file path=customXml/itemProps4.xml><?xml version="1.0" encoding="utf-8"?>
<ds:datastoreItem xmlns:ds="http://schemas.openxmlformats.org/officeDocument/2006/customXml" ds:itemID="{B2CB7661-8D96-42C5-ACFC-400C24ADD1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f7d9b8-6415-4fbe-95ee-5c30a7989e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22</vt:i4>
      </vt:variant>
    </vt:vector>
  </HeadingPairs>
  <TitlesOfParts>
    <vt:vector size="45" baseType="lpstr">
      <vt:lpstr>TEC Development Guidelines</vt:lpstr>
      <vt:lpstr>Response Guidelines</vt:lpstr>
      <vt:lpstr>Scoring Summary</vt:lpstr>
      <vt:lpstr>Approval Page</vt:lpstr>
      <vt:lpstr>Summary and Gatekeeper Approval</vt:lpstr>
      <vt:lpstr>Non Func. Requirements Approval</vt:lpstr>
      <vt:lpstr>Gatekeepers</vt:lpstr>
      <vt:lpstr>1. Bidder Implementation Cap</vt:lpstr>
      <vt:lpstr>2a. Vendor Master Data Mgmt.</vt:lpstr>
      <vt:lpstr>2b. Procurement Mgmt.</vt:lpstr>
      <vt:lpstr>2c. Electronic Auction</vt:lpstr>
      <vt:lpstr>2d. Electronic Tendering</vt:lpstr>
      <vt:lpstr>2e. Contract Est. &amp; Admin</vt:lpstr>
      <vt:lpstr>2f. SDL&amp;I</vt:lpstr>
      <vt:lpstr>2g. Document Management</vt:lpstr>
      <vt:lpstr>2h. Architecture Requirements</vt:lpstr>
      <vt:lpstr>2i. Cloud Requirements</vt:lpstr>
      <vt:lpstr>2j. Data Privacy Requirements</vt:lpstr>
      <vt:lpstr>2k. Data Migration</vt:lpstr>
      <vt:lpstr>2l. Security Requirements</vt:lpstr>
      <vt:lpstr>2m Technical Quality Evaluation</vt:lpstr>
      <vt:lpstr>Demo</vt:lpstr>
      <vt:lpstr>Definitions and Abbreviations</vt:lpstr>
      <vt:lpstr>'1. Bidder Implementation Cap'!Print_Area</vt:lpstr>
      <vt:lpstr>'2a. Vendor Master Data Mgmt.'!Print_Area</vt:lpstr>
      <vt:lpstr>'2b. Procurement Mgmt.'!Print_Area</vt:lpstr>
      <vt:lpstr>'2c. Electronic Auction'!Print_Area</vt:lpstr>
      <vt:lpstr>'2d. Electronic Tendering'!Print_Area</vt:lpstr>
      <vt:lpstr>'2e. Contract Est. &amp; Admin'!Print_Area</vt:lpstr>
      <vt:lpstr>'2f. SDL&amp;I'!Print_Area</vt:lpstr>
      <vt:lpstr>'2g. Document Management'!Print_Area</vt:lpstr>
      <vt:lpstr>'2h. Architecture Requirements'!Print_Area</vt:lpstr>
      <vt:lpstr>'2i. Cloud Requirements'!Print_Area</vt:lpstr>
      <vt:lpstr>'2j. Data Privacy Requirements'!Print_Area</vt:lpstr>
      <vt:lpstr>'2k. Data Migration'!Print_Area</vt:lpstr>
      <vt:lpstr>'2l. Security Requirements'!Print_Area</vt:lpstr>
      <vt:lpstr>'Definitions and Abbreviations'!Print_Area</vt:lpstr>
      <vt:lpstr>Gatekeepers!Print_Area</vt:lpstr>
      <vt:lpstr>'Non Func. Requirements Approval'!Print_Area</vt:lpstr>
      <vt:lpstr>'Response Guidelines'!Print_Area</vt:lpstr>
      <vt:lpstr>'Scoring Summary'!Print_Area</vt:lpstr>
      <vt:lpstr>'Summary and Gatekeeper Approval'!Print_Area</vt:lpstr>
      <vt:lpstr>'TEC Development Guidelines'!Print_Area</vt:lpstr>
      <vt:lpstr>'Non Func. Requirements Approval'!Print_Titles</vt:lpstr>
      <vt:lpstr>'Summary and Gatekeeper Approval'!Print_Titles</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Jacques Erasmus</dc:creator>
  <cp:keywords/>
  <dc:description/>
  <cp:lastModifiedBy>Tamara Mda</cp:lastModifiedBy>
  <cp:revision/>
  <dcterms:created xsi:type="dcterms:W3CDTF">2025-06-12T10:49:50Z</dcterms:created>
  <dcterms:modified xsi:type="dcterms:W3CDTF">2025-10-30T09:04:56Z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0x01010009974B9BC6B0F543A2C113EBB0CF6640</vt:lpwstr>
  </property>
</Properties>
</file>